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D33" i="43"/>
  <c r="G84" i="43"/>
  <c r="G85" i="43"/>
  <c r="G86" i="43"/>
  <c r="G87" i="43"/>
  <c r="G88" i="43"/>
  <c r="G89" i="43"/>
  <c r="G90" i="43"/>
  <c r="G83" i="43"/>
  <c r="Y6" i="1"/>
  <c r="N19" i="1"/>
  <c r="B59" i="1"/>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A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BL5" i="3" s="1"/>
  <c r="J56" i="9"/>
  <c r="J57" i="9" s="1"/>
  <c r="J59" i="9" s="1"/>
  <c r="J61" i="9" s="1"/>
  <c r="A24" i="51"/>
  <c r="B18" i="72"/>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D4" i="73"/>
  <c r="F6" i="73"/>
  <c r="F16" i="15"/>
  <c r="F4" i="73"/>
  <c r="B13" i="76"/>
  <c r="F6" i="15"/>
  <c r="E12" i="76"/>
  <c r="M29" i="67"/>
  <c r="F43" i="67"/>
  <c r="D34" i="9"/>
  <c r="M9" i="15"/>
  <c r="C76" i="67"/>
  <c r="F13" i="15"/>
  <c r="F43" i="15"/>
  <c r="M29" i="15"/>
  <c r="M26" i="15"/>
  <c r="B11" i="76"/>
  <c r="F36" i="15"/>
  <c r="M22" i="15"/>
  <c r="F13" i="67"/>
  <c r="L48" i="15"/>
  <c r="F9" i="15"/>
  <c r="M6" i="15"/>
  <c r="C76" i="15"/>
  <c r="E11" i="76"/>
  <c r="D35" i="9"/>
  <c r="E13" i="76"/>
  <c r="E9" i="76"/>
  <c r="M23" i="15"/>
  <c r="M24" i="67"/>
  <c r="L47" i="15"/>
  <c r="E8" i="76"/>
  <c r="M28" i="15"/>
  <c r="J15" i="15"/>
  <c r="D3" i="73"/>
  <c r="F7" i="73"/>
  <c r="F26" i="15"/>
  <c r="B12" i="76"/>
  <c r="E10" i="76"/>
  <c r="D7" i="73"/>
  <c r="F3" i="73"/>
  <c r="F40" i="15"/>
  <c r="F36" i="67"/>
  <c r="F16" i="67"/>
  <c r="M8" i="15"/>
  <c r="M23" i="67"/>
  <c r="F8" i="15"/>
  <c r="J15" i="67"/>
  <c r="B7" i="76"/>
  <c r="E2" i="68"/>
  <c r="L48" i="67"/>
  <c r="F5" i="73"/>
  <c r="D6" i="73"/>
  <c r="M8" i="67"/>
  <c r="F9" i="67"/>
  <c r="B9" i="76"/>
  <c r="F26" i="67"/>
  <c r="F42" i="67"/>
  <c r="F42" i="15"/>
  <c r="C18" i="9" l="1"/>
  <c r="D18" i="9" s="1"/>
  <c r="C5" i="68"/>
  <c r="H50" i="43"/>
  <c r="H69" i="43"/>
  <c r="C24" i="12"/>
  <c r="B41" i="1"/>
  <c r="D93" i="9"/>
  <c r="C40" i="69"/>
  <c r="C40" i="11"/>
  <c r="C21" i="68"/>
  <c r="E19" i="11"/>
  <c r="G5" i="3"/>
  <c r="B3" i="3" s="1"/>
  <c r="E13" i="3" s="1"/>
  <c r="G28"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156" i="3"/>
  <c r="E453" i="3"/>
  <c r="E238" i="3"/>
  <c r="E85" i="3"/>
  <c r="E434" i="3"/>
  <c r="E314" i="3"/>
  <c r="E128" i="3"/>
  <c r="E511" i="3"/>
  <c r="E262" i="3"/>
  <c r="E99" i="3"/>
  <c r="E120" i="3"/>
  <c r="E45" i="3"/>
  <c r="E177" i="3"/>
  <c r="E193" i="3"/>
  <c r="E330" i="3"/>
  <c r="E519" i="3"/>
  <c r="Q6" i="3"/>
  <c r="E573" i="3"/>
  <c r="E437" i="3"/>
  <c r="E458" i="3"/>
  <c r="E481" i="3"/>
  <c r="E527" i="3"/>
  <c r="E424" i="3"/>
  <c r="E457" i="3"/>
  <c r="E344" i="3"/>
  <c r="E562" i="3"/>
  <c r="AE6" i="3"/>
  <c r="E571" i="3"/>
  <c r="E429" i="3"/>
  <c r="E450" i="3"/>
  <c r="E496" i="3"/>
  <c r="E433" i="3"/>
  <c r="E55" i="3"/>
  <c r="E72" i="3"/>
  <c r="E73" i="3"/>
  <c r="E111" i="3"/>
  <c r="E203" i="3"/>
  <c r="E150" i="3"/>
  <c r="E256" i="3"/>
  <c r="E279" i="3"/>
  <c r="E274" i="3"/>
  <c r="E351" i="3"/>
  <c r="E394" i="3"/>
  <c r="E318" i="3"/>
  <c r="E580" i="3"/>
  <c r="E31" i="3"/>
  <c r="E32" i="3"/>
  <c r="E567" i="3"/>
  <c r="I6" i="3"/>
  <c r="E549" i="3"/>
  <c r="E236" i="3"/>
  <c r="E269" i="3"/>
  <c r="E252" i="3"/>
  <c r="E271" i="3"/>
  <c r="E164" i="3"/>
  <c r="E107" i="3"/>
  <c r="E576" i="3"/>
  <c r="E585" i="3"/>
  <c r="AG6" i="3"/>
  <c r="E515" i="3"/>
  <c r="E448" i="3"/>
  <c r="E478" i="3"/>
  <c r="P6" i="3"/>
  <c r="E414" i="3"/>
  <c r="E443" i="3"/>
  <c r="E477" i="3"/>
  <c r="E558" i="3"/>
  <c r="E505" i="3"/>
  <c r="E581" i="3"/>
  <c r="AS6" i="3"/>
  <c r="E444" i="3"/>
  <c r="E476" i="3"/>
  <c r="E404" i="3"/>
  <c r="E447" i="3"/>
  <c r="E88" i="3"/>
  <c r="E27" i="3"/>
  <c r="E121" i="3"/>
  <c r="E162" i="3"/>
  <c r="E182" i="3"/>
  <c r="E166" i="3"/>
  <c r="E186" i="3"/>
  <c r="E211" i="3"/>
  <c r="E295" i="3"/>
  <c r="E210" i="3"/>
  <c r="E273" i="3"/>
  <c r="E316" i="3"/>
  <c r="E331" i="3"/>
  <c r="E377" i="3"/>
  <c r="E334" i="3"/>
  <c r="E384" i="3"/>
  <c r="E572" i="3"/>
  <c r="E30" i="3"/>
  <c r="E44" i="3"/>
  <c r="E10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F48" i="9" l="1"/>
  <c r="O52" i="9" s="1"/>
  <c r="F30" i="68"/>
  <c r="F52" i="9"/>
  <c r="F32" i="15"/>
  <c r="F60" i="15" s="1"/>
  <c r="F54" i="9"/>
  <c r="F30" i="11"/>
  <c r="M18" i="67"/>
  <c r="M18" i="15"/>
  <c r="J18" i="15" s="1"/>
  <c r="F31" i="12"/>
  <c r="C31" i="12" s="1"/>
  <c r="F30" i="69"/>
  <c r="D68" i="9"/>
  <c r="F28" i="67"/>
  <c r="C28" i="67" s="1"/>
  <c r="F32" i="67"/>
  <c r="F60" i="67" s="1"/>
  <c r="F28" i="15"/>
  <c r="C28" i="15" s="1"/>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12" i="3"/>
  <c r="E487" i="3"/>
  <c r="E416" i="3"/>
  <c r="E374" i="3"/>
  <c r="E500" i="3"/>
  <c r="E413" i="3"/>
  <c r="E520" i="3"/>
  <c r="E39" i="3"/>
  <c r="E57" i="3"/>
  <c r="E187" i="3"/>
  <c r="E155" i="3"/>
  <c r="E165" i="3"/>
  <c r="E244" i="3"/>
  <c r="E149" i="3"/>
  <c r="E167" i="3"/>
  <c r="E141" i="3"/>
  <c r="AD6" i="3"/>
  <c r="E542" i="3"/>
  <c r="E552" i="3"/>
  <c r="E421" i="3"/>
  <c r="E464" i="3"/>
  <c r="E398" i="3"/>
  <c r="E459" i="3"/>
  <c r="E566" i="3"/>
  <c r="E582" i="3"/>
  <c r="E460" i="3"/>
  <c r="E436" i="3"/>
  <c r="E90" i="3"/>
  <c r="E131" i="3"/>
  <c r="E24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2" i="3"/>
  <c r="E499" i="3"/>
  <c r="E466" i="3"/>
  <c r="E255" i="3"/>
  <c r="E517" i="3"/>
  <c r="E479" i="3"/>
  <c r="E152" i="3"/>
  <c r="E297" i="3"/>
  <c r="E348" i="3"/>
  <c r="E375" i="3"/>
  <c r="E58" i="3"/>
  <c r="E488" i="3"/>
  <c r="E521" i="3"/>
  <c r="E47" i="3"/>
  <c r="E65" i="3"/>
  <c r="E195" i="3"/>
  <c r="E248" i="3"/>
  <c r="E266" i="3"/>
  <c r="E386" i="3"/>
  <c r="E584" i="3"/>
  <c r="E24" i="3"/>
  <c r="E87" i="3"/>
  <c r="E250" i="3"/>
  <c r="E341" i="3"/>
  <c r="E51" i="3"/>
  <c r="E154" i="3"/>
  <c r="E222" i="3"/>
  <c r="E373" i="3"/>
  <c r="E199" i="3"/>
  <c r="I3" i="6"/>
  <c r="E56" i="3"/>
  <c r="E132" i="3"/>
  <c r="E241" i="3"/>
  <c r="E363" i="3"/>
  <c r="E389" i="3"/>
  <c r="E76" i="3"/>
  <c r="E409" i="3"/>
  <c r="E425" i="3"/>
  <c r="E64" i="3"/>
  <c r="E103" i="3"/>
  <c r="E267" i="3"/>
  <c r="E300" i="3"/>
  <c r="E310" i="3"/>
  <c r="E23" i="3"/>
  <c r="E144" i="3"/>
  <c r="E233" i="3"/>
  <c r="E63" i="3"/>
  <c r="E118" i="3"/>
  <c r="E513" i="3"/>
  <c r="E536" i="3"/>
  <c r="E286" i="3"/>
  <c r="E502" i="3"/>
  <c r="E430" i="3"/>
  <c r="AP6" i="3"/>
  <c r="E491" i="3"/>
  <c r="E37" i="3"/>
  <c r="E192" i="3"/>
  <c r="E259" i="3"/>
  <c r="E378" i="3"/>
  <c r="E504" i="3"/>
  <c r="E110" i="3"/>
  <c r="E462" i="3"/>
  <c r="E446" i="3"/>
  <c r="E98" i="3"/>
  <c r="E138" i="3"/>
  <c r="E163" i="3"/>
  <c r="E209" i="3"/>
  <c r="E354" i="3"/>
  <c r="E66" i="3"/>
  <c r="E48" i="3"/>
  <c r="E127" i="3"/>
  <c r="E284" i="3"/>
  <c r="Y6" i="3"/>
  <c r="E19" i="3"/>
  <c r="E179" i="3"/>
  <c r="E323" i="3"/>
  <c r="E82" i="3"/>
  <c r="E148" i="3"/>
  <c r="E575" i="3"/>
  <c r="E442" i="3"/>
  <c r="E449" i="3"/>
  <c r="E554" i="3"/>
  <c r="E417" i="3"/>
  <c r="E95" i="3"/>
  <c r="E258" i="3"/>
  <c r="E292" i="3"/>
  <c r="E349" i="3"/>
  <c r="E544" i="3"/>
  <c r="E59" i="3"/>
  <c r="E484" i="3"/>
  <c r="E467" i="3"/>
  <c r="E46" i="3"/>
  <c r="E160" i="3"/>
  <c r="E200" i="3"/>
  <c r="E371" i="3"/>
  <c r="E492" i="3"/>
  <c r="E84" i="3"/>
  <c r="E33" i="3"/>
  <c r="E184" i="3"/>
  <c r="E355" i="3"/>
  <c r="E68" i="3"/>
  <c r="E81" i="3"/>
  <c r="E264" i="3"/>
  <c r="E309" i="3"/>
  <c r="E21" i="3"/>
  <c r="E539" i="3"/>
  <c r="R6" i="3"/>
  <c r="E541" i="3"/>
  <c r="E435" i="3"/>
  <c r="E142" i="3"/>
  <c r="E67" i="3"/>
  <c r="E381" i="3"/>
  <c r="E283" i="3"/>
  <c r="E307" i="3"/>
  <c r="E249" i="3"/>
  <c r="K16" i="1"/>
  <c r="D18" i="53"/>
  <c r="B35" i="72" s="1"/>
  <c r="C7" i="74"/>
  <c r="P6" i="1"/>
  <c r="C13" i="12"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C32" i="15" l="1"/>
  <c r="C32" i="67"/>
  <c r="F48" i="69"/>
  <c r="C30" i="69"/>
  <c r="C48" i="69"/>
  <c r="C48" i="11"/>
  <c r="C30" i="11"/>
  <c r="F48" i="68"/>
  <c r="C30" i="68"/>
  <c r="C48" i="68"/>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0" i="1"/>
  <c r="AO11" i="1"/>
  <c r="AO8"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52" i="72"/>
  <c r="B49" i="72"/>
  <c r="N58" i="9"/>
  <c r="P57" i="9"/>
  <c r="B20" i="72"/>
  <c r="D52" i="9"/>
  <c r="D53" i="9"/>
  <c r="M48" i="9"/>
  <c r="C5" i="74"/>
  <c r="C6" i="74"/>
  <c r="D8" i="52"/>
  <c r="D5" i="53"/>
  <c r="D6" i="53"/>
  <c r="B22" i="72"/>
  <c r="E97" i="9"/>
  <c r="B32" i="72"/>
  <c r="B53" i="72"/>
  <c r="E81" i="9"/>
  <c r="C104" i="9"/>
  <c r="H4" i="52"/>
  <c r="C81" i="9"/>
  <c r="F119" i="9"/>
  <c r="F5" i="52"/>
  <c r="I4" i="52"/>
  <c r="C105" i="9"/>
  <c r="N61" i="9"/>
  <c r="N59" i="9"/>
  <c r="N60" i="9"/>
  <c r="C78" i="9"/>
  <c r="C73" i="9"/>
  <c r="G4" i="52"/>
  <c r="D123" i="9"/>
  <c r="D9" i="52"/>
  <c r="D122" i="9"/>
  <c r="E4" i="52"/>
  <c r="B48" i="72"/>
  <c r="C80" i="9"/>
  <c r="E80" i="9"/>
  <c r="C72" i="9"/>
  <c r="C79" i="9"/>
  <c r="M54" i="9"/>
  <c r="G118" i="9"/>
  <c r="F118" i="9"/>
  <c r="F4" i="52"/>
  <c r="B51" i="72"/>
  <c r="C93" i="9"/>
  <c r="C86" i="9"/>
  <c r="C96" i="9"/>
  <c r="E96" i="9"/>
  <c r="D119" i="9"/>
  <c r="D5" i="52"/>
  <c r="H119" i="9"/>
  <c r="H5" i="52"/>
  <c r="E118" i="9"/>
  <c r="D118" i="9"/>
  <c r="D4" i="52"/>
  <c r="B47" i="72"/>
  <c r="H102" i="9"/>
  <c r="D7" i="53"/>
  <c r="B21" i="72"/>
  <c r="H108" i="9"/>
  <c r="D15" i="53"/>
  <c r="B31" i="72"/>
  <c r="C85" i="9"/>
  <c r="C95" i="9"/>
  <c r="C97" i="9"/>
  <c r="D58" i="9"/>
  <c r="D56" i="9"/>
  <c r="D59" i="9"/>
  <c r="M55" i="9"/>
  <c r="D55" i="9"/>
  <c r="M53" i="9"/>
  <c r="N57" i="9"/>
  <c r="B30" i="72"/>
  <c r="H107" i="9"/>
  <c r="D13" i="53"/>
  <c r="D14" i="53"/>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<sst xmlns="http://schemas.openxmlformats.org/spreadsheetml/2006/main" count="7800" uniqueCount="3402">
  <si>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</si>
  <si>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</si>
  <si>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</si>
  <si>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</si>
  <si>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</si>
  <si>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</si>
  <si>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</si>
  <si>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</si>
  <si>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</si>
  <si>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</si>
  <si>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</si>
  <si>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</si>
  <si>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</si>
  <si>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</si>
  <si>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</si>
  <si>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</si>
  <si>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</si>
  <si>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</si>
  <si>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</si>
  <si>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</si>
  <si>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</si>
  <si>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</si>
  <si>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</si>
  <si>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</si>
  <si>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</si>
  <si>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</si>
  <si>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</si>
  <si>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</si>
  <si>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</si>
  <si>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</si>
  <si>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</si>
  <si>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</si>
  <si>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</si>
  <si>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</si>
  <si>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</si>
  <si>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</si>
  <si>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</si>
  <si>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</si>
  <si>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</si>
  <si>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</si>
  <si>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</si>
  <si>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</si>
  <si>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</si>
  <si>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</si>
  <si>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</si>
  <si>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</si>
  <si>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</si>
  <si>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</si>
  <si>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</si>
  <si>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</si>
  <si>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</si>
  <si>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</si>
  <si>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</si>
  <si>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</si>
  <si>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</si>
  <si>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</si>
  <si>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</si>
  <si>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</si>
  <si>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</si>
  <si>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</si>
  <si>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</si>
  <si>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</si>
  <si>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</si>
  <si>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</si>
  <si>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</si>
  <si>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</si>
  <si>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</si>
  <si>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</si>
  <si>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</si>
  <si>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</si>
  <si>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</si>
  <si>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</si>
  <si>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</si>
  <si>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</si>
  <si>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</si>
  <si>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</si>
  <si>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</si>
  <si>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</si>
  <si>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</si>
  <si>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</si>
  <si>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</si>
  <si>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</si>
  <si>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</si>
  <si>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</si>
  <si>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</si>
  <si>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</si>
  <si>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</si>
  <si>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</si>
  <si>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</si>
  <si>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</si>
  <si>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</si>
  <si>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</si>
  <si>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</si>
  <si>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</si>
  <si>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</si>
  <si>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</si>
  <si>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</si>
  <si>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</si>
  <si>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</si>
  <si>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</si>
  <si>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</si>
  <si>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</si>
  <si>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</si>
  <si>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</si>
  <si>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</si>
  <si>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</si>
  <si>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</si>
  <si>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</si>
  <si>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</si>
  <si>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</si>
  <si>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</si>
  <si>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</si>
  <si>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</si>
  <si>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</si>
  <si>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</si>
  <si>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</si>
  <si>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</si>
  <si>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</si>
  <si>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</si>
  <si>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</si>
  <si>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</si>
  <si>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</si>
  <si>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</si>
  <si>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</si>
  <si>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</si>
  <si>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</si>
  <si>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</si>
  <si>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</si>
  <si>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</si>
  <si>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</si>
  <si>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</si>
  <si>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</si>
  <si>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</si>
  <si>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</si>
  <si>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</si>
  <si>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</si>
  <si>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</si>
  <si>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</si>
  <si>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</si>
  <si>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</si>
  <si>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</si>
  <si>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</si>
  <si>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</si>
  <si>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</si>
  <si>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</si>
  <si>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</si>
  <si>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</si>
  <si>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</si>
  <si>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</si>
  <si>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</si>
  <si>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</si>
  <si>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</si>
  <si>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</si>
  <si>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</si>
  <si>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</si>
  <si>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</si>
  <si>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</si>
  <si>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</si>
  <si>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</si>
  <si>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</si>
  <si>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</si>
  <si>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</si>
  <si>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</si>
  <si>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</si>
  <si>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</si>
  <si>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</si>
  <si>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</si>
  <si>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</si>
  <si>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</si>
  <si>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</si>
  <si>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</si>
  <si>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</si>
  <si>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</si>
  <si>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</si>
  <si>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</si>
  <si>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</si>
  <si>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</si>
  <si>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</si>
  <si>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</si>
  <si>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</si>
  <si>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</si>
  <si>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</si>
  <si>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</si>
  <si>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</si>
  <si>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</si>
  <si>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</si>
  <si>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</si>
  <si>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</si>
  <si>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</si>
  <si>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</si>
  <si>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</si>
  <si>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</si>
  <si>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</si>
  <si>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</si>
  <si>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</si>
  <si>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</si>
  <si>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</si>
  <si>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</si>
  <si>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</si>
  <si>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</si>
  <si>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</si>
  <si>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</si>
  <si>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</si>
  <si>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</si>
  <si>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</si>
  <si>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</si>
  <si>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</si>
  <si>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</si>
  <si>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</si>
  <si>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</si>
  <si>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</si>
  <si>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</si>
  <si>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</si>
  <si>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</si>
  <si>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</si>
  <si>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</si>
  <si>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</si>
  <si>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</si>
  <si>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</si>
  <si>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</si>
  <si>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</si>
  <si>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</si>
  <si>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</si>
  <si>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</si>
  <si>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</si>
  <si>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</si>
  <si>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</si>
  <si>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</si>
  <si>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</si>
  <si>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</si>
  <si>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</si>
  <si>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</si>
  <si>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</si>
  <si>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</si>
  <si>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</si>
  <si>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</si>
  <si>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</si>
  <si>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</si>
  <si>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</si>
  <si>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</si>
  <si>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</si>
  <si>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</si>
  <si>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</si>
  <si>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</si>
  <si>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</si>
  <si>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</si>
  <si>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</si>
  <si>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</si>
  <si>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</si>
  <si>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</si>
  <si>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</si>
  <si>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</si>
  <si>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</si>
  <si>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</si>
  <si>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</si>
  <si>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</si>
  <si>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</si>
  <si>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</si>
  <si>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</si>
  <si>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</si>
  <si>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</si>
  <si>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</si>
  <si>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</si>
  <si>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</si>
  <si>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</si>
  <si>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</si>
  <si>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</si>
  <si>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</si>
  <si>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</si>
  <si>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</si>
  <si>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</si>
  <si>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</si>
  <si>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</si>
  <si>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</si>
  <si>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</si>
  <si>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</si>
  <si>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</si>
  <si>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</si>
  <si>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</si>
  <si>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</si>
  <si>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</si>
  <si>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</si>
  <si>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</si>
  <si>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</si>
  <si>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</si>
  <si>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</si>
  <si>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</si>
  <si>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</si>
  <si>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</si>
  <si>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</si>
  <si>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</si>
  <si>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</si>
  <si>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</si>
  <si>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</si>
  <si>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</si>
  <si>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</si>
  <si>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</si>
  <si>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</si>
  <si>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</si>
  <si>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</si>
  <si>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</si>
  <si>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</si>
  <si>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</si>
  <si>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</si>
  <si>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</si>
  <si>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</si>
  <si>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</si>
  <si>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</si>
  <si>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</si>
  <si>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</si>
  <si>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</si>
  <si>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</si>
  <si>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</si>
  <si>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</si>
  <si>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</si>
  <si>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</si>
  <si>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</si>
  <si>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</si>
  <si>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</si>
  <si>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</si>
  <si>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</si>
  <si>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</si>
  <si>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</si>
  <si>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</si>
  <si>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</si>
  <si>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</si>
  <si>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</si>
  <si>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</si>
  <si>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</si>
  <si>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</si>
  <si>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</si>
  <si>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</si>
  <si>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</si>
  <si>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</si>
  <si>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</si>
  <si>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</si>
  <si>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</si>
  <si>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</si>
  <si>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</si>
  <si>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</si>
  <si>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</si>
  <si>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</si>
  <si>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</si>
  <si>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</si>
  <si>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</si>
  <si>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</si>
  <si>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</si>
  <si>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</si>
  <si>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</si>
  <si>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</si>
  <si>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</si>
  <si>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</si>
  <si>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</si>
  <si>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</si>
  <si>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</si>
  <si>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</si>
  <si>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</si>
  <si>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</si>
  <si>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</si>
  <si>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</si>
  <si>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</si>
  <si>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</si>
  <si>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</si>
  <si>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</si>
  <si>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</si>
  <si>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</si>
  <si>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</si>
  <si>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</si>
  <si>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</si>
  <si>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</si>
  <si>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</si>
  <si>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</si>
  <si>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</si>
  <si>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</si>
  <si>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</si>
  <si>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</si>
  <si>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</si>
  <si>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</si>
  <si>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</si>
  <si>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</si>
  <si>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</si>
  <si>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</si>
  <si>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</si>
  <si>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</si>
  <si>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</si>
  <si>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</si>
  <si>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</si>
  <si>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</si>
  <si>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</si>
  <si>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</si>
  <si>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</si>
  <si>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</si>
  <si>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</si>
  <si>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</si>
  <si>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</si>
  <si>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</si>
  <si>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</si>
  <si>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</si>
  <si>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</si>
  <si>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</si>
  <si>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</si>
  <si>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</si>
  <si>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</si>
  <si>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</si>
  <si>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</si>
  <si>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</si>
  <si>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</si>
  <si>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</si>
  <si>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</si>
  <si>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</si>
  <si>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</si>
  <si>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</si>
  <si>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</si>
  <si>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</si>
  <si>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</si>
  <si>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</si>
  <si>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</si>
  <si>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</si>
  <si>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</si>
  <si>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</si>
  <si>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</si>
  <si>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</si>
  <si>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</si>
  <si>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</si>
  <si>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</si>
  <si>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</si>
  <si>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</si>
  <si>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</si>
  <si>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</si>
  <si>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</si>
  <si>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</si>
  <si>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</si>
  <si>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</si>
  <si>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</si>
  <si>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</si>
  <si>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</si>
  <si>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</si>
  <si>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</si>
  <si>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</si>
  <si>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</si>
  <si>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</si>
  <si>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</si>
  <si>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</si>
  <si>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</si>
  <si>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</si>
  <si>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</si>
  <si>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</si>
  <si>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</si>
  <si>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</si>
  <si>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</si>
  <si>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</si>
  <si>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</si>
  <si>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</si>
  <si>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</si>
  <si>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</si>
  <si>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</si>
  <si>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</si>
  <si>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</si>
  <si>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</si>
  <si>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</si>
  <si>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</si>
  <si>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</si>
  <si>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</si>
  <si>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</si>
  <si>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</si>
  <si>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</si>
  <si>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</si>
  <si>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</si>
  <si>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</si>
  <si>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</si>
  <si>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</si>
  <si>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</si>
  <si>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</si>
  <si>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</si>
  <si>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</si>
  <si>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</si>
  <si>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</si>
  <si>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</si>
  <si>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</si>
  <si>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</si>
  <si>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</si>
  <si>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</si>
  <si>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</si>
  <si>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</si>
  <si>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</si>
  <si>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</si>
  <si>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</si>
  <si>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</si>
  <si>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</si>
  <si>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</si>
  <si>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</si>
  <si>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</si>
  <si>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</si>
  <si>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</si>
  <si>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</si>
  <si>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</si>
  <si>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</si>
  <si>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</si>
  <si>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</si>
  <si>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</si>
  <si>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</si>
  <si>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</si>
  <si>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</si>
  <si>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</si>
  <si>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</si>
  <si>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</si>
  <si>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</si>
  <si>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</si>
  <si>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</si>
  <si>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</si>
  <si>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</si>
  <si>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</si>
  <si>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</si>
  <si>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</si>
  <si>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</si>
  <si>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</si>
  <si>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</si>
  <si>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</si>
  <si>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</si>
  <si>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</si>
  <si>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</si>
  <si>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</si>
  <si>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</si>
  <si>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</si>
  <si>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</si>
  <si>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</si>
  <si>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</si>
  <si>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</si>
  <si>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</si>
  <si>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</si>
  <si>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</si>
  <si>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</si>
  <si>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</si>
  <si>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</si>
  <si>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</si>
  <si>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</si>
  <si>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</si>
  <si>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</si>
  <si>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</si>
  <si>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</si>
  <si>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</si>
  <si>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</si>
  <si>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</si>
  <si>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</si>
  <si>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</si>
  <si>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</si>
  <si>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</si>
  <si>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</si>
  <si>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</si>
  <si>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</si>
  <si>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</si>
  <si>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</si>
  <si>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</si>
  <si>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</si>
  <si>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</si>
  <si>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</si>
  <si>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</si>
  <si>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</si>
  <si>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</si>
  <si>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</si>
  <si>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</si>
  <si>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</si>
  <si>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</si>
  <si>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</si>
  <si>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</si>
  <si>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</si>
  <si>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</si>
  <si>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</si>
  <si>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</si>
  <si>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</si>
  <si>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</si>
  <si>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</si>
  <si>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</si>
  <si>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</si>
  <si>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</si>
  <si>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</si>
  <si>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</si>
  <si>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</si>
  <si>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</si>
  <si>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</si>
  <si>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</si>
  <si>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</si>
  <si>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</si>
  <si>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</si>
  <si>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</si>
  <si>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</si>
  <si>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</si>
  <si>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</si>
  <si>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</si>
  <si>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</si>
  <si>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</si>
  <si>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</si>
  <si>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</si>
  <si>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</si>
  <si>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</si>
  <si>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</si>
  <si>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</si>
  <si>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</si>
  <si>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</si>
  <si>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</si>
  <si>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</si>
  <si>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</si>
  <si>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</si>
  <si>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</si>
  <si>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</si>
  <si>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</si>
  <si>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</si>
  <si>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</si>
  <si>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</si>
  <si>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</si>
  <si>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</si>
  <si>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</si>
  <si>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</si>
  <si>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</si>
  <si>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</si>
  <si>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</si>
  <si>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</si>
  <si>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</si>
  <si>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</si>
  <si>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</si>
  <si>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</si>
  <si>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</si>
  <si>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</si>
  <si>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</si>
  <si>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</si>
  <si>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</si>
  <si>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</si>
  <si>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</si>
  <si>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</si>
  <si>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</si>
  <si>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</si>
  <si>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</si>
  <si>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</si>
  <si>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</si>
  <si>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</si>
  <si>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</si>
  <si>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</si>
  <si>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</si>
  <si>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</si>
  <si>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</si>
  <si>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</si>
  <si>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</si>
  <si>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</si>
  <si>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</si>
  <si>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</si>
  <si>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</si>
  <si>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</si>
  <si>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</si>
  <si>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</si>
  <si>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</si>
  <si>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</si>
  <si>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</si>
  <si>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</si>
  <si>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</si>
  <si>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</si>
  <si>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</si>
  <si>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</si>
  <si>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</si>
  <si>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</si>
  <si>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</si>
  <si>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</si>
  <si>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</si>
  <si>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</si>
  <si>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</si>
  <si>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</si>
  <si>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</si>
  <si>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</si>
  <si>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</si>
  <si>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</si>
  <si>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</si>
  <si>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</si>
  <si>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</si>
  <si>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</si>
  <si>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</si>
  <si>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</si>
  <si>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</si>
  <si>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</si>
  <si>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</si>
  <si>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</si>
  <si>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</si>
  <si>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</si>
  <si>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</si>
  <si>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</si>
  <si>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</si>
  <si>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</si>
  <si>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</si>
  <si>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</si>
  <si>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</si>
  <si>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</si>
  <si>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</si>
  <si>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</si>
  <si>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</si>
  <si>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</si>
  <si>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</si>
  <si>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</si>
  <si>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</si>
  <si>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</si>
  <si>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</si>
  <si>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</si>
  <si>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</si>
  <si>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</si>
  <si>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</si>
  <si>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</si>
  <si>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</si>
  <si>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</si>
  <si>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</si>
  <si>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</si>
  <si>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</si>
  <si>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</si>
  <si>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</si>
  <si>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</si>
  <si>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</si>
  <si>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</si>
  <si>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</si>
  <si>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</si>
  <si>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</si>
  <si>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</si>
  <si>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</si>
  <si>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</si>
  <si>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</si>
  <si>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</si>
  <si>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</si>
  <si>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</si>
  <si>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</si>
  <si>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</si>
  <si>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</si>
  <si>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</si>
  <si>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</si>
  <si>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</si>
  <si>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</si>
  <si>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</si>
  <si>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</si>
  <si>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</si>
  <si>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</si>
  <si>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</si>
  <si>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</si>
  <si>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</si>
  <si>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</si>
  <si>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</si>
  <si>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</si>
  <si>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</si>
  <si>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</si>
  <si>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</si>
  <si>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</si>
  <si>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</si>
  <si>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</si>
  <si>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</si>
  <si>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</si>
  <si>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</si>
  <si>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</si>
  <si>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</si>
  <si>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</si>
  <si>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</si>
  <si>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</si>
  <si>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</si>
  <si>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</si>
  <si>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</si>
  <si>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</si>
  <si>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</si>
  <si>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</si>
  <si>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</si>
  <si>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</si>
  <si>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</si>
  <si>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</si>
  <si>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</si>
  <si>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</si>
  <si>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</si>
  <si>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</si>
  <si>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</si>
  <si>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</si>
  <si>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</si>
  <si>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</si>
  <si>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</si>
  <si>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</si>
  <si>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</si>
  <si>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</si>
  <si>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</si>
  <si>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</si>
  <si>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</si>
  <si>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</si>
  <si>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</si>
  <si>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</si>
  <si>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</si>
  <si>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</si>
  <si>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</si>
  <si>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</si>
  <si>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</si>
  <si>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</si>
  <si>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</si>
  <si>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</si>
  <si>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</si>
  <si>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</si>
  <si>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</si>
  <si>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</si>
  <si>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</si>
  <si>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</si>
  <si>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</si>
  <si>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</si>
  <si>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</si>
  <si>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</si>
  <si>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</si>
  <si>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</si>
  <si>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</si>
  <si>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</si>
  <si>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</si>
  <si>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</si>
  <si>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</si>
  <si>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</si>
  <si>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</si>
  <si>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</si>
  <si>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</si>
  <si>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</si>
  <si>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</si>
  <si>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</si>
  <si>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</si>
  <si>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</si>
  <si>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</si>
  <si>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</si>
  <si>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</si>
  <si>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</si>
  <si>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</si>
  <si>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</si>
  <si>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</si>
  <si>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</si>
  <si>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</si>
  <si>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</si>
  <si>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</si>
  <si>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</si>
  <si>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</si>
  <si>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</si>
  <si>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</si>
  <si>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</si>
  <si>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</si>
  <si>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</si>
  <si>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</si>
  <si>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</si>
  <si>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</si>
  <si>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</si>
  <si>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</si>
  <si>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</si>
  <si>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</si>
  <si>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</si>
  <si>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</si>
  <si>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</si>
  <si>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</si>
  <si>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</si>
  <si>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</si>
  <si>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</si>
  <si>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</si>
  <si>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</si>
  <si>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</si>
  <si>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</si>
  <si>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</si>
  <si>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</si>
  <si>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</si>
  <si>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</si>
  <si>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</si>
  <si>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</si>
  <si>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</si>
  <si>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</si>
  <si>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</si>
  <si>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</si>
  <si>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</si>
  <si>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</si>
  <si>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</si>
  <si>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</si>
  <si>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</si>
  <si>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</si>
  <si>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</si>
  <si>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</si>
  <si>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</si>
  <si>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</si>
  <si>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</si>
  <si>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</si>
  <si>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</si>
  <si>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</si>
  <si>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</si>
  <si>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</si>
  <si>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</si>
  <si>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</si>
  <si>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</si>
  <si>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</si>
  <si>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</si>
  <si>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</si>
  <si>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</si>
  <si>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</si>
  <si>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</si>
  <si>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</si>
  <si>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</si>
  <si>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</si>
  <si>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</si>
  <si>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</si>
  <si>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</si>
  <si>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</si>
  <si>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</si>
  <si>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</si>
  <si>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</si>
  <si>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</si>
  <si>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</si>
  <si>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</si>
  <si>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</si>
  <si>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</si>
  <si>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</si>
  <si>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</si>
  <si>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</si>
  <si>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</si>
  <si>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</si>
  <si>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</si>
  <si>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</si>
  <si>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</si>
  <si>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</si>
  <si>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</si>
  <si>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</si>
  <si>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</si>
  <si>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</si>
  <si>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</si>
  <si>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</si>
  <si>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</si>
  <si>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</si>
  <si>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</si>
  <si>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</si>
  <si>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</si>
  <si>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</si>
  <si>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</si>
  <si>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</si>
  <si>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</si>
  <si>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</si>
  <si>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</si>
  <si>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</si>
  <si>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</si>
  <si>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</si>
  <si>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</si>
  <si>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</si>
  <si>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</si>
  <si>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</si>
  <si>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</si>
  <si>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</si>
  <si>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</si>
  <si>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</si>
  <si>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</si>
  <si>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</si>
  <si>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</si>
  <si>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</si>
  <si>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</si>
  <si>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</si>
  <si>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</si>
  <si>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</si>
  <si>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</si>
  <si>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</si>
  <si>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</si>
  <si>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</si>
  <si>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</si>
  <si>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</si>
  <si>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</si>
  <si>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</si>
  <si>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</si>
  <si>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</si>
  <si>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</si>
  <si>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</si>
  <si>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</si>
  <si>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</si>
  <si>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</si>
  <si>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</si>
  <si>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</si>
  <si>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</si>
  <si>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</si>
  <si>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</si>
  <si>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</si>
  <si>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</si>
  <si>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</si>
  <si>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</si>
  <si>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</si>
  <si>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</si>
  <si>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</si>
  <si>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</si>
  <si>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</si>
  <si>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</si>
  <si>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</si>
  <si>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</si>
  <si>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</si>
  <si>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</si>
  <si>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</si>
  <si>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</si>
  <si>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</si>
  <si>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</si>
  <si>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</si>
  <si>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</si>
  <si>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</si>
  <si>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</si>
  <si>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</si>
  <si>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</si>
  <si>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</si>
  <si>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</si>
  <si>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</si>
  <si>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</si>
  <si>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</si>
  <si>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</si>
  <si>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</si>
  <si>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</si>
  <si>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</si>
  <si>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</si>
  <si>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</si>
  <si>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</si>
  <si>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</si>
  <si>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</si>
  <si>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</si>
  <si>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</si>
  <si>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</si>
  <si>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</si>
  <si>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</si>
  <si>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</si>
  <si>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</si>
  <si>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</si>
  <si>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</si>
  <si>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</si>
  <si>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</si>
  <si>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</si>
  <si>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</si>
  <si>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</si>
  <si>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</si>
  <si>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</si>
  <si>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</si>
  <si>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</si>
  <si>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</si>
  <si>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</si>
  <si>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</si>
  <si>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</si>
  <si>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</si>
  <si>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</si>
  <si>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</si>
  <si>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</si>
  <si>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</si>
  <si>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</si>
  <si>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</si>
  <si>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</si>
  <si>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</si>
  <si>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</si>
  <si>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</si>
  <si>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</si>
  <si>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</si>
  <si>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</si>
  <si>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</si>
  <si>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</si>
  <si>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</si>
  <si>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</si>
  <si>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</si>
  <si>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</si>
  <si>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</si>
  <si>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</si>
  <si>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</si>
  <si>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</si>
  <si>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</si>
  <si>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</si>
  <si>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</si>
  <si>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</si>
  <si>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</si>
  <si>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</si>
  <si>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</si>
  <si>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</si>
  <si>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</si>
  <si>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</si>
  <si>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</si>
  <si>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</si>
  <si>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</si>
  <si>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</si>
  <si>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</si>
  <si>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</si>
  <si>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</si>
  <si>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</si>
  <si>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</si>
  <si>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</si>
  <si>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</si>
  <si>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</si>
  <si>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</si>
  <si>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</si>
  <si>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</si>
  <si>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</si>
  <si>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</si>
  <si>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</si>
  <si>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</si>
  <si>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</si>
  <si>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</si>
  <si>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</si>
  <si>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</si>
  <si>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</si>
  <si>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</si>
  <si>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</si>
  <si>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</si>
  <si>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</si>
  <si>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</si>
  <si>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</si>
  <si>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</si>
  <si>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</si>
  <si>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</si>
  <si>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</si>
  <si>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</si>
  <si>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</si>
  <si>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</si>
  <si>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</si>
  <si>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</si>
  <si>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</si>
  <si>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</si>
  <si>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</si>
  <si>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</si>
  <si>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</si>
  <si>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</si>
  <si>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</si>
  <si>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</si>
  <si>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</si>
  <si>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</si>
  <si>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</si>
  <si>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</si>
  <si>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</si>
  <si>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</si>
  <si>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</si>
  <si>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</si>
  <si>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</si>
  <si>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</si>
  <si>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</si>
  <si>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</si>
  <si>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</si>
  <si>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</si>
  <si>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</si>
  <si>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</si>
  <si>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</si>
  <si>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</si>
  <si>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</si>
  <si>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</si>
  <si>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</si>
  <si>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</si>
  <si>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</si>
  <si>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</si>
  <si>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</si>
  <si>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</si>
  <si>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</si>
  <si>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</si>
  <si>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</si>
  <si>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</si>
  <si>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</si>
  <si>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</si>
  <si>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</si>
  <si>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</si>
  <si>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</si>
  <si>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</si>
  <si>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</si>
  <si>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</si>
  <si>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</si>
  <si>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</si>
  <si>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</si>
  <si>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</si>
  <si>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</si>
  <si>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</si>
  <si>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</si>
  <si>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</si>
  <si>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</si>
  <si>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</si>
  <si>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</si>
  <si>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</si>
  <si>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</si>
  <si>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</si>
  <si>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</si>
  <si>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</si>
  <si>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</si>
  <si>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</si>
  <si>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</si>
  <si>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</si>
  <si>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</si>
  <si>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</si>
  <si>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</si>
  <si>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</si>
  <si>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</si>
  <si>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</si>
  <si>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</si>
  <si>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</si>
  <si>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</si>
  <si>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</si>
  <si>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</si>
  <si>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</si>
  <si>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</si>
  <si>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</si>
  <si>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</si>
  <si>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</si>
  <si>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</si>
  <si>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</si>
  <si>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</si>
  <si>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</si>
  <si>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</si>
  <si>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</si>
  <si>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</si>
  <si>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</si>
  <si>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</si>
  <si>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</si>
  <si>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</si>
  <si>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</si>
  <si>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</si>
  <si>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</si>
  <si>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</si>
  <si>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</si>
  <si>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</si>
  <si>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</si>
  <si>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</si>
  <si>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</si>
  <si>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</si>
  <si>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</si>
  <si>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</si>
  <si>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</si>
  <si>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</si>
  <si>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</si>
  <si>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</si>
  <si>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</si>
  <si>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</si>
  <si>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</si>
  <si>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</si>
  <si>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</si>
  <si>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</si>
  <si>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</si>
  <si>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</si>
  <si>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</si>
  <si>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</si>
  <si>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</si>
  <si>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</si>
  <si>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</si>
  <si>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</si>
  <si>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</si>
  <si>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</si>
  <si>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</si>
  <si>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</si>
  <si>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</si>
  <si>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</si>
  <si>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</si>
  <si>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</si>
  <si>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</si>
  <si>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</si>
  <si>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</si>
  <si>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</si>
  <si>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</si>
  <si>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</si>
  <si>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</si>
  <si>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</si>
  <si>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</si>
  <si>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</si>
  <si>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</si>
  <si>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</si>
  <si>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</si>
  <si>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</si>
  <si>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</si>
  <si>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</si>
  <si>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</si>
  <si>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</si>
  <si>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</si>
  <si>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</si>
  <si>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</si>
  <si>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</si>
  <si>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</si>
  <si>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</si>
  <si>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</si>
  <si>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</si>
  <si>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</si>
  <si>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</si>
  <si>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</si>
  <si>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</si>
  <si>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</si>
  <si>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</si>
  <si>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</si>
  <si>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</si>
  <si>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</si>
  <si>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</si>
  <si>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</si>
  <si>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</si>
  <si>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</si>
  <si>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</si>
  <si>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</si>
  <si>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</si>
  <si>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</si>
  <si>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</si>
  <si>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</si>
  <si>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</si>
  <si>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</si>
  <si>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</si>
  <si>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</si>
  <si>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</si>
  <si>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</si>
  <si>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</si>
  <si>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</si>
  <si>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</si>
  <si>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</si>
  <si>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</si>
  <si>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</si>
  <si>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</si>
  <si>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</si>
  <si>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</si>
  <si>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</si>
  <si>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</si>
  <si>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</si>
  <si>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</si>
  <si>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</si>
  <si>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</si>
  <si>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</si>
  <si>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</si>
  <si>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</si>
  <si>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</si>
  <si>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</si>
  <si>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</si>
  <si>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</si>
  <si>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</si>
  <si>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</si>
  <si>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</si>
  <si>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</si>
  <si>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</si>
  <si>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</si>
  <si>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</si>
  <si>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</si>
  <si>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</si>
  <si>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</si>
  <si>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</si>
  <si>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</si>
  <si>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</si>
  <si>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</si>
  <si>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</si>
  <si>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</si>
  <si>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</si>
  <si>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</si>
  <si>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</si>
  <si>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</si>
  <si>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</si>
  <si>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</si>
  <si>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</si>
  <si>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</si>
  <si>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</si>
  <si>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</si>
  <si>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</si>
  <si>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</si>
  <si>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</si>
  <si>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</si>
  <si>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</si>
  <si>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</si>
  <si>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</si>
  <si>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</si>
  <si>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</si>
  <si>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</si>
  <si>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</si>
  <si>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</si>
  <si>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</si>
  <si>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</si>
  <si>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</si>
  <si>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</si>
  <si>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</si>
  <si>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</si>
  <si>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</si>
  <si>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</si>
  <si>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</si>
  <si>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</si>
  <si>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</si>
  <si>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</si>
  <si>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</si>
  <si>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</si>
  <si>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</si>
  <si>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</si>
  <si>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</si>
  <si>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</si>
  <si>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</si>
  <si>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</si>
  <si>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</si>
  <si>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</si>
  <si>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</si>
  <si>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</si>
  <si>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</si>
  <si>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</si>
  <si>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</si>
  <si>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</si>
  <si>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</si>
  <si>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</si>
  <si>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</si>
  <si>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</si>
  <si>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</si>
  <si>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</si>
  <si>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</si>
  <si>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</si>
  <si>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</si>
  <si>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</si>
  <si>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</si>
  <si>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</si>
  <si>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</si>
  <si>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</si>
  <si>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</si>
  <si>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</si>
  <si>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</si>
  <si>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</si>
  <si>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</si>
  <si>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</si>
  <si>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</si>
  <si>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</si>
  <si>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</si>
  <si>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</si>
  <si>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</si>
  <si>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</si>
  <si>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</si>
  <si>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</si>
  <si>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</si>
  <si>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</si>
  <si>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</si>
  <si>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</si>
  <si>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</si>
  <si>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</si>
  <si>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</si>
  <si>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</si>
  <si>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</si>
  <si>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</si>
  <si>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</si>
  <si>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</si>
  <si>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</si>
  <si>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</si>
  <si>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</si>
  <si>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</si>
  <si>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</si>
  <si>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</si>
  <si>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</si>
  <si>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</si>
  <si>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</si>
  <si>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</si>
  <si>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</si>
  <si>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</si>
  <si>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</si>
  <si>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</si>
  <si>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</si>
  <si>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</si>
  <si>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</si>
  <si>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</si>
  <si>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</si>
  <si>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</si>
  <si>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</si>
  <si>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</si>
  <si>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</si>
  <si>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</si>
  <si>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</si>
  <si>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</si>
  <si>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</si>
  <si>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</si>
  <si>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</si>
  <si>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</si>
  <si>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</si>
  <si>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</si>
  <si>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</si>
  <si>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</si>
  <si>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</si>
  <si>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</si>
  <si>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</si>
  <si>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</si>
  <si>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</si>
  <si>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</si>
  <si>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</si>
  <si>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</si>
  <si>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</si>
  <si>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</si>
  <si>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</si>
  <si>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</si>
  <si>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</si>
  <si>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</si>
  <si>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</si>
  <si>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</si>
  <si>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</si>
  <si>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</si>
  <si>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</si>
  <si>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</si>
  <si>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</si>
  <si>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</si>
  <si>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</si>
  <si>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</si>
  <si>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</si>
  <si>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</si>
  <si>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</si>
  <si>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</si>
  <si>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</si>
  <si>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</si>
  <si>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</si>
  <si>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</si>
  <si>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</si>
  <si>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</si>
  <si>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</si>
  <si>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</si>
  <si>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</si>
  <si>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</si>
  <si>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</si>
  <si>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</si>
  <si>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</si>
  <si>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</si>
  <si>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</si>
  <si>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</si>
  <si>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</si>
  <si>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</si>
  <si>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</si>
  <si>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</si>
  <si>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</si>
  <si>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</si>
  <si>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</si>
  <si>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</si>
  <si>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</si>
  <si>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</si>
  <si>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</si>
  <si>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</si>
  <si>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</si>
  <si>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</si>
  <si>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</si>
  <si>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</si>
  <si>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</si>
  <si>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</si>
  <si>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</si>
  <si>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</si>
  <si>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</si>
  <si>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</si>
  <si>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</si>
  <si>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</si>
  <si>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</si>
  <si>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</si>
  <si>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</si>
  <si>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</si>
  <si>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</si>
  <si>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</si>
  <si>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</si>
  <si>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</si>
  <si>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</si>
  <si>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</si>
  <si>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</si>
  <si>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</si>
  <si>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</si>
  <si>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</si>
  <si>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</si>
  <si>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</si>
  <si>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</si>
  <si>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</si>
  <si>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</si>
  <si>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</si>
  <si>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</si>
  <si>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</si>
  <si>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</si>
  <si>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</si>
  <si>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</si>
  <si>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</si>
  <si>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</si>
  <si>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</si>
  <si>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</si>
  <si>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</si>
  <si>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</si>
  <si>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</si>
  <si>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</si>
  <si>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</si>
  <si>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</si>
  <si>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</si>
  <si>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</si>
  <si>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</si>
  <si>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</si>
  <si>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</si>
  <si>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</si>
  <si>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</si>
  <si>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</si>
  <si>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</si>
  <si>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</si>
  <si>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</si>
  <si>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</si>
  <si>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</si>
  <si>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</si>
  <si>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</si>
  <si>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</si>
  <si>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</si>
  <si>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</si>
  <si>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</si>
  <si>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</si>
  <si>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</si>
  <si>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</si>
  <si>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</si>
  <si>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</si>
  <si>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</si>
  <si>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</si>
  <si>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</si>
  <si>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</si>
  <si>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</si>
  <si>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</si>
  <si>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</si>
  <si>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</si>
  <si>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</si>
  <si>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</si>
  <si>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</si>
  <si>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</si>
  <si>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</si>
  <si>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</si>
  <si>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</si>
  <si>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</si>
  <si>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</si>
  <si>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</si>
  <si>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</si>
  <si>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</si>
  <si>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</si>
  <si>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</si>
  <si>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</si>
  <si>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</si>
  <si>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</si>
  <si>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</si>
  <si>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</si>
  <si>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</si>
  <si>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</si>
  <si>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</si>
  <si>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</si>
  <si>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</si>
  <si>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</si>
  <si>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</si>
  <si>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</si>
  <si>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</si>
  <si>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</si>
  <si>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</si>
  <si>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</si>
  <si>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</si>
  <si>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</si>
  <si>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</si>
  <si>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</si>
  <si>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</si>
  <si>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</si>
  <si>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</si>
  <si>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</si>
  <si>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</si>
  <si>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</si>
  <si>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</si>
  <si>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</si>
  <si>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</si>
  <si>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</si>
  <si>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</si>
  <si>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</si>
  <si>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</si>
  <si>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</si>
  <si>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</si>
  <si>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</si>
  <si>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</si>
  <si>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</si>
  <si>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</si>
  <si>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</si>
  <si>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</si>
  <si>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</si>
  <si>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</si>
  <si>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</si>
  <si>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</si>
  <si>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</si>
  <si>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</si>
  <si>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</si>
  <si>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</si>
  <si>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</si>
  <si>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</si>
  <si>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</si>
  <si>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</si>
  <si>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</si>
  <si>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</si>
  <si>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</si>
  <si>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</si>
  <si>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</si>
  <si>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</si>
  <si>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</si>
  <si>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</si>
  <si>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</si>
  <si>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</si>
  <si>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</si>
  <si>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</si>
  <si>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</si>
  <si>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</si>
  <si>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</si>
  <si>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</si>
  <si>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</si>
  <si>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</si>
  <si>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</si>
  <si>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</si>
  <si>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</si>
  <si>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</si>
  <si>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</si>
  <si>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</si>
  <si>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</si>
  <si>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</si>
  <si>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</si>
  <si>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</si>
  <si>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</si>
  <si>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</si>
  <si>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</si>
  <si>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</si>
  <si>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</si>
  <si>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</si>
  <si>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</si>
  <si>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</si>
  <si>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</si>
  <si>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</si>
  <si>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</si>
  <si>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</si>
  <si>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</si>
  <si>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</si>
  <si>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</si>
  <si>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</si>
  <si>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</si>
  <si>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</si>
  <si>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</si>
  <si>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</si>
  <si>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</si>
  <si>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</si>
  <si>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</si>
  <si>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</si>
  <si>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</si>
  <si>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</si>
  <si>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</si>
  <si>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</si>
  <si>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</si>
  <si>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</si>
  <si>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</si>
  <si>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</si>
  <si>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</si>
  <si>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</si>
  <si>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</si>
  <si>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</si>
  <si>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</si>
  <si>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</si>
  <si>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</si>
  <si>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</si>
  <si>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</si>
  <si>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</si>
  <si>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</si>
  <si>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</si>
  <si>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</si>
  <si>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</si>
  <si>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</si>
  <si>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</si>
  <si>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</si>
  <si>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</si>
  <si>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</si>
  <si>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</si>
  <si>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</si>
  <si>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</si>
  <si>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</si>
  <si>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</si>
  <si>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</si>
  <si>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</si>
  <si>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</si>
  <si>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</si>
  <si>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</si>
  <si>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</si>
  <si>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</si>
  <si>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</si>
  <si>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</si>
  <si>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</si>
  <si>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</si>
  <si>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</si>
  <si>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</si>
  <si>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</si>
  <si>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</si>
  <si>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</si>
  <si>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</si>
  <si>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</si>
  <si>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</si>
  <si>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</si>
  <si>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</si>
  <si>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</si>
  <si>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</si>
  <si>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</si>
  <si>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</si>
  <si>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</si>
  <si>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</si>
  <si>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</si>
  <si>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</si>
  <si>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</si>
  <si>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</si>
  <si>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</si>
  <si>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</si>
  <si>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</si>
  <si>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</si>
  <si>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</si>
  <si>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</si>
  <si>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</si>
  <si>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</si>
  <si>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</si>
  <si>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</si>
  <si>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</si>
  <si>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</si>
  <si>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</si>
  <si>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</si>
  <si>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</si>
  <si>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</si>
  <si>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</si>
  <si>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</si>
  <si>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</si>
  <si>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</si>
  <si>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</si>
  <si>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</si>
  <si>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</si>
  <si>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</si>
  <si>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</si>
  <si>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</si>
  <si>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</si>
  <si>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</si>
  <si>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</si>
  <si>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</si>
  <si>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</si>
  <si>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</si>
  <si>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</si>
  <si>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</si>
  <si>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</si>
  <si>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</si>
  <si>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</si>
  <si>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</si>
  <si>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</si>
  <si>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</si>
  <si>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</si>
  <si>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</si>
  <si>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</si>
  <si>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</si>
  <si>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</si>
  <si>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</si>
  <si>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</si>
  <si>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</si>
  <si>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</si>
  <si>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</si>
  <si>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</si>
  <si>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</si>
  <si>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</si>
  <si>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</si>
  <si>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</si>
  <si>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</si>
  <si>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</si>
  <si>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</si>
  <si>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</si>
  <si>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</si>
  <si>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</si>
  <si>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</si>
  <si>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</si>
  <si>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</si>
  <si>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</si>
  <si>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</si>
  <si>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</si>
  <si>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</si>
  <si>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</si>
  <si>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</si>
  <si>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</si>
  <si>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</si>
  <si>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</si>
  <si>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</si>
  <si>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</si>
  <si>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</si>
  <si>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</si>
  <si>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</si>
  <si>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</si>
  <si>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</si>
  <si>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</si>
  <si>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</si>
  <si>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</si>
  <si>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</si>
  <si>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</si>
  <si>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</si>
  <si>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</si>
  <si>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</si>
  <si>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</si>
  <si>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</si>
  <si>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</si>
  <si>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</si>
  <si>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</si>
  <si>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</si>
  <si>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</si>
  <si>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</si>
  <si>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</si>
  <si>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</si>
  <si>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</si>
  <si>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</si>
  <si>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</si>
  <si>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</si>
  <si>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</si>
  <si>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</si>
  <si>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</si>
  <si>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</si>
  <si>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</si>
  <si>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</si>
  <si>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</si>
  <si>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</si>
  <si>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</si>
  <si>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</si>
  <si>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</si>
  <si>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</si>
  <si>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</si>
  <si>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</si>
  <si>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</si>
  <si>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</si>
  <si>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</si>
  <si>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</si>
  <si>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</si>
  <si>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</si>
  <si>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</si>
  <si>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</si>
  <si>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</si>
  <si>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</si>
  <si>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</si>
  <si>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</si>
  <si>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</si>
  <si>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</si>
  <si>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</si>
  <si>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</si>
  <si>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</si>
  <si>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</si>
  <si>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</si>
  <si>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</si>
  <si>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</si>
  <si>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</si>
  <si>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</si>
  <si>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</si>
  <si>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</si>
  <si>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</si>
  <si>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</si>
  <si>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</si>
  <si>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</si>
  <si>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</si>
  <si>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</si>
  <si>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</si>
  <si>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</si>
  <si>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</si>
  <si>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</si>
  <si>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</si>
  <si>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</si>
  <si>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</si>
  <si>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</si>
  <si>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</si>
  <si>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</si>
  <si>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</si>
  <si>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</si>
  <si>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</si>
  <si>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</si>
  <si>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</si>
  <si>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</si>
  <si>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</si>
  <si>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</si>
  <si>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</si>
  <si>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</si>
  <si>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</si>
  <si>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</si>
  <si>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</si>
  <si>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</si>
  <si>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</si>
  <si>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</si>
  <si>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</si>
  <si>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</si>
  <si>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</si>
  <si>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</si>
  <si>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</si>
  <si>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</si>
  <si>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</si>
  <si>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</si>
  <si>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</si>
  <si>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</si>
  <si>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</si>
  <si>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</si>
  <si>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</si>
  <si>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</si>
  <si>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</si>
  <si>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</si>
  <si>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</si>
  <si>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</si>
  <si>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</si>
  <si>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</si>
  <si>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</si>
  <si>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</si>
  <si>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</si>
  <si>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</si>
  <si>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</si>
  <si>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</si>
  <si>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</si>
  <si>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</si>
  <si>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</si>
  <si>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</si>
  <si>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</si>
  <si>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</si>
  <si>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</si>
  <si>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</si>
  <si>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</si>
  <si>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</si>
  <si>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</si>
  <si>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</si>
  <si>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</si>
  <si>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</si>
  <si>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</si>
  <si>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</si>
  <si>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</si>
  <si>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</si>
  <si>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</si>
  <si>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</si>
  <si>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</si>
  <si>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</si>
  <si>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</si>
  <si>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</si>
  <si>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</si>
  <si>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</si>
  <si>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</si>
  <si>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</si>
  <si>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</si>
  <si>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</si>
  <si>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</si>
  <si>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</si>
  <si>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</si>
  <si>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</si>
  <si>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</si>
  <si>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</si>
  <si>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</si>
  <si>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</si>
  <si>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</si>
  <si>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</si>
  <si>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</si>
  <si>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</si>
  <si>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</si>
  <si>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</si>
  <si>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</si>
  <si>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</si>
  <si>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</si>
  <si>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</si>
  <si>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</si>
  <si>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</si>
  <si>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</si>
  <si>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</si>
  <si>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</si>
  <si>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</si>
  <si>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</si>
  <si>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</si>
  <si>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</si>
  <si>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</si>
  <si>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</si>
  <si>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</si>
  <si>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</si>
  <si>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</si>
  <si>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</si>
  <si>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</si>
  <si>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</si>
  <si>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</si>
  <si>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</si>
  <si>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</si>
  <si>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</si>
  <si>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</si>
  <si>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</si>
  <si>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</si>
  <si>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</si>
  <si>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</si>
  <si>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</si>
  <si>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</si>
  <si>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</si>
  <si>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</si>
  <si>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</si>
  <si>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</si>
  <si>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</si>
  <si>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</si>
  <si>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</si>
  <si>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</si>
  <si>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</si>
  <si>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</si>
  <si>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</si>
  <si>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</si>
  <si>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</si>
  <si>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</si>
  <si>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</si>
  <si>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</si>
  <si>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</si>
  <si>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</si>
  <si>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</si>
  <si>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</si>
  <si>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</si>
  <si>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</si>
  <si>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</si>
  <si>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</si>
  <si>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</si>
  <si>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</si>
  <si>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</si>
  <si>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</si>
  <si>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</si>
  <si>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</si>
  <si>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</si>
  <si>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</si>
  <si>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</si>
  <si>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</si>
  <si>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</si>
  <si>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</si>
  <si>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</si>
  <si>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</si>
  <si>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</si>
  <si>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</si>
  <si>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</si>
  <si>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</si>
  <si>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</si>
  <si>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</si>
  <si>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</si>
  <si>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</si>
  <si>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</si>
  <si>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</si>
  <si>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</si>
  <si>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</si>
  <si>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</si>
  <si>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</si>
  <si>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</si>
  <si>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</si>
  <si>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</si>
  <si>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</si>
  <si>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</si>
  <si>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</si>
  <si>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</si>
  <si>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</si>
  <si>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</si>
  <si>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</si>
  <si>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</si>
  <si>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</si>
  <si>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</si>
  <si>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</si>
  <si>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</si>
  <si>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</si>
  <si>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</si>
  <si>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</si>
  <si>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</si>
  <si>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</si>
  <si>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</si>
  <si>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</si>
  <si>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</si>
  <si>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</si>
  <si>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</si>
  <si>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</si>
  <si>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</si>
  <si>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</si>
  <si>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</si>
  <si>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</si>
  <si>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</si>
  <si>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</si>
  <si>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</si>
  <si>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</si>
  <si>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</si>
  <si>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</si>
  <si>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</si>
  <si>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</si>
  <si>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</si>
  <si>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</si>
  <si>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</si>
  <si>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</si>
  <si>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</si>
  <si>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</si>
  <si>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</si>
  <si>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</si>
  <si>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</si>
  <si>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</si>
  <si>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</si>
  <si>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</si>
  <si>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</si>
  <si>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</si>
  <si>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</si>
  <si>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</si>
  <si>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</si>
  <si>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</si>
  <si>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</si>
  <si>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</si>
  <si>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</si>
  <si>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</si>
  <si>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</si>
  <si>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</si>
  <si>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</si>
  <si>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</si>
  <si>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</si>
  <si>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</si>
  <si>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</si>
  <si>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</si>
  <si>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</si>
  <si>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</si>
  <si>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</si>
  <si>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</si>
  <si>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</si>
  <si>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</si>
  <si>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</si>
  <si>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</si>
  <si>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</si>
  <si>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</si>
  <si>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</si>
  <si>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</si>
  <si>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</si>
  <si>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</si>
  <si>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</si>
  <si>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</si>
  <si>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</si>
  <si>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</si>
  <si>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</si>
  <si>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</si>
  <si>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</si>
  <si>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</si>
  <si>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</si>
  <si>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</si>
  <si>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</si>
  <si>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</si>
  <si>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</si>
  <si>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</si>
  <si>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</si>
  <si>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</si>
  <si>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</si>
  <si>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</si>
  <si>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</si>
  <si>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</si>
  <si>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</si>
  <si>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</si>
  <si>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</si>
  <si>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</si>
  <si>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</si>
  <si>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</si>
  <si>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</si>
  <si>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</si>
  <si>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</si>
  <si>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</si>
  <si>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</si>
  <si>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</si>
  <si>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</si>
  <si>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</si>
  <si>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</si>
  <si>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</si>
  <si>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</si>
  <si>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</si>
  <si>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</si>
  <si>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</si>
  <si>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</si>
  <si>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</si>
  <si>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</si>
  <si>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</si>
  <si>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</si>
  <si>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</si>
  <si>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</si>
  <si>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</si>
  <si>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</si>
  <si>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</si>
  <si>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</si>
  <si>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</si>
  <si>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</si>
  <si>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</si>
  <si>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</si>
  <si>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</si>
  <si>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</si>
  <si>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</si>
  <si>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</si>
  <si>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</si>
  <si>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</si>
  <si>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</si>
  <si>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</si>
  <si>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</si>
  <si>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</si>
  <si>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</si>
  <si>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</si>
  <si>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</si>
  <si>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</si>
  <si>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</si>
  <si>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</si>
  <si>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</si>
  <si>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</si>
  <si>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</si>
  <si>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</si>
  <si>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</si>
  <si>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</si>
  <si>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</si>
  <si>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</si>
  <si>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</si>
  <si>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</si>
  <si>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</si>
  <si>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</si>
  <si>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</si>
  <si>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</si>
  <si>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</si>
  <si>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</si>
  <si>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</si>
  <si>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</si>
  <si>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</si>
  <si>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</si>
  <si>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</si>
  <si>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</si>
  <si>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</si>
  <si>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</si>
  <si>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</si>
  <si>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</si>
  <si>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</si>
  <si>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</si>
  <si>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</si>
  <si>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</si>
  <si>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</si>
  <si>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</si>
  <si>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</si>
  <si>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</si>
  <si>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</si>
  <si>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</si>
  <si>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</si>
  <si>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</si>
  <si>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</si>
  <si>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</si>
  <si>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</si>
  <si>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</si>
  <si>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</si>
  <si>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</si>
  <si>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</si>
  <si>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</si>
  <si>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</si>
  <si>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</si>
  <si>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</si>
  <si>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</si>
  <si>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</si>
  <si>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</si>
  <si>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</si>
  <si>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</si>
  <si>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</si>
  <si>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</si>
  <si>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</si>
  <si>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</si>
  <si>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</si>
  <si>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</si>
  <si>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</si>
  <si>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</si>
  <si>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</si>
  <si>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</si>
  <si>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</si>
  <si>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</si>
  <si>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</si>
  <si>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</si>
  <si>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</si>
  <si>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</si>
  <si>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</si>
  <si>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</si>
  <si>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</si>
  <si>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</si>
  <si>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</si>
  <si>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</si>
  <si>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</si>
  <si>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</si>
  <si>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</si>
  <si>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</si>
  <si>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</si>
  <si>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</si>
  <si>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</si>
  <si>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</si>
  <si>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</si>
  <si>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</si>
  <si>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</si>
  <si>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</si>
  <si>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</si>
  <si>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</si>
  <si>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</si>
  <si>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</si>
  <si>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</si>
  <si>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</si>
  <si>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</si>
  <si>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</si>
  <si>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</si>
  <si>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</si>
  <si>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</si>
  <si>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</si>
  <si>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</si>
  <si>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</si>
  <si>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</si>
  <si>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</si>
  <si>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</si>
  <si>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</si>
  <si>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</si>
  <si>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</si>
  <si>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</si>
  <si>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</si>
  <si>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</si>
  <si>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</si>
  <si>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</si>
  <si>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</si>
  <si>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</si>
  <si>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</si>
  <si>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</si>
  <si>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</si>
  <si>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</si>
  <si>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</si>
  <si>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</si>
  <si>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</si>
  <si>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</si>
  <si>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</si>
  <si>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</si>
  <si>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</si>
  <si>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</si>
  <si>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</si>
  <si>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</si>
  <si>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</si>
  <si>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</si>
  <si>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</si>
  <si>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</si>
  <si>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</si>
  <si>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</si>
  <si>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</si>
  <si>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</si>
  <si>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</si>
  <si>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</si>
  <si>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</si>
  <si>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</si>
  <si>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</si>
  <si>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</si>
  <si>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</si>
  <si>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</si>
  <si>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</si>
  <si>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</si>
  <si>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</si>
  <si>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</si>
  <si>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</si>
  <si>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</si>
  <si>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</si>
  <si>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</si>
  <si>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</si>
  <si>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</si>
  <si>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</si>
  <si>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</si>
  <si>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</si>
  <si>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</si>
  <si>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</si>
  <si>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</si>
  <si>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</si>
  <si>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</si>
  <si>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</si>
  <si>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</si>
  <si>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</si>
  <si>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</si>
  <si>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</si>
  <si>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</si>
  <si>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</si>
  <si>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</si>
  <si>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</si>
  <si>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</si>
  <si>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</si>
  <si>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</si>
  <si>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</si>
  <si>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</si>
  <si>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</si>
  <si>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</si>
  <si>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</si>
  <si>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</si>
  <si>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</si>
  <si>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</si>
  <si>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</si>
  <si>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</si>
  <si>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</si>
  <si>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</si>
  <si>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</si>
  <si>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</si>
  <si>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</si>
  <si>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</si>
  <si>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</si>
  <si>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</si>
  <si>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</si>
  <si>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</si>
  <si>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</si>
  <si>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</si>
  <si>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</si>
  <si>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</si>
  <si>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</si>
  <si>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</si>
  <si>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</si>
  <si>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</si>
  <si>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</si>
  <si>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</si>
  <si>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</si>
  <si>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</si>
  <si>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</si>
  <si>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</si>
  <si>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</si>
  <si>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</si>
  <si>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</si>
  <si>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</si>
  <si>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</si>
  <si>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</si>
  <si>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</si>
  <si>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</si>
  <si>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</si>
  <si>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</si>
  <si>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</si>
  <si>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</si>
  <si>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</si>
  <si>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</si>
  <si>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</si>
  <si>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</si>
  <si>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</si>
  <si>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</si>
  <si>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</si>
  <si>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</si>
  <si>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</si>
  <si>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</si>
  <si>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</si>
  <si>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</si>
  <si>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</si>
  <si>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</si>
  <si>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</si>
  <si>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</si>
  <si>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</si>
  <si>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</si>
  <si>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</si>
  <si>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</si>
  <si>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</si>
  <si>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</si>
  <si>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</si>
  <si>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</si>
  <si>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</si>
  <si>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</si>
  <si>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</si>
  <si>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</si>
  <si>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</si>
  <si>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</si>
  <si>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</si>
  <si>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</si>
  <si>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</si>
  <si>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</si>
  <si>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</si>
  <si>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</si>
  <si>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</si>
  <si>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</si>
  <si>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</si>
  <si>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</si>
  <si>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</si>
  <si>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</si>
  <si>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</si>
  <si>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</si>
  <si>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</si>
  <si>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</si>
  <si>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</si>
  <si>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</si>
  <si>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</si>
  <si>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</si>
  <si>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</si>
  <si>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</si>
  <si>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</si>
  <si>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</si>
  <si>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</si>
  <si>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</si>
  <si>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</si>
  <si>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</si>
  <si>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</si>
  <si>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</si>
  <si>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</si>
  <si>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</si>
  <si>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</si>
  <si>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</si>
  <si>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</si>
  <si>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</si>
  <si>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</si>
  <si>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</si>
  <si>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</si>
  <si>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</si>
  <si>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</si>
  <si>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</si>
  <si>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</si>
  <si>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</si>
  <si>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</si>
  <si>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</si>
  <si>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</si>
  <si>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</si>
  <si>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</si>
  <si>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</si>
  <si>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</si>
  <si>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</si>
  <si>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</si>
  <si>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</si>
  <si>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</si>
  <si>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</si>
  <si>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</si>
  <si>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</si>
  <si>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</si>
  <si>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</si>
  <si>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</si>
  <si>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</si>
  <si>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</si>
  <si>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</si>
  <si>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</si>
  <si>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</si>
  <si>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</si>
  <si>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</si>
  <si>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</si>
  <si>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</si>
  <si>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</si>
  <si>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</si>
  <si>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</si>
  <si>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</si>
  <si>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</si>
  <si>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</si>
  <si>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</si>
  <si>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</si>
  <si>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</si>
  <si>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</si>
  <si>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</si>
  <si>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</si>
  <si>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</si>
  <si>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</si>
  <si>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</si>
  <si>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</si>
  <si>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</si>
  <si>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</si>
  <si>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</si>
  <si>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</si>
  <si>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</si>
  <si>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</si>
  <si>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</si>
  <si>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</si>
  <si>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</si>
  <si>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</si>
  <si>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</si>
  <si>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</si>
  <si>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</si>
  <si>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</si>
  <si>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</si>
  <si>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</si>
  <si>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</si>
  <si>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</si>
  <si>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</si>
  <si>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</si>
  <si>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</si>
  <si>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</si>
  <si>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</si>
  <si>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</si>
  <si>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</si>
  <si>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</si>
  <si>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</si>
  <si>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</si>
  <si>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</si>
  <si>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</si>
  <si>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</si>
  <si>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</si>
  <si>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</si>
  <si>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</si>
  <si>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</si>
  <si>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</si>
  <si>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</si>
  <si>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</si>
  <si>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</si>
  <si>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</si>
  <si>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</si>
  <si>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</si>
  <si>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</si>
  <si>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</si>
  <si>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</si>
  <si>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</si>
  <si>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</si>
  <si>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</si>
  <si>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</si>
  <si>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</si>
  <si>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</si>
  <si>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</si>
  <si>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</si>
  <si>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</si>
  <si>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</si>
  <si>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</si>
  <si>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</si>
  <si>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</si>
  <si>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</si>
  <si>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</si>
  <si>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</si>
  <si>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</si>
  <si>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</si>
  <si>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</si>
  <si>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</si>
  <si>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</si>
  <si>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</si>
  <si>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</si>
  <si>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</si>
  <si>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</si>
  <si>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</si>
  <si>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</si>
  <si>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</si>
  <si>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</si>
  <si>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</si>
  <si>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</si>
  <si>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</si>
  <si>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</si>
  <si>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</si>
  <si>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</si>
  <si>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</si>
  <si>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</si>
  <si>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</si>
  <si>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</si>
  <si>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</si>
  <si>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</si>
  <si>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</si>
  <si>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</si>
  <si>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</si>
  <si>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</si>
  <si>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</si>
  <si>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</si>
  <si>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</si>
  <si>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</si>
  <si>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</si>
  <si>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</si>
  <si>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</si>
  <si>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</si>
  <si>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</si>
  <si>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</si>
  <si>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</si>
  <si>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</si>
  <si>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</si>
  <si>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</si>
  <si>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</si>
  <si>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</si>
  <si>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</si>
  <si>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</si>
  <si>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</si>
  <si>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</si>
  <si>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</si>
  <si>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</si>
  <si>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</si>
  <si>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</si>
  <si>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</si>
  <si>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</si>
  <si>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</si>
  <si>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</si>
  <si>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</si>
  <si>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</si>
  <si>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</si>
  <si>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</si>
  <si>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</si>
  <si>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</si>
  <si>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</si>
  <si>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</si>
  <si>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</si>
  <si>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</si>
  <si>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</si>
  <si>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</si>
  <si>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</si>
  <si>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</si>
  <si>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</si>
  <si>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</si>
  <si>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</si>
  <si>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</si>
  <si>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</si>
  <si>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</si>
  <si>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</si>
  <si>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</si>
  <si>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</si>
  <si>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</si>
  <si>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</si>
  <si>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</si>
  <si>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</si>
  <si>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</si>
  <si>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</si>
  <si>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</si>
  <si>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</si>
  <si>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</si>
  <si>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</si>
  <si>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</si>
  <si>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</si>
  <si>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</si>
  <si>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</si>
  <si>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</si>
  <si>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</si>
  <si>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</si>
  <si>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</si>
  <si>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</si>
  <si>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</si>
  <si>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</si>
  <si>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</si>
  <si>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</si>
  <si>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</si>
  <si>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</si>
  <si>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</si>
  <si>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</si>
  <si>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</si>
  <si>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</si>
  <si>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</si>
  <si>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</si>
  <si>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</si>
  <si>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</si>
  <si>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</si>
  <si>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</si>
  <si>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</si>
  <si>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</si>
  <si>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</si>
  <si>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</si>
  <si>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</si>
  <si>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</si>
  <si>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</si>
  <si>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</si>
  <si>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</si>
  <si>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</si>
  <si>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</si>
  <si>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</si>
  <si>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</si>
  <si>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</si>
  <si>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</si>
  <si>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</si>
  <si>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</si>
  <si>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</si>
  <si>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</si>
  <si>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</si>
  <si>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</si>
  <si>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</si>
  <si>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</si>
  <si>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</si>
  <si>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</si>
  <si>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</si>
  <si>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</si>
  <si>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</si>
  <si>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</si>
  <si>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</si>
  <si>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</si>
  <si>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</si>
  <si>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</si>
  <si>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</si>
  <si>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</si>
  <si>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</si>
  <si>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</si>
  <si>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</si>
  <si>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</si>
  <si>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</si>
  <si>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</si>
  <si>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</si>
  <si>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</si>
  <si>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</si>
  <si>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</si>
  <si>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</si>
  <si>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</si>
  <si>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</si>
  <si>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</si>
  <si>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</si>
  <si>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</si>
  <si>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</si>
  <si>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</si>
  <si>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</si>
  <si>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</si>
  <si>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</si>
  <si>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</si>
  <si>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</si>
  <si>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</si>
  <si>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</si>
  <si>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</si>
  <si>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</si>
  <si>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</si>
  <si>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</si>
  <si>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</si>
  <si>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</si>
  <si>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</si>
  <si>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</si>
  <si>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</si>
  <si>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</si>
  <si>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</si>
  <si>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</si>
  <si>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</si>
  <si>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</si>
  <si>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</si>
  <si>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</si>
  <si>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</si>
  <si>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</si>
  <si>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</si>
  <si>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</si>
  <si>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</si>
  <si>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</si>
  <si>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</si>
  <si>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</si>
  <si>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</si>
  <si>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</si>
  <si>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</si>
  <si>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</si>
  <si>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</si>
  <si>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</si>
  <si>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</si>
  <si>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</si>
  <si>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</si>
  <si>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</si>
  <si>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</si>
  <si>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</si>
  <si>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</si>
  <si>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</si>
  <si>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</si>
  <si>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</si>
  <si>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</si>
  <si>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</si>
  <si>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</si>
  <si>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</si>
  <si>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</si>
  <si>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</si>
  <si>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</si>
  <si>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</si>
  <si>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</si>
  <si>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</si>
  <si>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</si>
  <si>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</si>
  <si>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</si>
  <si>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</si>
  <si>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</si>
  <si>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</si>
  <si>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</si>
  <si>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</si>
  <si>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</si>
  <si>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</si>
  <si>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</si>
  <si>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</si>
  <si>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</si>
  <si>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</si>
  <si>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</si>
  <si>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</si>
  <si>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</si>
  <si>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</si>
  <si>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</si>
  <si>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</si>
  <si>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</si>
  <si>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</si>
  <si>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</si>
  <si>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</si>
  <si>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</si>
  <si>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</si>
  <si>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</si>
  <si>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</si>
  <si>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</si>
  <si>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</si>
  <si>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</si>
  <si>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</si>
  <si>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</si>
  <si>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</si>
  <si>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</si>
  <si>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</si>
  <si>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</si>
  <si>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</si>
  <si>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</si>
  <si>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</si>
  <si>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</si>
  <si>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</si>
  <si>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</si>
  <si>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</si>
  <si>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</si>
  <si>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</si>
  <si>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</si>
  <si>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</si>
  <si>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</si>
  <si>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</si>
  <si>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</si>
  <si>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</si>
  <si>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</si>
  <si>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</si>
  <si>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</si>
  <si>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</si>
  <si>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</si>
  <si>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</si>
  <si>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</si>
  <si>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</si>
  <si>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</si>
  <si>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</si>
  <si>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</si>
  <si>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</si>
  <si>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</si>
  <si>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</si>
  <si>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</si>
  <si>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</si>
  <si>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</si>
  <si>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</si>
  <si>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</si>
  <si>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</si>
  <si>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</si>
  <si>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</si>
  <si>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</si>
  <si>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</si>
  <si>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</si>
  <si>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</si>
  <si>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</si>
  <si>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</si>
  <si>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</si>
  <si>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</si>
  <si>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</si>
  <si>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</si>
  <si>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</si>
  <si>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</si>
  <si>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</si>
  <si>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</si>
  <si>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</si>
  <si>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</si>
  <si>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</si>
  <si>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</si>
  <si>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</si>
  <si>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</si>
  <si>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</si>
  <si>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</si>
  <si>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</si>
  <si>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</si>
  <si>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</si>
  <si>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</si>
  <si>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</si>
  <si>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</si>
  <si>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</si>
  <si>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</si>
  <si>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</si>
  <si>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</si>
  <si>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</si>
  <si>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</si>
  <si>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</si>
  <si>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</si>
  <si>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</si>
  <si>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</si>
  <si>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</si>
  <si>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</si>
  <si>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</si>
  <si>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</si>
  <si>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</si>
  <si>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</si>
  <si>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</si>
  <si>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</si>
  <si>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</si>
  <si>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</si>
  <si>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</si>
  <si>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</si>
  <si>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</si>
  <si>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</si>
  <si>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</si>
  <si>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</si>
  <si>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</si>
  <si>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</si>
  <si>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</si>
  <si>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</si>
  <si>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</si>
  <si>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</si>
  <si>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</si>
  <si>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</si>
  <si>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</si>
  <si>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</si>
  <si>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</si>
  <si>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</si>
  <si>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</si>
  <si>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</si>
  <si>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</si>
  <si>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</si>
  <si>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</si>
  <si>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</si>
  <si>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</si>
  <si>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</si>
  <si>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</si>
  <si>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</si>
  <si>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</si>
  <si>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</si>
  <si>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</si>
  <si>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</si>
  <si>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</si>
  <si>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</si>
  <si>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</si>
  <si>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</si>
  <si>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</si>
  <si>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</si>
  <si>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</si>
  <si>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</si>
  <si>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</si>
  <si>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</si>
  <si>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</si>
  <si>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</si>
  <si>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</si>
  <si>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</si>
  <si>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</si>
  <si>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</si>
  <si>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</si>
  <si>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</si>
  <si>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</si>
  <si>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</si>
  <si>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</si>
  <si>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</si>
  <si>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</si>
  <si>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</si>
  <si>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</si>
  <si>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</si>
  <si>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</si>
  <si>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</si>
  <si>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</si>
  <si>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</si>
  <si>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</si>
  <si>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</si>
  <si>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</si>
  <si>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</si>
  <si>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</si>
  <si>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</si>
  <si>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</si>
  <si>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</si>
  <si>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</si>
  <si>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</si>
  <si>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</si>
  <si>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</si>
  <si>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</si>
  <si>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</si>
  <si>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</si>
  <si>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</si>
  <si>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</si>
  <si>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</si>
  <si>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</si>
  <si>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</si>
  <si>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</si>
  <si>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</si>
  <si>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</si>
  <si>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</si>
  <si>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</si>
  <si>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</si>
  <si>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</si>
  <si>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</si>
  <si>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</si>
  <si>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</si>
  <si>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</si>
  <si>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</si>
  <si>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</si>
  <si>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</si>
  <si>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</si>
  <si>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</si>
  <si>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</si>
  <si>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</si>
  <si>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</si>
  <si>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</si>
  <si>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</si>
  <si>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</si>
  <si>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</si>
  <si>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</si>
  <si>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</si>
  <si>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</si>
  <si>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</si>
  <si>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</si>
  <si>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</si>
  <si>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</si>
  <si>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</si>
  <si>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</si>
  <si>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</si>
  <si>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</si>
  <si>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</si>
  <si>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</si>
  <si>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</si>
  <si>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</si>
  <si>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</si>
  <si>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</si>
  <si>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</si>
  <si>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</si>
  <si>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</si>
  <si>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</si>
  <si>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</si>
  <si>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</si>
  <si>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</si>
  <si>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</si>
  <si>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</si>
  <si>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</si>
  <si>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</si>
  <si>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</si>
  <si>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</si>
  <si>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</si>
  <si>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</si>
  <si>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</si>
  <si>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</si>
  <si>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</si>
  <si>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</si>
  <si>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</si>
  <si>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</si>
  <si>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</si>
  <si>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</si>
  <si>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</si>
  <si>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</si>
  <si>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</si>
  <si>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</si>
  <si>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</si>
  <si>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</si>
  <si>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</si>
  <si>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</si>
  <si>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</si>
  <si>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</si>
  <si>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</si>
  <si>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</si>
  <si>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</si>
  <si>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</si>
  <si>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</si>
  <si>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</si>
  <si>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</si>
  <si>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</si>
  <si>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</si>
  <si>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</si>
  <si>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</si>
  <si>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</si>
  <si>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</si>
  <si>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</si>
  <si>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</si>
  <si>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</si>
  <si>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</si>
  <si>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</si>
  <si>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</si>
  <si>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</si>
  <si>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</si>
  <si>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</si>
  <si>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</si>
  <si>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</si>
  <si>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</si>
  <si>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</si>
  <si>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</si>
  <si>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</si>
  <si>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</si>
  <si>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</si>
  <si>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</si>
  <si>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</si>
  <si>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</si>
  <si>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</si>
  <si>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</si>
  <si>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</si>
  <si>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</si>
  <si>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</si>
  <si>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</si>
  <si>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</si>
  <si>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</si>
  <si>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</si>
  <si>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</si>
  <si>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</si>
  <si>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</si>
  <si>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</si>
  <si>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</si>
  <si>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</si>
  <si>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</si>
  <si>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</si>
  <si>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</si>
  <si>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</si>
  <si>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</si>
  <si>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</si>
  <si>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</si>
  <si>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</si>
  <si>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</si>
  <si>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</si>
  <si>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</si>
  <si>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</si>
  <si>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</si>
  <si>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</si>
  <si>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</si>
  <si>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</si>
  <si>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</si>
  <si>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</si>
  <si>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</si>
  <si>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</si>
  <si>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</si>
  <si>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</si>
  <si>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</si>
  <si>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</si>
  <si>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</si>
  <si>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</si>
  <si>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</si>
  <si>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</si>
  <si>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</si>
  <si>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</si>
  <si>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</si>
  <si>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</si>
  <si>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</si>
  <si>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</si>
  <si>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</si>
  <si>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</si>
  <si>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</si>
  <si>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</si>
  <si>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</si>
  <si>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</si>
  <si>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</si>
  <si>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</si>
  <si>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</si>
  <si>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</si>
  <si>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</si>
  <si>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</si>
  <si>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</si>
  <si>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</si>
  <si>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</si>
  <si>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</si>
  <si>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</si>
  <si>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</si>
  <si>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</si>
  <si>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</si>
  <si>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</si>
  <si>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</si>
  <si>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</si>
  <si>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</si>
  <si>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</si>
  <si>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</si>
  <si>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</si>
  <si>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</si>
  <si>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</si>
  <si>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</si>
  <si>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</si>
  <si>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</si>
  <si>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</si>
  <si>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</si>
  <si>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</si>
  <si>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</si>
  <si>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</si>
  <si>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</si>
  <si>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</si>
  <si>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</si>
  <si>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</si>
  <si>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</si>
  <si>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</si>
  <si>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</si>
  <si>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</si>
  <si>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</si>
  <si>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</si>
  <si>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</si>
  <si>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</si>
  <si>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</si>
  <si>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</si>
  <si>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</si>
  <si>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</si>
  <si>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</si>
  <si>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</si>
  <si>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</si>
  <si>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</si>
  <si>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</si>
  <si>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</si>
  <si>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</si>
  <si>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</si>
  <si>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</si>
  <si>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</si>
  <si>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</si>
  <si>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</si>
  <si>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</si>
  <si>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</si>
  <si>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</si>
  <si>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</si>
  <si>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</si>
  <si>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</si>
  <si>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</si>
  <si>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</si>
  <si>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</si>
  <si>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</si>
  <si>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</si>
  <si>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</si>
  <si>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</si>
  <si>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</si>
  <si>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</si>
  <si>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</si>
  <si>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</si>
  <si>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</si>
  <si>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</si>
  <si>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</si>
  <si>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</si>
  <si>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</si>
  <si>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</si>
  <si>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</si>
  <si>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</si>
  <si>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</si>
  <si>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</si>
  <si>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</si>
  <si>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</si>
  <si>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</si>
  <si>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</si>
  <si>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</si>
  <si>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</si>
  <si>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</si>
  <si>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</si>
  <si>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</si>
  <si>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</si>
  <si>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</si>
  <si>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</si>
  <si>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</si>
  <si>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</si>
  <si>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</si>
  <si>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</si>
  <si>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</si>
  <si>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</si>
  <si>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</si>
  <si>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</si>
  <si>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</si>
  <si>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</si>
  <si>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</si>
  <si>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</si>
  <si>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</si>
  <si>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</si>
  <si>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</si>
  <si>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</si>
  <si>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</si>
  <si>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</si>
  <si>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</si>
  <si>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</si>
  <si>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</si>
  <si>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</si>
  <si>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</si>
  <si>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</si>
  <si>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</si>
  <si>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</si>
  <si>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</si>
  <si>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</si>
  <si>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</si>
  <si>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</si>
  <si>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</si>
  <si>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</si>
  <si>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</si>
  <si>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</si>
  <si>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</si>
  <si>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</si>
  <si>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</si>
  <si>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</si>
  <si>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</si>
  <si>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</si>
  <si>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</si>
  <si>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</si>
  <si>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</si>
  <si>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</si>
  <si>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</si>
  <si>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</si>
  <si>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</si>
  <si>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</si>
  <si>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</si>
  <si>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</si>
  <si>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</si>
  <si>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</si>
  <si>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</si>
  <si>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</si>
  <si>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</si>
  <si>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</si>
  <si>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是</t>
  </si>
  <si>
    <t>地上</t>
  </si>
  <si>
    <t>工业</t>
    <phoneticPr fontId="7" type="noConversion"/>
  </si>
  <si>
    <t>直线</t>
    <phoneticPr fontId="3" type="noConversion"/>
  </si>
  <si>
    <t>成新度</t>
  </si>
  <si>
    <t>收益法</t>
  </si>
  <si>
    <t>押一</t>
  </si>
  <si>
    <t>钢混</t>
  </si>
  <si>
    <t>非生产用房</t>
  </si>
  <si>
    <t>否</t>
  </si>
  <si>
    <t>自定义容积率</t>
  </si>
  <si>
    <t>与级别开发程度一致</t>
  </si>
  <si>
    <t>一般</t>
  </si>
  <si>
    <t>较差</t>
  </si>
  <si>
    <t>较好</t>
  </si>
  <si>
    <t>全部缴纳</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</si>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</sst>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估价对象为房地产，为所有。根据《国有土地使用证》[]，估价对象（分摊）出让国有建设用地使用权面积为0平方米，建筑面积为3604.2平方米。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估价对象为房地产,属开发建设的，该项目尚在开发建设中。根据《国有土地使用证》[]，估价对象（分摊）出让国有建设用地使用权面积为0平方米，规划建筑面积为3604.2平方米。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2024年3月19日</v>
      </c>
    </row>
    <row r="13" spans="1:2" s="1203" customFormat="1">
      <c r="A13" s="1201" t="s">
        <v>529</v>
      </c>
      <c r="B13" s="1202" t="str">
        <f>'预评函-1'!A18</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3604.2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45370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2.75</v>
      </c>
      <c r="D5" s="3025">
        <f>IF(ISERROR(ROUND(POWER(1+E5,A5-C5)*(POWER(1+E5,C5)-1)/(POWER(1+E5,A5)-1),3)),0,ROUND(POWER(1+E5,A5-C5)*(POWER(1+E5,C5)-1)/(POWER(1+E5,A5)-1),4))</f>
        <v>0.12909999999999999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12.76</v>
      </c>
      <c r="D6" s="3025">
        <f>IF(ISERROR(ROUND(POWER(1+E6,A6-C6)*(POWER(1+E6,C6)-1)/(POWER(1+E6,A6)-1),3)),0,ROUND(POWER(1+E6,A6-C6)*(POWER(1+E6,C6)-1)/(POWER(1+E6,A6)-1),4))</f>
        <v>0.4582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32.770000000000003</v>
      </c>
      <c r="D7" s="3025">
        <f>IF(ISERROR(ROUND(POWER(1+E7,A7-C7)*(POWER(1+E7,C7)-1)/(POWER(1+E7,A7)-1),3)),0,ROUND(POWER(1+E7,A7-C7)*(POWER(1+E7,C7)-1)/(POWER(1+E7,A7)-1),4))</f>
        <v>0.77310000000000001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45370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4" t="s">
        <v>2177</v>
      </c>
      <c r="E8" s="2391"/>
      <c r="F8" s="2392"/>
      <c r="G8" s="2663"/>
      <c r="H8" s="2663"/>
      <c r="I8" s="2663"/>
      <c r="J8" s="2439"/>
      <c r="K8" s="2614"/>
      <c r="L8" s="2613"/>
      <c r="M8" s="2613"/>
      <c r="N8" s="2439"/>
      <c r="O8" s="2450"/>
      <c r="P8" s="2439"/>
      <c r="Q8" s="2439"/>
      <c r="R8" s="2439"/>
    </row>
    <row r="9" spans="1:30" ht="13.5" thickBot="1">
      <c r="A9" s="2393" t="s">
        <v>2178</v>
      </c>
      <c r="B9" s="2394"/>
      <c r="C9" s="2395"/>
      <c r="D9" s="3495"/>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57405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32.97</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3604.2</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307</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193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3604.2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3604.2</v>
      </c>
      <c r="H5" s="13">
        <f t="shared" ref="H5:AT5" si="0">SUM(H13:H656)</f>
        <v>3604.2</v>
      </c>
      <c r="I5" s="13">
        <f t="shared" si="0"/>
        <v>3604.2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3604.2</v>
      </c>
      <c r="BA5" s="15">
        <f t="shared" si="1"/>
        <v>3604.2</v>
      </c>
      <c r="BB5" s="15">
        <f t="shared" si="1"/>
        <v>3604.2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3604.2</v>
      </c>
      <c r="H13" s="17">
        <f>SUMIF(I$12:AB$12,"总值",I13:AB13)</f>
        <v>3604.2</v>
      </c>
      <c r="I13" s="1626">
        <v>3604.2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3604.2</v>
      </c>
      <c r="BA13" s="13">
        <f>SUM(BB13:BK13)</f>
        <v>3604.2</v>
      </c>
      <c r="BB13" s="13">
        <f>IF($D13="是",I13-J13,0)</f>
        <v>3604.2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3604.2</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3604.2</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3604.2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3604.2</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3604.2</v>
      </c>
      <c r="F19" s="2795">
        <f>'数据-基础表'!I13</f>
        <v>3604.2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3604.2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3604.2</v>
      </c>
      <c r="F27" s="1140">
        <f>IF(SUM(F19:F26)=E8,SUM(F19:F26),"地上面积有误")</f>
        <v>3604.2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3604.2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3604.2</v>
      </c>
      <c r="F31" s="677">
        <f>F27+F30</f>
        <v>3604.2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K8" sqref="AK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57405</v>
      </c>
      <c r="F6" s="64">
        <f>SUMIF(项目基本情况!C$12:I$12,C6,项目基本情况!C$15:I$15)</f>
        <v>32.97</v>
      </c>
      <c r="G6" s="65">
        <f>IF(ISERROR(ROUND(POWER(1+H6,D6-F6)*(POWER(1+H6,F6)-1)/(POWER(1+H6,D6)-1),3)),0,ROUND(POWER(1+H6,D6-F6)*(POWER(1+H6,F6)-1)/(POWER(1+H6,D6)-1),3))</f>
        <v>0.876</v>
      </c>
      <c r="H6" s="732">
        <v>0.05</v>
      </c>
      <c r="I6" s="732">
        <v>5.5E-2</v>
      </c>
      <c r="J6" s="66">
        <v>7.0000000000000007E-2</v>
      </c>
      <c r="K6" s="1030">
        <f>SUMIF('数据-汇总表'!C$19:C$33,A6,'数据-汇总表'!E$19:E$33)</f>
        <v>3604.2</v>
      </c>
      <c r="L6" s="733">
        <v>3500</v>
      </c>
      <c r="M6" s="67">
        <f t="shared" ref="M6:M14" si="0">ROUND(K6*L6/10000,0)</f>
        <v>1261</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1.5</v>
      </c>
      <c r="V6" s="70">
        <v>0.02</v>
      </c>
      <c r="W6" s="70">
        <v>0.15</v>
      </c>
      <c r="X6" s="1040"/>
      <c r="Y6" s="71">
        <f>N6</f>
        <v>0.7</v>
      </c>
      <c r="Z6" s="72"/>
      <c r="AA6" s="66"/>
      <c r="AB6" s="66"/>
      <c r="AC6" s="1040"/>
      <c r="AD6" s="73"/>
      <c r="AE6" s="1041">
        <f ca="1">IF(AN6="",0,SUMIF(INDIRECT("'"&amp;AN6&amp;"'"&amp;"!E:E"),$AE$5,INDIRECT("'"&amp;AN6&amp;"'"&amp;"!F:F")))</f>
        <v>32.97</v>
      </c>
      <c r="AF6" s="1348"/>
      <c r="AG6" s="138">
        <f>IF(AF6="",0,AE6-AF6)</f>
        <v>0</v>
      </c>
      <c r="AH6" s="74"/>
      <c r="AI6" s="76">
        <v>365</v>
      </c>
      <c r="AJ6" s="77"/>
      <c r="AK6" s="78">
        <v>0.01</v>
      </c>
      <c r="AL6" s="79">
        <v>1E-3</v>
      </c>
      <c r="AM6" s="80">
        <v>0.01</v>
      </c>
      <c r="AN6" s="1715" t="s">
        <v>3389</v>
      </c>
      <c r="AO6" s="52">
        <f ca="1">SUMIF(INDIRECT("'"&amp;AN6&amp;"'"&amp;"!A:A"),"总价",INDIRECT("'"&amp;AN6&amp;"'"&amp;"!B:B"))</f>
        <v>2348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0.876</v>
      </c>
      <c r="H16" s="90">
        <f>ROUND(SUMPRODUCT(H6:H13,K6:K13)/SUMPRODUCT((H6:H13&gt;0)*(K6:K13)),3)</f>
        <v>0.05</v>
      </c>
      <c r="I16" s="91"/>
      <c r="J16" s="91"/>
      <c r="K16" s="92">
        <f>SUM(K6:K15)</f>
        <v>3604.2</v>
      </c>
      <c r="L16" s="93">
        <f>ROUND(M16*10000/SUM(K6:K14),0)</f>
        <v>3499</v>
      </c>
      <c r="M16" s="93">
        <f>SUM(M6:M14)</f>
        <v>1261</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788" t="s">
        <v>3387</v>
      </c>
      <c r="N19" s="2671">
        <f>ROUND(1-(2024-2008)/60,2)</f>
        <v>0.73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8" sqref="B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45370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 zoomScale="85" zoomScaleNormal="100" zoomScaleSheetLayoutView="85" zoomScalePageLayoutView="80" workbookViewId="0">
      <selection activeCell="A14" sqref="A14:A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3401</v>
      </c>
      <c r="D4" s="1756" t="s">
        <v>3389</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45</v>
      </c>
      <c r="D14" s="3599">
        <v>55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45</v>
      </c>
      <c r="D17" s="132">
        <f>SUM(D5:D16)</f>
        <v>55</v>
      </c>
      <c r="E17" s="129"/>
      <c r="F17" s="129"/>
      <c r="G17" s="129"/>
      <c r="H17" s="129"/>
      <c r="I17" s="129"/>
      <c r="K17" s="302"/>
      <c r="L17" s="302" t="s">
        <v>1286</v>
      </c>
      <c r="M17" s="302" t="s">
        <v>1287</v>
      </c>
    </row>
    <row r="18" spans="1:36" ht="31.9" customHeight="1" thickBot="1">
      <c r="A18" s="1759" t="s">
        <v>1288</v>
      </c>
      <c r="B18" s="1760"/>
      <c r="C18" s="133">
        <f>ROUND(C17/SUM(C17:D17),2)</f>
        <v>0.45</v>
      </c>
      <c r="D18" s="133">
        <f>1-C18</f>
        <v>0.55000000000000004</v>
      </c>
      <c r="E18" s="3630" t="s">
        <v>2131</v>
      </c>
      <c r="F18" s="3631"/>
      <c r="G18" s="3631"/>
      <c r="H18" s="3631"/>
      <c r="I18" s="3631"/>
      <c r="K18" s="302" t="s">
        <v>1289</v>
      </c>
      <c r="L18" s="302">
        <f>IF(C1="",'数据-汇总表'!E3,SUMIF(项目类型,C1,'数据-汇总表'!E17:E26)+SUMIF(项目类型,C1,'数据-汇总表'!I17:I26))</f>
        <v>3604.2</v>
      </c>
      <c r="M18" s="302">
        <f>IF(C1="",'数据-汇总表'!E3,SUMIF(项目类型,C1,'数据-汇总表'!E17:E26))</f>
        <v>3604.2</v>
      </c>
    </row>
    <row r="19" spans="1:36" ht="15">
      <c r="A19" s="1761" t="s">
        <v>1290</v>
      </c>
      <c r="B19" s="1762" t="s">
        <v>1291</v>
      </c>
      <c r="C19" s="134">
        <f ca="1">SUMIF(INDIRECT("'"&amp;C4&amp;"'"&amp;"!A:A"),结果表!B19,INDIRECT("'"&amp;C4&amp;"'"&amp;"!B:B"))</f>
        <v>1596</v>
      </c>
      <c r="D19" s="135">
        <f ca="1">SUMIF(INDIRECT("'"&amp;D4&amp;"'"&amp;"!A:A"),结果表!B19,INDIRECT("'"&amp;D4&amp;"'"&amp;"!B:B"))</f>
        <v>2348</v>
      </c>
      <c r="E19" s="1761" t="s">
        <v>1292</v>
      </c>
      <c r="F19" s="1762" t="s">
        <v>1291</v>
      </c>
      <c r="G19" s="136">
        <f ca="1">ROUND(C19*$C$18+D19*$D$18,0)</f>
        <v>2010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4428</v>
      </c>
      <c r="D20" s="138">
        <f ca="1">SUMIF(INDIRECT("'"&amp;D4&amp;"'"&amp;"!A:A"),结果表!B20,INDIRECT("'"&amp;D4&amp;"'"&amp;"!B:B"))</f>
        <v>6515</v>
      </c>
      <c r="E20" s="1764"/>
      <c r="F20" s="1026" t="s">
        <v>1295</v>
      </c>
      <c r="G20" s="139">
        <f ca="1">ROUND(C20*$C$18+D20*$D$18,0)</f>
        <v>5576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0.47117794486215536</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5576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45370</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t="e">
        <f ca="1">ROUND(D45*'数据-取费表'!B41/(1+'数据-取费表'!C42),0)</f>
        <v>#REF!</v>
      </c>
      <c r="E53" s="2334" t="s">
        <v>1354</v>
      </c>
      <c r="F53" s="2554">
        <f>'数据-取费表'!B41</f>
        <v>5.5000000000000007E-2</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5.5000000000000007E-2</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t="e">
        <f ca="1">H118</f>
        <v>#REF!</v>
      </c>
      <c r="I101" s="129"/>
    </row>
    <row r="102" spans="1:35" ht="18.75" customHeight="1">
      <c r="A102" s="3577" t="s">
        <v>1433</v>
      </c>
      <c r="B102" s="2584" t="s">
        <v>1432</v>
      </c>
      <c r="C102" s="2585">
        <f ca="1">IF(D32="楼面单价",ROUND(C19,0),C19)</f>
        <v>1596</v>
      </c>
      <c r="D102" s="2586">
        <f ca="1">IF(D32="楼面单价",ROUND(D19,0),D19)</f>
        <v>2348</v>
      </c>
      <c r="E102" s="3545"/>
      <c r="F102" s="3546"/>
      <c r="G102" s="1827" t="s">
        <v>1434</v>
      </c>
      <c r="H102" s="2555" t="e">
        <f ca="1">I118</f>
        <v>#REF!</v>
      </c>
      <c r="I102" s="129"/>
    </row>
    <row r="103" spans="1:35" ht="42.75" customHeight="1">
      <c r="A103" s="3577"/>
      <c r="B103" s="2584" t="s">
        <v>1434</v>
      </c>
      <c r="C103" s="2587">
        <f ca="1">C20</f>
        <v>4428</v>
      </c>
      <c r="D103" s="2588">
        <f ca="1">D20</f>
        <v>6515</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房地产</v>
      </c>
      <c r="B118" s="2329">
        <f>M18</f>
        <v>3604.2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D21" sqref="D2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1596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4428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262</v>
      </c>
      <c r="D5" s="211" t="s">
        <v>1469</v>
      </c>
      <c r="E5" s="212" t="s">
        <v>1470</v>
      </c>
      <c r="F5" s="212" t="s">
        <v>1471</v>
      </c>
      <c r="G5" s="213"/>
    </row>
    <row r="6" spans="1:9" s="214" customFormat="1" ht="13.5" customHeight="1">
      <c r="A6" s="778" t="s">
        <v>1472</v>
      </c>
      <c r="B6" s="215" t="s">
        <v>1473</v>
      </c>
      <c r="C6" s="216">
        <f>基准地价修正!B2</f>
        <v>254</v>
      </c>
      <c r="D6" s="217"/>
      <c r="E6" s="218"/>
      <c r="F6" s="218"/>
      <c r="G6" s="219"/>
    </row>
    <row r="7" spans="1:9" s="214" customFormat="1" ht="13.5" customHeight="1">
      <c r="A7" s="778" t="s">
        <v>1474</v>
      </c>
      <c r="B7" s="215" t="s">
        <v>1475</v>
      </c>
      <c r="C7" s="220">
        <f>ROUND(C6*F7,0)</f>
        <v>8</v>
      </c>
      <c r="D7" s="220"/>
      <c r="E7" s="218"/>
      <c r="F7" s="221">
        <f>IF(项目基本情况!B8="出让",0,'数据-取费表'!B48+'数据-取费表'!B49)</f>
        <v>3.0499999999999999E-2</v>
      </c>
      <c r="G7" s="219"/>
    </row>
    <row r="8" spans="1:9" s="223" customFormat="1">
      <c r="A8" s="778" t="s">
        <v>1476</v>
      </c>
      <c r="B8" s="215" t="s">
        <v>1477</v>
      </c>
      <c r="C8" s="220" t="str">
        <f>IF(G8="已包含在土地购买价格中","0",IF(B1="",'数据-取费表'!B29,IF(G9="全部缴纳",C9+C10,H9)))</f>
        <v>0</v>
      </c>
      <c r="D8" s="222"/>
      <c r="E8" s="220"/>
      <c r="F8" s="221"/>
      <c r="G8" s="1856" t="s">
        <v>451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3399</v>
      </c>
      <c r="H9" s="1137"/>
      <c r="I9" s="1858" t="s">
        <v>1479</v>
      </c>
    </row>
    <row r="10" spans="1:9" s="214" customFormat="1" ht="13.5" customHeight="1">
      <c r="A10" s="779" t="s">
        <v>356</v>
      </c>
      <c r="B10" s="224" t="s">
        <v>1480</v>
      </c>
      <c r="C10" s="225">
        <f ca="1">ROUND(D10*E10/10000,0)</f>
        <v>72</v>
      </c>
      <c r="D10" s="845">
        <f ca="1">IF(B1="",'数据-汇总表'!E6,IF(INDIRECT("'数据-取费表'!c"&amp;$G$1)="住宅",INDIRECT("'数据-取费表'!s"&amp;$G$1),INDIRECT("'数据-取费表'!k"&amp;$G$1)+INDIRECT("'数据-取费表'!s"&amp;$G$1)))</f>
        <v>3604.2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3604.2</v>
      </c>
      <c r="E19" s="211">
        <f>'数据-取费表'!B31</f>
        <v>200</v>
      </c>
      <c r="F19" s="231"/>
      <c r="G19" s="1856" t="s">
        <v>3400</v>
      </c>
    </row>
    <row r="20" spans="1:7" s="214" customFormat="1" ht="13.5" customHeight="1">
      <c r="A20" s="255" t="s">
        <v>1493</v>
      </c>
      <c r="B20" s="210" t="s">
        <v>1494</v>
      </c>
      <c r="C20" s="232">
        <f>ROUND((C5+C19)*F20,0)</f>
        <v>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1390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1261</v>
      </c>
      <c r="D34" s="217"/>
      <c r="E34" s="220"/>
      <c r="F34" s="257">
        <f ca="1">IF('数据-取费表'!B24=0,1,IF(B1="",'数据-取费表'!N16,INDIRECT("'数据-取费表'!n"&amp;$G$1)))</f>
        <v>1</v>
      </c>
      <c r="G34" s="219" t="s">
        <v>1526</v>
      </c>
    </row>
    <row r="35" spans="1:7" ht="13.5" customHeight="1">
      <c r="A35" s="780" t="s">
        <v>351</v>
      </c>
      <c r="B35" s="215" t="s">
        <v>1527</v>
      </c>
      <c r="C35" s="220">
        <f ca="1">ROUND(C34*F35,0)</f>
        <v>38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72</v>
      </c>
      <c r="D37" s="217">
        <f ca="1">D19</f>
        <v>3604.2</v>
      </c>
      <c r="E37" s="249">
        <f>'数据-取费表'!B35</f>
        <v>200</v>
      </c>
      <c r="F37" s="259"/>
      <c r="G37" s="261" t="s">
        <v>1532</v>
      </c>
    </row>
    <row r="38" spans="1:7" ht="13.5" customHeight="1">
      <c r="A38" s="780" t="s">
        <v>354</v>
      </c>
      <c r="B38" s="215" t="s">
        <v>1533</v>
      </c>
      <c r="C38" s="220">
        <f ca="1">ROUND(C34*F38,0)</f>
        <v>19</v>
      </c>
      <c r="D38" s="220"/>
      <c r="E38" s="220"/>
      <c r="F38" s="259">
        <f>'数据-取费表'!B36</f>
        <v>1.4999999999999999E-2</v>
      </c>
      <c r="G38" s="219" t="s">
        <v>1528</v>
      </c>
    </row>
    <row r="39" spans="1:7" s="214" customFormat="1" ht="13.5" customHeight="1">
      <c r="A39" s="255" t="s">
        <v>1534</v>
      </c>
      <c r="B39" s="210" t="s">
        <v>1535</v>
      </c>
      <c r="C39" s="232">
        <f ca="1">ROUND(C33*F20,0)</f>
        <v>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24</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2.9999999999999997E-4</v>
      </c>
      <c r="D44" s="238"/>
      <c r="E44" s="238"/>
      <c r="F44" s="239"/>
      <c r="G44" s="3634"/>
    </row>
    <row r="45" spans="1:7" s="214" customFormat="1" ht="13.5" customHeight="1">
      <c r="A45" s="255" t="s">
        <v>1547</v>
      </c>
      <c r="B45" s="244" t="s">
        <v>1513</v>
      </c>
      <c r="C45" s="245">
        <f ca="1">C46</f>
        <v>213</v>
      </c>
      <c r="D45" s="235">
        <f ca="1">C47</f>
        <v>3.0000000000000001E-3</v>
      </c>
      <c r="E45" s="236" t="s">
        <v>1539</v>
      </c>
      <c r="F45" s="246">
        <f ca="1">F27</f>
        <v>0.15</v>
      </c>
      <c r="G45" s="247" t="s">
        <v>1548</v>
      </c>
    </row>
    <row r="46" spans="1:7" s="214" customFormat="1" ht="13.5" customHeight="1">
      <c r="A46" s="780" t="s">
        <v>346</v>
      </c>
      <c r="B46" s="248" t="s">
        <v>1549</v>
      </c>
      <c r="C46" s="249">
        <f ca="1">ROUND((C33+C39)*F27,0)</f>
        <v>213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1791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1254</v>
      </c>
      <c r="D51" s="232"/>
      <c r="E51" s="232"/>
      <c r="F51" s="264"/>
      <c r="G51" s="234" t="s">
        <v>1560</v>
      </c>
    </row>
    <row r="52" spans="1:7" s="208" customFormat="1" ht="16.5" thickBot="1">
      <c r="A52" s="265" t="s">
        <v>1561</v>
      </c>
      <c r="B52" s="266"/>
      <c r="C52" s="267">
        <f ca="1">C31+C51</f>
        <v>1596</v>
      </c>
      <c r="D52" s="266"/>
      <c r="E52" s="266"/>
      <c r="F52" s="266"/>
      <c r="G52" s="268"/>
    </row>
    <row r="55" spans="1:7" ht="15">
      <c r="B55" s="270" t="s">
        <v>1562</v>
      </c>
      <c r="C55" s="271"/>
    </row>
    <row r="56" spans="1:7">
      <c r="B56" s="273" t="s">
        <v>802</v>
      </c>
      <c r="C56" s="275">
        <f ca="1">1-C57</f>
        <v>0.21399999999999997</v>
      </c>
    </row>
    <row r="57" spans="1:7">
      <c r="B57" s="273" t="s">
        <v>803</v>
      </c>
      <c r="C57" s="274">
        <f ca="1">ROUND(C51/C52,3)</f>
        <v>0.78600000000000003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1442.0083999999999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4001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720840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720840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720840</v>
      </c>
      <c r="D10" s="845">
        <f ca="1">IF(B1="",'数据-汇总表'!E6,IF(INDIRECT("'数据-取费表'!c"&amp;$G$1)="住宅",INDIRECT("'数据-取费表'!s"&amp;$G$1),INDIRECT("'数据-取费表'!k"&amp;$G$1)+INDIRECT("'数据-取费表'!s"&amp;$G$1)))</f>
        <v>3604.2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720840</v>
      </c>
      <c r="D19" s="849">
        <f ca="1">D9+D10</f>
        <v>3604.2</v>
      </c>
      <c r="E19" s="211">
        <f>'数据-取费表'!B31</f>
        <v>200</v>
      </c>
      <c r="F19" s="231"/>
      <c r="G19" s="1856"/>
    </row>
    <row r="20" spans="1:7" s="214" customFormat="1" ht="13.5" customHeight="1">
      <c r="A20" s="255" t="s">
        <v>1574</v>
      </c>
      <c r="B20" s="210" t="s">
        <v>1575</v>
      </c>
      <c r="C20" s="232">
        <f ca="1">ROUND((C5+C19)*F20,0)</f>
        <v>28834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50235</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24869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24869</v>
      </c>
      <c r="D24" s="238"/>
      <c r="E24" s="238"/>
      <c r="F24" s="239"/>
      <c r="G24" s="240" t="s">
        <v>1586</v>
      </c>
    </row>
    <row r="25" spans="1:7" s="214" customFormat="1" ht="24">
      <c r="A25" s="780" t="s">
        <v>1476</v>
      </c>
      <c r="B25" s="215" t="s">
        <v>1587</v>
      </c>
      <c r="C25" s="1128">
        <f ca="1">ROUND(IF('数据-取费表'!B22&lt;=1,C20*F22*'数据-取费表'!B22/2,C20*(POWER((1+F22),'数据-取费表'!B22/2)-1)),0)</f>
        <v>497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220577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220577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1883940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13903202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12614700</v>
      </c>
      <c r="D34" s="217"/>
      <c r="E34" s="220"/>
      <c r="F34" s="257"/>
      <c r="G34" s="219"/>
    </row>
    <row r="35" spans="1:7" ht="13.5" customHeight="1">
      <c r="A35" s="780" t="s">
        <v>351</v>
      </c>
      <c r="B35" s="215" t="s">
        <v>1527</v>
      </c>
      <c r="C35" s="220">
        <f ca="1">ROUND(C34*F35,0)</f>
        <v>378441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720840</v>
      </c>
      <c r="D37" s="217">
        <f ca="1">D19</f>
        <v>3604.2</v>
      </c>
      <c r="E37" s="249">
        <f>'数据-取费表'!B35</f>
        <v>200</v>
      </c>
      <c r="F37" s="259"/>
      <c r="G37" s="261"/>
    </row>
    <row r="38" spans="1:7" ht="13.5" customHeight="1">
      <c r="A38" s="780" t="s">
        <v>354</v>
      </c>
      <c r="B38" s="215" t="s">
        <v>1533</v>
      </c>
      <c r="C38" s="220">
        <f ca="1">ROUND(C34*F38,0)</f>
        <v>189221</v>
      </c>
      <c r="D38" s="220"/>
      <c r="E38" s="220"/>
      <c r="F38" s="259">
        <f>'数据-取费表'!B36</f>
        <v>1.4999999999999999E-2</v>
      </c>
      <c r="G38" s="219" t="s">
        <v>1528</v>
      </c>
    </row>
    <row r="39" spans="1:7" s="214" customFormat="1" ht="13.5" customHeight="1">
      <c r="A39" s="255" t="s">
        <v>1534</v>
      </c>
      <c r="B39" s="210" t="s">
        <v>1535</v>
      </c>
      <c r="C39" s="232">
        <f ca="1">ROUND(C33*F20,0)</f>
        <v>278064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244627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239830</v>
      </c>
      <c r="D42" s="238"/>
      <c r="E42" s="238"/>
      <c r="F42" s="239"/>
      <c r="G42" s="3632" t="s">
        <v>1591</v>
      </c>
    </row>
    <row r="43" spans="1:7" ht="13.5" customHeight="1">
      <c r="A43" s="780" t="s">
        <v>347</v>
      </c>
      <c r="B43" s="215" t="s">
        <v>1545</v>
      </c>
      <c r="C43" s="238">
        <f ca="1">ROUND(IF('数据-取费表'!B22&lt;=1,C39*F22*'数据-取费表'!B20/2,C39*(POWER((1+F22),'数据-取费表'!B20/2)-1)),0)</f>
        <v>4797</v>
      </c>
      <c r="D43" s="238"/>
      <c r="E43" s="238"/>
      <c r="F43" s="239"/>
      <c r="G43" s="3633"/>
    </row>
    <row r="44" spans="1:7" ht="13.5" customHeight="1">
      <c r="A44" s="780" t="s">
        <v>348</v>
      </c>
      <c r="B44" s="215" t="s">
        <v>1546</v>
      </c>
      <c r="C44" s="238">
        <f ca="1">ROUND(IF('数据-取费表'!B22&lt;=1,C40*F22*'数据-取费表'!B20/2,C40*(POWER((1+F22),'数据-取费表'!B20/2)-1)),4)</f>
        <v>2.9999999999999997E-4</v>
      </c>
      <c r="D44" s="238"/>
      <c r="E44" s="238"/>
      <c r="F44" s="239"/>
      <c r="G44" s="3634"/>
    </row>
    <row r="45" spans="1:7" s="214" customFormat="1" ht="13.5" customHeight="1">
      <c r="A45" s="255" t="s">
        <v>1547</v>
      </c>
      <c r="B45" s="244" t="s">
        <v>1513</v>
      </c>
      <c r="C45" s="245">
        <f ca="1">C46</f>
        <v>2127190</v>
      </c>
      <c r="D45" s="235">
        <f ca="1">C47</f>
        <v>3.0000000000000001E-3</v>
      </c>
      <c r="E45" s="236" t="s">
        <v>1539</v>
      </c>
      <c r="F45" s="246">
        <f ca="1">F27</f>
        <v>0.15</v>
      </c>
      <c r="G45" s="247" t="s">
        <v>1548</v>
      </c>
    </row>
    <row r="46" spans="1:7" s="214" customFormat="1" ht="13.5" customHeight="1">
      <c r="A46" s="780" t="s">
        <v>346</v>
      </c>
      <c r="B46" s="248" t="s">
        <v>1549</v>
      </c>
      <c r="C46" s="249">
        <f ca="1">ROUND((C33+C39)*F27,0)</f>
        <v>2127190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17908777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12536144</v>
      </c>
      <c r="D51" s="232"/>
      <c r="E51" s="232"/>
      <c r="F51" s="264"/>
      <c r="G51" s="234" t="s">
        <v>1560</v>
      </c>
    </row>
    <row r="52" spans="1:7" s="208" customFormat="1" ht="16.5" thickBot="1">
      <c r="A52" s="265" t="s">
        <v>1561</v>
      </c>
      <c r="B52" s="266"/>
      <c r="C52" s="267">
        <f ca="1">C31+C51</f>
        <v>14420084</v>
      </c>
      <c r="D52" s="266"/>
      <c r="E52" s="266"/>
      <c r="F52" s="266"/>
      <c r="G52" s="268"/>
    </row>
    <row r="55" spans="1:7" ht="15">
      <c r="B55" s="270" t="s">
        <v>1562</v>
      </c>
      <c r="C55" s="271"/>
    </row>
    <row r="56" spans="1:7">
      <c r="B56" s="273" t="s">
        <v>802</v>
      </c>
      <c r="C56" s="275">
        <f ca="1">1-C57</f>
        <v>0.13100000000000001</v>
      </c>
    </row>
    <row r="57" spans="1:7">
      <c r="B57" s="273" t="s">
        <v>803</v>
      </c>
      <c r="C57" s="274">
        <f ca="1">ROUND(C51/C52,3)</f>
        <v>0.86899999999999999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-82</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3604.2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3604.2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72</v>
      </c>
      <c r="D20" s="846">
        <f ca="1">IF(C1="",'数据-汇总表'!E6,IF(INDIRECT("'数据-取费表'!c"&amp;$K$1)="住宅",INDIRECT("'数据-取费表'!s"&amp;$K$1),INDIRECT("'数据-取费表'!k"&amp;$K$1)+INDIRECT("'数据-取费表'!s"&amp;$K$1)))</f>
        <v>3604.2</v>
      </c>
      <c r="E20" s="21">
        <f>'数据-取费表'!B28</f>
        <v>200</v>
      </c>
      <c r="F20" s="804"/>
      <c r="G20" s="12"/>
      <c r="H20" s="809"/>
      <c r="I20" s="809"/>
      <c r="J20" s="809"/>
      <c r="K20" s="810"/>
    </row>
    <row r="21" spans="1:33" s="803" customFormat="1" ht="13.5" customHeight="1">
      <c r="A21" s="790" t="s">
        <v>357</v>
      </c>
      <c r="B21" s="813" t="s">
        <v>1628</v>
      </c>
      <c r="C21" s="814">
        <f ca="1">C16+C17+C18</f>
        <v>72</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9" sqref="D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32.97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2348</v>
      </c>
      <c r="C2" s="1387" t="s">
        <v>805</v>
      </c>
      <c r="D2" s="1387"/>
      <c r="E2" s="1388"/>
      <c r="F2" s="1389"/>
      <c r="G2" s="2706"/>
      <c r="H2" s="2695"/>
      <c r="I2" s="2695"/>
      <c r="J2" s="2695"/>
      <c r="K2" s="2696"/>
      <c r="L2" s="2695"/>
      <c r="M2" s="2695"/>
    </row>
    <row r="3" spans="1:37" ht="18" customHeight="1" thickBot="1">
      <c r="A3" s="1390" t="s">
        <v>806</v>
      </c>
      <c r="B3" s="1391">
        <f ca="1">IF(ISERROR(B2*10000/F43),0,ROUND(B2*10000/F43,0))</f>
        <v>6515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168</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168</v>
      </c>
      <c r="D6" s="155" t="s">
        <v>2109</v>
      </c>
      <c r="E6" s="302" t="s">
        <v>696</v>
      </c>
      <c r="F6" s="303">
        <f ca="1">INDIRECT("'数据-取费表'!u"&amp;$G$1)</f>
        <v>1.5</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3604.2</v>
      </c>
      <c r="G7" s="1384"/>
      <c r="H7" s="304"/>
      <c r="I7" s="3638"/>
      <c r="J7" s="306"/>
      <c r="K7" s="307"/>
      <c r="L7" s="302" t="s">
        <v>697</v>
      </c>
      <c r="M7" s="303">
        <f ca="1">F7</f>
        <v>3604.2</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1254</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1261</v>
      </c>
      <c r="D14" s="1345" t="s">
        <v>708</v>
      </c>
      <c r="E14" s="1342"/>
      <c r="F14" s="319"/>
      <c r="G14" s="1384"/>
      <c r="H14" s="982" t="s">
        <v>398</v>
      </c>
      <c r="I14" s="302" t="s">
        <v>709</v>
      </c>
      <c r="J14" s="21">
        <f ca="1">C29</f>
        <v>1791</v>
      </c>
      <c r="K14" s="12"/>
      <c r="L14" s="807"/>
      <c r="M14" s="808"/>
    </row>
    <row r="15" spans="1:37" s="1397" customFormat="1" ht="18" customHeight="1" thickBot="1">
      <c r="A15" s="982" t="s">
        <v>399</v>
      </c>
      <c r="B15" s="302" t="s">
        <v>710</v>
      </c>
      <c r="C15" s="21">
        <f ca="1">ROUND(C14*F15,0)</f>
        <v>38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v>
      </c>
      <c r="K16" s="1087" t="s">
        <v>715</v>
      </c>
      <c r="L16" s="1088"/>
      <c r="M16" s="1072"/>
    </row>
    <row r="17" spans="1:37" s="1397" customFormat="1" ht="18" customHeight="1">
      <c r="A17" s="982" t="s">
        <v>681</v>
      </c>
      <c r="B17" s="302" t="s">
        <v>716</v>
      </c>
      <c r="C17" s="21">
        <f ca="1">ROUND(F17*(F43+INDIRECT("'数据-取费表'!S"&amp;$G$1))/10000,0)</f>
        <v>72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1390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28</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17.91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-18</v>
      </c>
      <c r="K25" s="1095" t="s">
        <v>753</v>
      </c>
      <c r="L25" s="1096"/>
      <c r="M25" s="1097"/>
    </row>
    <row r="26" spans="1:37">
      <c r="A26" s="982" t="s">
        <v>397</v>
      </c>
      <c r="B26" s="302" t="s">
        <v>754</v>
      </c>
      <c r="C26" s="21">
        <f ca="1">ROUND((C19+C20)*F26,0)</f>
        <v>213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1791</v>
      </c>
      <c r="D29" s="1092"/>
      <c r="E29" s="1090"/>
      <c r="F29" s="1093"/>
      <c r="G29" s="1396"/>
      <c r="H29" s="334" t="s">
        <v>396</v>
      </c>
      <c r="I29" s="335" t="s">
        <v>768</v>
      </c>
      <c r="J29" s="336">
        <f ca="1">ROUND(J26/(1+F40)^F41,0)</f>
        <v>0</v>
      </c>
      <c r="K29" s="337" t="s">
        <v>769</v>
      </c>
      <c r="L29" s="338"/>
      <c r="M29" s="339">
        <f ca="1">INDIRECT("'数据-取费表'!k"&amp;$G$1)</f>
        <v>3604.2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28</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8.8000000000000007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19.2</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17.91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1.25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1.68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119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2282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6332</v>
      </c>
      <c r="D43" s="337" t="s">
        <v>777</v>
      </c>
      <c r="E43" s="338" t="s">
        <v>778</v>
      </c>
      <c r="F43" s="339">
        <f ca="1">INDIRECT("'数据-取费表'!k"&amp;$G$1)</f>
        <v>3604.2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-2568</v>
      </c>
      <c r="D46" s="1406" t="str">
        <f>C2</f>
        <v>万元</v>
      </c>
      <c r="E46" s="1400"/>
      <c r="F46" s="1400"/>
      <c r="I46" s="1407" t="s">
        <v>810</v>
      </c>
      <c r="J46" s="1408"/>
      <c r="K46" s="1409"/>
      <c r="L46" s="1410">
        <f ca="1">IF(M47="住宅",0,IF(L48&gt;J51,L60,J60))</f>
        <v>66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2282</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32.97</v>
      </c>
      <c r="O48" s="1418" t="s">
        <v>404</v>
      </c>
      <c r="P48" s="1419" t="s">
        <v>821</v>
      </c>
      <c r="Q48" s="1420">
        <f ca="1">J60</f>
        <v>66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1791</v>
      </c>
      <c r="R49" s="1420" t="s">
        <v>818</v>
      </c>
    </row>
    <row r="50" spans="1:18" s="1384" customFormat="1" ht="13.5" thickBot="1">
      <c r="A50" s="976"/>
      <c r="B50" s="979"/>
      <c r="C50" s="1118"/>
      <c r="D50" s="953"/>
      <c r="E50" s="1056" t="s">
        <v>697</v>
      </c>
      <c r="F50" s="1057">
        <f ca="1">F7</f>
        <v>3604.2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551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32.97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32.97</v>
      </c>
      <c r="K53" s="3635" t="s">
        <v>837</v>
      </c>
      <c r="L53" s="3636"/>
      <c r="O53" s="1418" t="s">
        <v>409</v>
      </c>
      <c r="P53" s="1419" t="s">
        <v>838</v>
      </c>
      <c r="Q53" s="1420">
        <f ca="1">Q47+Q48</f>
        <v>2348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0.184</v>
      </c>
      <c r="K55" s="1445" t="s">
        <v>841</v>
      </c>
      <c r="L55" s="1446"/>
      <c r="O55" s="1411" t="s">
        <v>811</v>
      </c>
      <c r="P55" s="1412" t="s">
        <v>812</v>
      </c>
      <c r="Q55" s="1413" t="s">
        <v>813</v>
      </c>
      <c r="R55" s="1413" t="s">
        <v>814</v>
      </c>
    </row>
    <row r="56" spans="1:18" s="1384" customFormat="1" ht="25.5" thickTop="1" thickBot="1">
      <c r="A56" s="957">
        <v>2</v>
      </c>
      <c r="B56" s="958" t="s">
        <v>704</v>
      </c>
      <c r="C56" s="232">
        <f ca="1">C13</f>
        <v>1254</v>
      </c>
      <c r="D56" s="1447"/>
      <c r="E56" s="1448"/>
      <c r="F56" s="1440"/>
      <c r="I56" s="1449" t="s">
        <v>842</v>
      </c>
      <c r="J56" s="1450" t="s">
        <v>3393</v>
      </c>
      <c r="K56" s="1421" t="s">
        <v>843</v>
      </c>
      <c r="L56" s="1424" t="str">
        <f ca="1">IF(L48&lt;J51,"——",L48-J53)</f>
        <v>——</v>
      </c>
      <c r="O56" s="1418" t="s">
        <v>403</v>
      </c>
      <c r="P56" s="1419" t="s">
        <v>817</v>
      </c>
      <c r="Q56" s="1420">
        <f ca="1">C40+J29</f>
        <v>2282</v>
      </c>
      <c r="R56" s="1420" t="s">
        <v>818</v>
      </c>
    </row>
    <row r="57" spans="1:18" s="1384" customFormat="1" ht="24.75" thickBot="1">
      <c r="A57" s="1451"/>
      <c r="B57" s="950" t="s">
        <v>767</v>
      </c>
      <c r="C57" s="238">
        <f ca="1">C29</f>
        <v>1791</v>
      </c>
      <c r="D57" s="1452"/>
      <c r="E57" s="1453"/>
      <c r="F57" s="1454"/>
      <c r="I57" s="1455" t="s">
        <v>844</v>
      </c>
      <c r="J57" s="1456">
        <f ca="1">IF(OR(M47="住宅",J51&lt;L48,J56="是"),"——",J51-L48)</f>
        <v>11.030000000000001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66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2282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17.91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1.25</v>
      </c>
      <c r="D65" s="964" t="s">
        <v>743</v>
      </c>
      <c r="E65" s="950" t="s">
        <v>744</v>
      </c>
      <c r="F65" s="330">
        <f t="shared" ca="1" si="0"/>
        <v>1E-3</v>
      </c>
      <c r="I65" s="1462" t="s">
        <v>867</v>
      </c>
      <c r="J65" s="1463">
        <v>40</v>
      </c>
      <c r="K65" s="1463">
        <v>30</v>
      </c>
      <c r="L65" s="1463">
        <v>50</v>
      </c>
      <c r="M65" s="1465">
        <v>0.02</v>
      </c>
      <c r="O65" s="1418" t="s">
        <v>403</v>
      </c>
      <c r="P65" s="1419" t="s">
        <v>868</v>
      </c>
      <c r="Q65" s="1420">
        <f ca="1">C40+J29</f>
        <v>2282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551</v>
      </c>
      <c r="R67" s="1420" t="s">
        <v>870</v>
      </c>
    </row>
    <row r="68" spans="1:18" s="1384" customFormat="1" ht="16.5" thickBot="1">
      <c r="A68" s="947" t="s">
        <v>395</v>
      </c>
      <c r="B68" s="948" t="s">
        <v>774</v>
      </c>
      <c r="C68" s="301">
        <f ca="1">ROUND(C67*(1-((1+F70)/(1+F68))^F69)/(F68-F70),0)</f>
        <v>-286</v>
      </c>
      <c r="D68" s="965" t="s">
        <v>758</v>
      </c>
      <c r="E68" s="950" t="s">
        <v>759</v>
      </c>
      <c r="F68" s="312">
        <f ca="1">F40</f>
        <v>5.5E-2</v>
      </c>
      <c r="O68" s="1428" t="s">
        <v>406</v>
      </c>
      <c r="P68" s="1467" t="s">
        <v>871</v>
      </c>
      <c r="Q68" s="1420">
        <f ca="1">ROUND(Q69-Q70*Q71,0)</f>
        <v>31</v>
      </c>
      <c r="R68" s="1420" t="s">
        <v>414</v>
      </c>
    </row>
    <row r="69" spans="1:18" s="1384" customFormat="1" ht="13.5" thickBot="1">
      <c r="A69" s="951"/>
      <c r="B69" s="952"/>
      <c r="C69" s="306"/>
      <c r="D69" s="970" t="s">
        <v>762</v>
      </c>
      <c r="E69" s="950" t="s">
        <v>763</v>
      </c>
      <c r="F69" s="333">
        <f ca="1">F41</f>
        <v>32.97</v>
      </c>
      <c r="O69" s="1428" t="s">
        <v>411</v>
      </c>
      <c r="P69" s="1467" t="s">
        <v>872</v>
      </c>
      <c r="Q69" s="1420">
        <f ca="1">C39</f>
        <v>119</v>
      </c>
      <c r="R69" s="1420" t="s">
        <v>818</v>
      </c>
    </row>
    <row r="70" spans="1:18" s="1384" customFormat="1" ht="13.5" thickBot="1">
      <c r="A70" s="954"/>
      <c r="B70" s="955"/>
      <c r="C70" s="310"/>
      <c r="D70" s="966"/>
      <c r="E70" s="950" t="s">
        <v>766</v>
      </c>
      <c r="F70" s="1054"/>
      <c r="O70" s="1428" t="s">
        <v>412</v>
      </c>
      <c r="P70" s="1467" t="s">
        <v>873</v>
      </c>
      <c r="Q70" s="1420">
        <f ca="1">C13</f>
        <v>1254</v>
      </c>
      <c r="R70" s="1420" t="s">
        <v>818</v>
      </c>
    </row>
    <row r="71" spans="1:18" s="1384" customFormat="1" ht="13.5" thickBot="1">
      <c r="A71" s="971" t="s">
        <v>396</v>
      </c>
      <c r="B71" s="972" t="s">
        <v>776</v>
      </c>
      <c r="C71" s="336">
        <f ca="1">ROUND(C68*10000/F71,0)</f>
        <v>-794</v>
      </c>
      <c r="D71" s="973" t="s">
        <v>777</v>
      </c>
      <c r="E71" s="974" t="s">
        <v>778</v>
      </c>
      <c r="F71" s="339">
        <f ca="1">F43</f>
        <v>3604.2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88</v>
      </c>
      <c r="D75" s="1384"/>
      <c r="E75" s="1384"/>
      <c r="F75" s="1384"/>
      <c r="K75" s="1402"/>
      <c r="L75" s="1384"/>
      <c r="O75" s="1418" t="s">
        <v>409</v>
      </c>
      <c r="P75" s="1419" t="s">
        <v>838</v>
      </c>
      <c r="Q75" s="1420">
        <f ca="1">Q65+Q66</f>
        <v>2282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0.26100000000000001</v>
      </c>
    </row>
    <row r="80" spans="1:18">
      <c r="B80" s="340" t="s">
        <v>800</v>
      </c>
      <c r="C80" s="274">
        <f ca="1">ROUND(C75/C39,3)</f>
        <v>0.73899999999999999</v>
      </c>
    </row>
    <row r="81" spans="2:3">
      <c r="B81" s="270" t="s">
        <v>801</v>
      </c>
      <c r="C81" s="238"/>
    </row>
    <row r="82" spans="2:3">
      <c r="B82" s="273" t="s">
        <v>802</v>
      </c>
      <c r="C82" s="275">
        <f ca="1">1-C83</f>
        <v>0.44999999999999996</v>
      </c>
    </row>
    <row r="83" spans="2:3">
      <c r="B83" s="273" t="s">
        <v>803</v>
      </c>
      <c r="C83" s="274">
        <f ca="1">ROUND(C13/C40,3)</f>
        <v>0.55000000000000004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2348</v>
      </c>
      <c r="C2" s="1872" t="s">
        <v>1651</v>
      </c>
      <c r="D2" s="1873" t="s">
        <v>1652</v>
      </c>
      <c r="E2" s="2607">
        <f>SUM(E6:E13)</f>
        <v>3604.2</v>
      </c>
      <c r="F2" s="2707"/>
      <c r="G2" s="1489"/>
      <c r="H2" s="1489"/>
      <c r="I2" s="1489"/>
      <c r="J2" s="1489"/>
      <c r="K2" s="1489"/>
      <c r="L2" s="1489"/>
      <c r="M2" s="1489"/>
      <c r="N2" s="1489"/>
      <c r="O2" s="1489"/>
      <c r="P2" s="1489"/>
      <c r="Q2" s="1489"/>
      <c r="R2" s="1489"/>
      <c r="S2" s="1489"/>
    </row>
    <row r="3" spans="1:22" ht="15.75">
      <c r="A3" s="1870" t="s">
        <v>686</v>
      </c>
      <c r="B3" s="2601">
        <f ca="1">ROUND(B2*10000/E2,0)</f>
        <v>6515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2348</v>
      </c>
      <c r="C6" s="1872" t="s">
        <v>1651</v>
      </c>
      <c r="D6" s="2709"/>
      <c r="E6" s="2606">
        <f>IF(OR(A6=0,F6="否"),0,'数据-取费表'!K6+'数据-取费表'!S6)</f>
        <v>3604.2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3604.2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3604.2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45370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3604.2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45370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3604.2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45370</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估价对象为房地产，为所有。根据《国有土地使用证》[]，估价对象（分摊）出让国有建设用地使用权面积为0平方米，建筑面积为3604.2平方米。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估价对象为房地产,属开发建设的，该项目尚在开发建设中。根据《国有土地使用证》[]，估价对象（分摊）出让国有建设用地使用权面积为0平方米，规划建筑面积为3604.2平方米。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45370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96"/>
      <c r="Q10" s="1343" t="str">
        <f t="shared" si="6"/>
        <v>土地使用年限（年）</v>
      </c>
      <c r="R10" s="701" t="s">
        <v>14</v>
      </c>
      <c r="S10" s="702">
        <f t="shared" si="0"/>
        <v>114</v>
      </c>
      <c r="T10" s="701" t="s">
        <v>14</v>
      </c>
      <c r="U10" s="702">
        <f t="shared" si="1"/>
        <v>114</v>
      </c>
      <c r="V10" s="701" t="s">
        <v>14</v>
      </c>
      <c r="W10" s="702">
        <f t="shared" si="2"/>
        <v>114</v>
      </c>
      <c r="X10" s="703"/>
      <c r="Y10" s="3608"/>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3604.2</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3604.2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45370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96"/>
      <c r="Q10" s="1343" t="str">
        <f t="shared" si="6"/>
        <v>土地使用年限（年）</v>
      </c>
      <c r="R10" s="701" t="s">
        <v>14</v>
      </c>
      <c r="S10" s="702">
        <f t="shared" si="0"/>
        <v>114</v>
      </c>
      <c r="T10" s="701" t="s">
        <v>14</v>
      </c>
      <c r="U10" s="702">
        <f t="shared" si="1"/>
        <v>114</v>
      </c>
      <c r="V10" s="701" t="s">
        <v>14</v>
      </c>
      <c r="W10" s="702">
        <f t="shared" si="2"/>
        <v>114</v>
      </c>
      <c r="X10" s="703"/>
      <c r="Y10" s="3608"/>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3604.2</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254</v>
      </c>
      <c r="C2" s="2145" t="s">
        <v>2074</v>
      </c>
      <c r="D2" s="2145" t="s">
        <v>2075</v>
      </c>
      <c r="E2" s="2612">
        <f ca="1">SUMIF(E6:E13,"&lt;&gt;#ref!",E6:E13)</f>
        <v>3604.2</v>
      </c>
      <c r="F2" s="2793"/>
      <c r="G2" s="2793"/>
      <c r="H2" s="2793"/>
      <c r="I2" s="2793"/>
      <c r="J2" s="2793"/>
      <c r="K2" s="2793"/>
      <c r="L2" s="2793"/>
      <c r="M2" s="2793"/>
      <c r="N2" s="2793"/>
      <c r="O2" s="2793"/>
      <c r="P2" s="2793"/>
    </row>
    <row r="3" spans="1:16" ht="15.75">
      <c r="A3" s="2145" t="s">
        <v>2076</v>
      </c>
      <c r="B3" s="2602">
        <f ca="1">ROUND(B2*10000/E2,0)</f>
        <v>705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254</v>
      </c>
      <c r="C6" s="2145" t="s">
        <v>2074</v>
      </c>
      <c r="D6" s="2793"/>
      <c r="E6" s="2612">
        <f ca="1">SUMIF(INDIRECT("'"&amp;A6&amp;"'"&amp;"!C:C"),"建筑面积",INDIRECT("'"&amp;A6&amp;"'"&amp;"!D:D"))</f>
        <v>3604.2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3604.2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254</v>
      </c>
      <c r="C2" s="1999" t="s">
        <v>1935</v>
      </c>
      <c r="D2" s="2000" t="s">
        <v>1936</v>
      </c>
      <c r="E2" s="3422" t="s">
        <v>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Ⅹ-顺3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1088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705</v>
      </c>
      <c r="C3" s="1999" t="s">
        <v>1941</v>
      </c>
      <c r="D3" s="2000" t="s">
        <v>1942</v>
      </c>
      <c r="E3" s="3420" t="s">
        <v>2483</v>
      </c>
      <c r="F3" s="2004" t="s">
        <v>3394</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839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684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750</v>
      </c>
      <c r="D5" s="1339">
        <f>ROUND(C6*C17+C20,0)</f>
        <v>750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581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529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750</v>
      </c>
      <c r="N10" s="866">
        <f>SUMPRODUCT((因素修正幅度!B327:B357=I2)*(因素修正幅度!C3:G3=E2)*(因素修正幅度!C327:G357))</f>
        <v>0.14399999999999999</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45370</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0.87619999999999998</v>
      </c>
      <c r="D24" s="2060" t="s">
        <v>2007</v>
      </c>
      <c r="E24" s="1335">
        <f>存贷款利率!E24/100</f>
        <v>4.3499999999999997E-2</v>
      </c>
      <c r="F24" s="2060" t="s">
        <v>1999</v>
      </c>
      <c r="G24" s="768">
        <f>SUMIF(M30:Q30,E2,M33:Q33)</f>
        <v>0.05</v>
      </c>
      <c r="H24" s="2060" t="s">
        <v>2008</v>
      </c>
      <c r="I24" s="769">
        <f>SUMIF('数据-取费表'!C6:C15,E2,'数据-取费表'!F6:F15)/COUNTIF('数据-取费表'!C6:C15,E2)</f>
        <v>32.97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254</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706</v>
      </c>
      <c r="D33" s="2098">
        <f>'数据-汇总表'!F19</f>
        <v>3604.2</v>
      </c>
      <c r="E33" s="773">
        <f>ROUND(C33*D33/10000,0)</f>
        <v>254</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106</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353</v>
      </c>
      <c r="D37" s="2098"/>
      <c r="E37" s="171">
        <f>ROUND(C37*D37/10000,0)</f>
        <v>0</v>
      </c>
      <c r="F37" s="171">
        <f>SUMIF(修正!A57:A68,G2,修正!B57:B68)</f>
        <v>0.5</v>
      </c>
      <c r="G37" s="171">
        <f>ROUND(IF(E2="工业",C37*$M$42,C37*$M$41),0)</f>
        <v>53</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141</v>
      </c>
      <c r="D38" s="2098"/>
      <c r="E38" s="171">
        <f t="shared" ref="E38:E42" si="4">ROUND(C38*D38/10000,0)</f>
        <v>0</v>
      </c>
      <c r="F38" s="171">
        <f>SUMIF(修正!A57:A68,G2,修正!C57:C68)</f>
        <v>0.2</v>
      </c>
      <c r="G38" s="171">
        <f>ROUND(IF(E2="工业",C38*$M$42,C38*$M$41),0)</f>
        <v>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141</v>
      </c>
      <c r="D39" s="2098"/>
      <c r="E39" s="171">
        <f t="shared" si="4"/>
        <v>0</v>
      </c>
      <c r="F39" s="171">
        <f>SUMIF(修正!A57:A68,G2,修正!D57:D68)</f>
        <v>0.2</v>
      </c>
      <c r="G39" s="171">
        <f>ROUND(IF(E2="工业",C39*$M$42,C39*$M$41),0)</f>
        <v>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141</v>
      </c>
      <c r="D40" s="2098"/>
      <c r="E40" s="171">
        <f t="shared" si="4"/>
        <v>0</v>
      </c>
      <c r="F40" s="175">
        <f>SUMIF(修正!A57:A68,G2,修正!E57:E68)</f>
        <v>0.2</v>
      </c>
      <c r="G40" s="171">
        <f>ROUND(IF(E2="工业",C40*$M$42,C40*$M$41),0)</f>
        <v>21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3396</v>
      </c>
      <c r="D83" s="1065">
        <f t="shared" ref="D83:D90" si="22">SUMIF($J$82:$N$82,C83,J83:N83)</f>
        <v>0</v>
      </c>
      <c r="E83" s="744">
        <f>ROUND(SUM(D83:D90),4)</f>
        <v>0</v>
      </c>
      <c r="F83" s="1814">
        <f>IF(E2="工业",SUMIF(L1:L12,G2,N1:N12),"——")</f>
        <v>0.14399999999999999</v>
      </c>
      <c r="G83" s="1063">
        <f>H83</f>
        <v>1.8700000000000001E-2</v>
      </c>
      <c r="H83" s="1066">
        <f t="shared" ref="H83:H90" si="23">IFERROR(ROUNDDOWN($F$83*I83/2,4),"——")</f>
        <v>1.8700000000000001E-2</v>
      </c>
      <c r="I83" s="3367">
        <v>0.26</v>
      </c>
      <c r="J83" s="1064">
        <f t="shared" ref="J83:J90" si="24">K83+$G83</f>
        <v>3.7400000000000003E-2</v>
      </c>
      <c r="K83" s="1064">
        <f t="shared" ref="K83:K90" si="25">$L83+$G83</f>
        <v>1.8700000000000001E-2</v>
      </c>
      <c r="L83" s="1064">
        <v>0</v>
      </c>
      <c r="M83" s="1064">
        <f t="shared" ref="M83:N90" si="26">L83-$G83</f>
        <v>-1.8700000000000001E-2</v>
      </c>
      <c r="N83" s="1064">
        <f t="shared" si="26"/>
        <v>-3.7400000000000003E-2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3396</v>
      </c>
      <c r="D84" s="1065">
        <f t="shared" si="22"/>
        <v>0</v>
      </c>
      <c r="E84" s="747"/>
      <c r="F84" s="1814"/>
      <c r="G84" s="1063">
        <f t="shared" ref="G84:G90" si="27">H84</f>
        <v>2.1600000000000001E-2</v>
      </c>
      <c r="H84" s="1066">
        <f t="shared" si="23"/>
        <v>2.1600000000000001E-2</v>
      </c>
      <c r="I84" s="3367">
        <v>0.3</v>
      </c>
      <c r="J84" s="1064">
        <f t="shared" si="24"/>
        <v>4.3200000000000002E-2</v>
      </c>
      <c r="K84" s="1064">
        <f t="shared" si="25"/>
        <v>2.1600000000000001E-2</v>
      </c>
      <c r="L84" s="1064">
        <v>0</v>
      </c>
      <c r="M84" s="1064">
        <f t="shared" si="26"/>
        <v>-2.1600000000000001E-2</v>
      </c>
      <c r="N84" s="1064">
        <f t="shared" si="26"/>
        <v>-4.3200000000000002E-2</v>
      </c>
      <c r="Z84" s="1998"/>
      <c r="AA84" s="2053"/>
      <c r="AG84" s="1121"/>
      <c r="AK84" s="2053"/>
    </row>
    <row r="85" spans="1:37" ht="36">
      <c r="A85" s="3369" t="s">
        <v>3274</v>
      </c>
      <c r="B85" s="2134">
        <f>估价对象房地状况!G17</f>
        <v>0</v>
      </c>
      <c r="C85" s="2044" t="s">
        <v>3396</v>
      </c>
      <c r="D85" s="1065">
        <f t="shared" si="22"/>
        <v>0</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4.25">
      <c r="A86" s="2130" t="s">
        <v>2067</v>
      </c>
      <c r="B86" s="2134">
        <f>估价对象房地状况!G22</f>
        <v>0</v>
      </c>
      <c r="C86" s="2044" t="s">
        <v>3396</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5.5">
      <c r="A87" s="2130" t="s">
        <v>2059</v>
      </c>
      <c r="B87" s="1326" t="str">
        <f>估价对象房地状况!G19</f>
        <v>估价对象所在区域公共配套设施齐备情况</v>
      </c>
      <c r="C87" s="2044" t="s">
        <v>3397</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5.5">
      <c r="A88" s="2130" t="s">
        <v>2060</v>
      </c>
      <c r="B88" s="1326" t="str">
        <f>估价对象房地状况!G20</f>
        <v>估价对象所在区域基础设施水平</v>
      </c>
      <c r="C88" s="2044" t="s">
        <v>3396</v>
      </c>
      <c r="D88" s="1065">
        <f t="shared" si="22"/>
        <v>0</v>
      </c>
      <c r="E88" s="747"/>
      <c r="F88" s="1814"/>
      <c r="G88" s="1063">
        <f t="shared" si="27"/>
        <v>8.6E-3</v>
      </c>
      <c r="H88" s="1066">
        <f t="shared" si="23"/>
        <v>8.6E-3</v>
      </c>
      <c r="I88" s="3367">
        <v>0.12</v>
      </c>
      <c r="J88" s="1064">
        <f t="shared" si="24"/>
        <v>1.72E-2</v>
      </c>
      <c r="K88" s="1064">
        <f t="shared" si="25"/>
        <v>8.6E-3</v>
      </c>
      <c r="L88" s="1064">
        <v>0</v>
      </c>
      <c r="M88" s="1064">
        <f t="shared" si="26"/>
        <v>-8.6E-3</v>
      </c>
      <c r="N88" s="1064">
        <f t="shared" si="26"/>
        <v>-1.72E-2</v>
      </c>
    </row>
    <row r="89" spans="1:37" ht="24">
      <c r="A89" s="2130" t="s">
        <v>2057</v>
      </c>
      <c r="B89" s="2136" t="s">
        <v>2071</v>
      </c>
      <c r="C89" s="2044" t="s">
        <v>3398</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39" thickBot="1">
      <c r="A90" s="2138" t="s">
        <v>2072</v>
      </c>
      <c r="B90" s="2143" t="str">
        <f>估价对象房地状况!G18</f>
        <v>该园区内是否有污染型企业，绿化情况，卫生条件，整体环境状况判断</v>
      </c>
      <c r="C90" s="2044" t="s">
        <v>3396</v>
      </c>
      <c r="D90" s="1065">
        <f t="shared" si="22"/>
        <v>0</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十级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28279</v>
      </c>
      <c r="C2" s="2" t="s">
        <v>106</v>
      </c>
      <c r="D2" s="199"/>
      <c r="E2" s="199"/>
      <c r="F2" s="199"/>
      <c r="G2" s="199"/>
    </row>
    <row r="3" spans="1:7" s="200" customFormat="1" ht="18" customHeight="1" thickBot="1">
      <c r="A3" s="203" t="s">
        <v>58</v>
      </c>
      <c r="B3" s="204">
        <f ca="1">ROUND(B2*10000/'数据-汇总表'!E3,0)</f>
        <v>78461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72</v>
      </c>
      <c r="D10" s="845">
        <f>'数据-汇总表'!E6</f>
        <v>3604.2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72</v>
      </c>
      <c r="D19" s="849">
        <f>'数据-汇总表'!E3</f>
        <v>3604.2</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3164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1390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1261</v>
      </c>
      <c r="D34" s="217"/>
      <c r="E34" s="220"/>
      <c r="F34" s="257">
        <f>IF('数据-取费表'!B24=0,1,'数据-取费表'!N16)</f>
        <v>1</v>
      </c>
      <c r="G34" s="219" t="s">
        <v>89</v>
      </c>
    </row>
    <row r="35" spans="1:7" ht="13.5" customHeight="1">
      <c r="A35" s="780" t="s">
        <v>351</v>
      </c>
      <c r="B35" s="215" t="s">
        <v>33</v>
      </c>
      <c r="C35" s="220">
        <f>ROUND(C34*F35,0)</f>
        <v>38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72</v>
      </c>
      <c r="D37" s="217">
        <f>'数据-汇总表'!E3</f>
        <v>3604.2</v>
      </c>
      <c r="E37" s="249">
        <f>'数据-取费表'!B35</f>
        <v>200</v>
      </c>
      <c r="F37" s="259"/>
      <c r="G37" s="261" t="s">
        <v>92</v>
      </c>
    </row>
    <row r="38" spans="1:7" ht="13.5" customHeight="1">
      <c r="A38" s="780" t="s">
        <v>354</v>
      </c>
      <c r="B38" s="215" t="s">
        <v>36</v>
      </c>
      <c r="C38" s="220">
        <f>ROUND(C34*F38,0)</f>
        <v>19</v>
      </c>
      <c r="D38" s="220"/>
      <c r="E38" s="220"/>
      <c r="F38" s="259">
        <f>'数据-取费表'!B36</f>
        <v>1.4999999999999999E-2</v>
      </c>
      <c r="G38" s="219" t="s">
        <v>90</v>
      </c>
    </row>
    <row r="39" spans="1:7" s="214" customFormat="1" ht="13.5" customHeight="1">
      <c r="A39" s="777" t="s">
        <v>338</v>
      </c>
      <c r="B39" s="210" t="s">
        <v>77</v>
      </c>
      <c r="C39" s="232">
        <f>ROUND(C33*F20,0)</f>
        <v>28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24</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2.9999999999999997E-4</v>
      </c>
      <c r="D44" s="238"/>
      <c r="E44" s="238"/>
      <c r="F44" s="239"/>
      <c r="G44" s="3634"/>
    </row>
    <row r="45" spans="1:7" s="214" customFormat="1" ht="13.5" customHeight="1">
      <c r="A45" s="777" t="s">
        <v>341</v>
      </c>
      <c r="B45" s="244" t="s">
        <v>85</v>
      </c>
      <c r="C45" s="245">
        <f>C46</f>
        <v>213</v>
      </c>
      <c r="D45" s="235">
        <f>C47</f>
        <v>3.0000000000000001E-3</v>
      </c>
      <c r="E45" s="236" t="s">
        <v>102</v>
      </c>
      <c r="F45" s="246"/>
      <c r="G45" s="247" t="s">
        <v>434</v>
      </c>
    </row>
    <row r="46" spans="1:7" s="214" customFormat="1" ht="13.5" customHeight="1">
      <c r="A46" s="780" t="s">
        <v>349</v>
      </c>
      <c r="B46" s="248" t="s">
        <v>427</v>
      </c>
      <c r="C46" s="249">
        <f>ROUND((C33+C39)*F27,0)</f>
        <v>213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1791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1254</v>
      </c>
      <c r="D51" s="232"/>
      <c r="E51" s="232"/>
      <c r="F51" s="264"/>
      <c r="G51" s="234" t="s">
        <v>37</v>
      </c>
    </row>
    <row r="52" spans="1:7" s="208" customFormat="1" ht="16.5" thickBot="1">
      <c r="A52" s="265" t="s">
        <v>38</v>
      </c>
      <c r="B52" s="266"/>
      <c r="C52" s="267">
        <f ca="1">C31+C51</f>
        <v>28279</v>
      </c>
      <c r="D52" s="266"/>
      <c r="E52" s="266"/>
      <c r="F52" s="266"/>
      <c r="G52" s="268"/>
    </row>
    <row r="55" spans="1:7" ht="15">
      <c r="B55" s="270" t="s">
        <v>39</v>
      </c>
      <c r="C55" s="271"/>
    </row>
    <row r="56" spans="1:7">
      <c r="B56" s="273" t="s">
        <v>40</v>
      </c>
      <c r="C56" s="274">
        <f ca="1">ROUND(C51/C52,3)</f>
        <v>4.3999999999999997E-2</v>
      </c>
    </row>
    <row r="57" spans="1:7">
      <c r="B57" s="273" t="s">
        <v>41</v>
      </c>
      <c r="C57" s="275">
        <f ca="1">1-C56</f>
        <v>0.95599999999999996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45370</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45370</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房地产</v>
      </c>
      <c r="B4" s="854">
        <f>项目基本情况!C17</f>
        <v>3604.2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2024-03-19T08:03:27Z</dcterms:modified>
</cp:coreProperties>
</file>