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案例" sheetId="82" r:id="rId21"/>
    <sheet name="结果表(仓储)" sheetId="81" r:id="rId22"/>
    <sheet name="成本法" sheetId="68" state="hidden" r:id="rId23"/>
    <sheet name="成本法 (元)" sheetId="69" r:id="rId24"/>
    <sheet name="假设开发法" sheetId="12"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1">'结果表(仓储)'!$A$1:$I$127</definedName>
    <definedName name="_xlnm.Print_Area" localSheetId="1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0" i="34" l="1"/>
  <c r="B15" i="74" l="1"/>
  <c r="B14" i="74"/>
  <c r="G62" i="43"/>
  <c r="G63" i="43"/>
  <c r="G64" i="43"/>
  <c r="G65" i="43"/>
  <c r="G66" i="43"/>
  <c r="G67" i="43"/>
  <c r="G68" i="43"/>
  <c r="G69" i="43"/>
  <c r="G61" i="43"/>
  <c r="G44" i="43"/>
  <c r="D41" i="43"/>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H1" i="81"/>
  <c r="C37" i="34"/>
  <c r="I7" i="34"/>
  <c r="G7" i="34"/>
  <c r="E7" i="34"/>
  <c r="AM7" i="1"/>
  <c r="AL7" i="1"/>
  <c r="AK7" i="1"/>
  <c r="Y7" i="1"/>
  <c r="Y6" i="1"/>
  <c r="N7" i="1"/>
  <c r="L7" i="1"/>
  <c r="B59" i="1"/>
  <c r="D34" i="81"/>
  <c r="D35" i="81"/>
  <c r="C18" i="81" l="1"/>
  <c r="D18" i="81" s="1"/>
  <c r="K120" i="81"/>
  <c r="D121" i="81"/>
  <c r="C74" i="81"/>
  <c r="C92" i="81"/>
  <c r="C94" i="81"/>
  <c r="H109" i="81"/>
  <c r="D124" i="81" l="1"/>
  <c r="D125" i="81" s="1"/>
  <c r="H110" i="81"/>
  <c r="B21" i="1" l="1"/>
  <c r="G13" i="4"/>
  <c r="G20" i="6"/>
  <c r="F19" i="6"/>
  <c r="D3" i="4"/>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S35" i="34"/>
  <c r="F28" i="34"/>
  <c r="AA28" i="34" s="1"/>
  <c r="F27" i="34"/>
  <c r="AA27" i="34" s="1"/>
  <c r="F25" i="34"/>
  <c r="S25" i="34" s="1"/>
  <c r="H23" i="34"/>
  <c r="U23" i="34" s="1"/>
  <c r="J23" i="34"/>
  <c r="AC23" i="34" s="1"/>
  <c r="H17" i="34"/>
  <c r="U17"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c r="H114" i="34"/>
  <c r="I114" i="34"/>
  <c r="J114" i="34"/>
  <c r="K114" i="34"/>
  <c r="L114" i="34"/>
  <c r="M114" i="34"/>
  <c r="H38" i="34"/>
  <c r="AB38" i="34"/>
  <c r="J36" i="34"/>
  <c r="W36" i="34" s="1"/>
  <c r="H25" i="34"/>
  <c r="AB25" i="34"/>
  <c r="J25" i="34"/>
  <c r="AC25" i="34"/>
  <c r="F23" i="34"/>
  <c r="AA23"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U39" i="34"/>
  <c r="AB41" i="34"/>
  <c r="AA45" i="34"/>
  <c r="AA25" i="34"/>
  <c r="AA29"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AA8" i="34"/>
  <c r="S8" i="34"/>
  <c r="AB9" i="34"/>
  <c r="U9" i="34"/>
  <c r="S46" i="34"/>
  <c r="AA46" i="34"/>
  <c r="U32" i="34"/>
  <c r="AB32" i="34"/>
  <c r="U14" i="34"/>
  <c r="AB14"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D35" i="9"/>
  <c r="B9" i="76"/>
  <c r="F7" i="73"/>
  <c r="F20" i="31"/>
  <c r="E2" i="69"/>
  <c r="F6" i="67"/>
  <c r="M6" i="15"/>
  <c r="E11" i="76"/>
  <c r="F16" i="15"/>
  <c r="M9" i="67"/>
  <c r="F37" i="15"/>
  <c r="F9" i="67"/>
  <c r="B12" i="76"/>
  <c r="F6" i="73"/>
  <c r="F38" i="67"/>
  <c r="M24" i="15"/>
  <c r="C76" i="15"/>
  <c r="J15" i="15"/>
  <c r="B11" i="76"/>
  <c r="F38" i="15"/>
  <c r="B10" i="76"/>
  <c r="M8" i="67"/>
  <c r="M28" i="15"/>
  <c r="M26" i="15"/>
  <c r="M9" i="15"/>
  <c r="M26" i="67"/>
  <c r="F5" i="73"/>
  <c r="E8" i="76"/>
  <c r="M29" i="15"/>
  <c r="M22" i="15"/>
  <c r="F43" i="15"/>
  <c r="M6" i="67"/>
  <c r="D3" i="73"/>
  <c r="F36" i="15"/>
  <c r="F13" i="15"/>
  <c r="AO13" i="1"/>
  <c r="D6" i="73"/>
  <c r="E2" i="68"/>
  <c r="M8" i="15"/>
  <c r="C76" i="67"/>
  <c r="F8" i="67"/>
  <c r="L48" i="15"/>
  <c r="B7" i="76"/>
  <c r="F16" i="67"/>
  <c r="M29" i="67"/>
  <c r="F40" i="67"/>
  <c r="F42" i="67"/>
  <c r="J15" i="67"/>
  <c r="F36" i="67"/>
  <c r="D34" i="9"/>
  <c r="E7" i="76"/>
  <c r="E9" i="76"/>
  <c r="F9" i="15"/>
  <c r="L48" i="67"/>
  <c r="F13" i="67"/>
  <c r="F43" i="67"/>
  <c r="M28" i="67"/>
  <c r="F42" i="15"/>
  <c r="M23" i="67"/>
  <c r="F3" i="73"/>
  <c r="F7" i="15"/>
  <c r="E13" i="76"/>
  <c r="F7" i="67"/>
  <c r="M24" i="67"/>
  <c r="D7" i="73"/>
  <c r="F4" i="73"/>
  <c r="L47" i="67"/>
  <c r="B8" i="76"/>
  <c r="E10" i="76"/>
  <c r="E12" i="76"/>
  <c r="F37" i="67"/>
  <c r="L47" i="15"/>
  <c r="F8" i="15"/>
  <c r="F40" i="15"/>
  <c r="F6" i="15"/>
  <c r="M22" i="67"/>
  <c r="F26" i="67"/>
  <c r="M23" i="15"/>
  <c r="F26" i="15"/>
  <c r="D4" i="73"/>
  <c r="B13" i="76"/>
  <c r="C51" i="10" l="1"/>
  <c r="A13" i="51" s="1"/>
  <c r="B11" i="72" s="1"/>
  <c r="A118" i="81"/>
  <c r="A2" i="81"/>
  <c r="C40" i="68"/>
  <c r="U27" i="34"/>
  <c r="U28" i="34"/>
  <c r="AC28" i="34"/>
  <c r="H43" i="34"/>
  <c r="G124" i="34"/>
  <c r="H124" i="34" s="1"/>
  <c r="I124" i="34" s="1"/>
  <c r="J124" i="34" s="1"/>
  <c r="K124" i="34" s="1"/>
  <c r="L124" i="34" s="1"/>
  <c r="M124" i="34" s="1"/>
  <c r="J43" i="34"/>
  <c r="F43" i="34"/>
  <c r="AA43" i="34" s="1"/>
  <c r="S43" i="34"/>
  <c r="S44" i="34"/>
  <c r="U44" i="34"/>
  <c r="AA39" i="34"/>
  <c r="H112" i="34"/>
  <c r="I112" i="34" s="1"/>
  <c r="J112" i="34" s="1"/>
  <c r="K112" i="34" s="1"/>
  <c r="L112" i="34" s="1"/>
  <c r="M112" i="34" s="1"/>
  <c r="J37" i="34"/>
  <c r="AC37" i="34" s="1"/>
  <c r="F37" i="34"/>
  <c r="H37" i="34"/>
  <c r="U37" i="34" s="1"/>
  <c r="AB35" i="34"/>
  <c r="AC39" i="34"/>
  <c r="AC36" i="34"/>
  <c r="W33" i="34"/>
  <c r="U21" i="34"/>
  <c r="S23" i="34"/>
  <c r="AB23" i="34"/>
  <c r="S21" i="34"/>
  <c r="F82" i="34"/>
  <c r="G82" i="34" s="1"/>
  <c r="F19" i="34"/>
  <c r="J19" i="34"/>
  <c r="H19" i="34"/>
  <c r="AB17" i="34"/>
  <c r="S17" i="34"/>
  <c r="AC17" i="34"/>
  <c r="F78" i="34"/>
  <c r="G78" i="34" s="1"/>
  <c r="J15" i="34"/>
  <c r="F15" i="34"/>
  <c r="H15" i="34"/>
  <c r="AB15" i="34" s="1"/>
  <c r="C28" i="67"/>
  <c r="C21" i="68"/>
  <c r="C40" i="69"/>
  <c r="AZ22" i="3"/>
  <c r="BL5" i="3"/>
  <c r="AZ15" i="3"/>
  <c r="G5" i="3"/>
  <c r="B3" i="3" s="1"/>
  <c r="E77" i="3" s="1"/>
  <c r="BA5" i="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71" i="3"/>
  <c r="E150" i="3"/>
  <c r="E279" i="3"/>
  <c r="E351" i="3"/>
  <c r="E318" i="3"/>
  <c r="E31"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C36" i="69"/>
  <c r="C16" i="15"/>
  <c r="C16" i="67"/>
  <c r="C36" i="68"/>
  <c r="D9" i="68"/>
  <c r="D9" i="69"/>
  <c r="G1" i="73"/>
  <c r="W43" i="34" l="1"/>
  <c r="AC43" i="34"/>
  <c r="AB43" i="34"/>
  <c r="U43" i="34"/>
  <c r="AA37" i="34"/>
  <c r="S37" i="34"/>
  <c r="AB19" i="34"/>
  <c r="U19" i="34"/>
  <c r="AA19" i="34"/>
  <c r="S19" i="34"/>
  <c r="AC19" i="34"/>
  <c r="W19" i="34"/>
  <c r="W15" i="34"/>
  <c r="AC15" i="34"/>
  <c r="U15" i="34"/>
  <c r="S15" i="34"/>
  <c r="AA15" i="34"/>
  <c r="E26" i="43"/>
  <c r="H26" i="43"/>
  <c r="K16" i="1"/>
  <c r="E89" i="3"/>
  <c r="E236" i="3"/>
  <c r="E368" i="3"/>
  <c r="I6" i="3"/>
  <c r="E227" i="3"/>
  <c r="E93" i="3"/>
  <c r="E14" i="3"/>
  <c r="E357" i="3"/>
  <c r="E257" i="3"/>
  <c r="E208" i="3"/>
  <c r="E146" i="3"/>
  <c r="E519" i="3"/>
  <c r="E32" i="3"/>
  <c r="E74" i="3"/>
  <c r="E580" i="3"/>
  <c r="E362" i="3"/>
  <c r="E394" i="3"/>
  <c r="E315" i="3"/>
  <c r="E274" i="3"/>
  <c r="E214" i="3"/>
  <c r="E256" i="3"/>
  <c r="E171" i="3"/>
  <c r="E203" i="3"/>
  <c r="E106" i="3"/>
  <c r="E457" i="3"/>
  <c r="E511" i="3"/>
  <c r="E168" i="3"/>
  <c r="E73" i="3"/>
  <c r="E475" i="3"/>
  <c r="E571" i="3"/>
  <c r="E458" i="3"/>
  <c r="E45" i="3"/>
  <c r="E85" i="3"/>
  <c r="E111" i="3"/>
  <c r="E54" i="3"/>
  <c r="E72" i="3"/>
  <c r="E433" i="3"/>
  <c r="E450" i="3"/>
  <c r="E562" i="3"/>
  <c r="E527" i="3"/>
  <c r="E573" i="3"/>
  <c r="E193" i="3"/>
  <c r="E99" i="3"/>
  <c r="E314" i="3"/>
  <c r="E453" i="3"/>
  <c r="E537" i="3"/>
  <c r="W6" i="3"/>
  <c r="E288" i="3"/>
  <c r="E438" i="3"/>
  <c r="E474" i="3"/>
  <c r="E529" i="3"/>
  <c r="E532" i="3"/>
  <c r="E313" i="3"/>
  <c r="E224" i="3"/>
  <c r="E157" i="3"/>
  <c r="E306" i="3"/>
  <c r="E352" i="3"/>
  <c r="E136" i="3"/>
  <c r="E461" i="3"/>
  <c r="E122"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539" i="3"/>
  <c r="E165" i="3"/>
  <c r="E536" i="3"/>
  <c r="E244"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Y6" i="3"/>
  <c r="E68" i="3"/>
  <c r="E51" i="3"/>
  <c r="E63" i="3"/>
  <c r="E19" i="3"/>
  <c r="E81" i="3"/>
  <c r="E154" i="3"/>
  <c r="E118" i="3"/>
  <c r="E179" i="3"/>
  <c r="E264" i="3"/>
  <c r="E222" i="3"/>
  <c r="E283" i="3"/>
  <c r="E323" i="3"/>
  <c r="E309" i="3"/>
  <c r="E373" i="3"/>
  <c r="E513" i="3"/>
  <c r="E82" i="3"/>
  <c r="E21" i="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6" i="1"/>
  <c r="AE7" i="1"/>
  <c r="F41" i="67" s="1"/>
  <c r="F27" i="68"/>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17" i="67"/>
  <c r="C14" i="67"/>
  <c r="D10" i="68"/>
  <c r="C17" i="15"/>
  <c r="C34" i="69"/>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34" i="68"/>
  <c r="E6" i="76"/>
  <c r="C14" i="15"/>
  <c r="B3" i="43" l="1"/>
  <c r="C6" i="68"/>
  <c r="C7" i="68" s="1"/>
  <c r="C5" i="68"/>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9" i="81"/>
  <c r="C21" i="81" l="1"/>
  <c r="C102" i="8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81"/>
  <c r="L51" i="67"/>
  <c r="C103" i="81" l="1"/>
  <c r="Q69" i="67"/>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D2" i="33"/>
  <c r="Q69" i="15" l="1"/>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7"/>
  <c r="D2" i="35"/>
  <c r="Q75" i="67" l="1"/>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10" i="1"/>
  <c r="AO8" i="1"/>
  <c r="AO11" i="1"/>
  <c r="C19" i="9"/>
  <c r="AO7"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D19" i="81"/>
  <c r="D21" i="81" l="1"/>
  <c r="D102" i="81"/>
  <c r="D22" i="81"/>
  <c r="G19" i="81"/>
  <c r="G21" i="81" s="1"/>
  <c r="C103" i="9"/>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1"/>
  <c r="D103" i="81" l="1"/>
  <c r="G20" i="81"/>
  <c r="C32" i="81" s="1"/>
  <c r="D103" i="9"/>
  <c r="G20" i="9"/>
  <c r="C32" i="9" s="1"/>
  <c r="C42" i="40"/>
  <c r="C43" i="40"/>
  <c r="E47" i="40"/>
  <c r="F47" i="40" s="1"/>
  <c r="E46" i="40"/>
  <c r="F46" i="40" s="1"/>
  <c r="I47" i="40"/>
  <c r="J47" i="40" s="1"/>
  <c r="C35" i="81" l="1"/>
  <c r="C34" i="81"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F118" i="9"/>
  <c r="F119" i="9" s="1"/>
  <c r="F5" i="52" s="1"/>
  <c r="B53" i="72" s="1"/>
  <c r="H118" i="9"/>
  <c r="H4" i="52" l="1"/>
  <c r="D14" i="74"/>
  <c r="H101" i="9"/>
  <c r="M48" i="9" s="1"/>
  <c r="G118" i="9"/>
  <c r="G4" i="52" s="1"/>
  <c r="B52" i="72" s="1"/>
  <c r="I118" i="9"/>
  <c r="C105" i="9" s="1"/>
  <c r="D4" i="52"/>
  <c r="B47" i="72" s="1"/>
  <c r="D119" i="9"/>
  <c r="D5" i="52" s="1"/>
  <c r="B49" i="72" s="1"/>
  <c r="F4" i="52"/>
  <c r="B51" i="72" s="1"/>
  <c r="H119" i="9"/>
  <c r="H5" i="52" s="1"/>
  <c r="C104" i="9"/>
  <c r="I4" i="52" l="1"/>
  <c r="H107" i="9"/>
  <c r="D13" i="53" s="1"/>
  <c r="D5" i="53"/>
  <c r="D6" i="53" s="1"/>
  <c r="B22" i="72" s="1"/>
  <c r="H102" i="9"/>
  <c r="D7" i="53" s="1"/>
  <c r="B21" i="72" s="1"/>
  <c r="D45" i="9"/>
  <c r="C93" i="9" s="1"/>
  <c r="C86" i="9" s="1"/>
  <c r="F14" i="74"/>
  <c r="E14" i="74"/>
  <c r="E118" i="9"/>
  <c r="E4" i="52" s="1"/>
  <c r="B48" i="72" s="1"/>
  <c r="H108" i="9" l="1"/>
  <c r="D15" i="53" s="1"/>
  <c r="B31" i="72" s="1"/>
  <c r="D122" i="9"/>
  <c r="D8" i="52" s="1"/>
  <c r="D53" i="9"/>
  <c r="D55" i="9"/>
  <c r="M53" i="9" s="1"/>
  <c r="B20" i="72"/>
  <c r="C64" i="9"/>
  <c r="C63" i="9" s="1"/>
  <c r="C67" i="9" s="1"/>
  <c r="C68" i="9" s="1"/>
  <c r="D54" i="9" s="1"/>
  <c r="D52" i="9"/>
  <c r="C85" i="9"/>
  <c r="C95" i="9" s="1"/>
  <c r="C96" i="9" s="1"/>
  <c r="E96" i="9" s="1"/>
  <c r="E97" i="9" s="1"/>
  <c r="C72" i="9"/>
  <c r="C78" i="9"/>
  <c r="C73" i="9" s="1"/>
  <c r="M49" i="9"/>
  <c r="L64" i="9" s="1"/>
  <c r="M64" i="9" s="1"/>
  <c r="D14" i="53"/>
  <c r="B32" i="72" s="1"/>
  <c r="B30" i="72"/>
  <c r="D59" i="9"/>
  <c r="M55" i="9" s="1"/>
  <c r="C6" i="74"/>
  <c r="D123" i="9" l="1"/>
  <c r="D9" i="52" s="1"/>
  <c r="L67" i="9"/>
  <c r="M67" i="9" s="1"/>
  <c r="L65" i="9"/>
  <c r="M65" i="9" s="1"/>
  <c r="L68" i="9"/>
  <c r="M68" i="9" s="1"/>
  <c r="C79" i="9"/>
  <c r="C80" i="9" s="1"/>
  <c r="E80" i="9" s="1"/>
  <c r="E81" i="9" s="1"/>
  <c r="L63" i="9"/>
  <c r="M63" i="9" s="1"/>
  <c r="L66" i="9"/>
  <c r="M66" i="9" s="1"/>
  <c r="C97" i="9"/>
  <c r="D58" i="9" s="1"/>
  <c r="D56" i="9" s="1"/>
  <c r="M54" i="9" s="1"/>
  <c r="N57" i="9" s="1"/>
  <c r="M69" i="9" l="1"/>
  <c r="N69" i="9" s="1"/>
  <c r="C81" i="9"/>
  <c r="P57" i="9"/>
  <c r="N58" i="9"/>
  <c r="N59" i="9"/>
  <c r="N61" i="9" l="1"/>
  <c r="N60" i="9"/>
  <c r="D118" i="81"/>
  <c r="D119" i="81" s="1"/>
  <c r="F118" i="81"/>
  <c r="F119" i="81" s="1"/>
  <c r="H118" i="81"/>
  <c r="H119" i="81" l="1"/>
  <c r="D15" i="74"/>
  <c r="H101" i="81"/>
  <c r="M48" i="81" s="1"/>
  <c r="I118" i="81"/>
  <c r="H102" i="81" s="1"/>
  <c r="G118" i="81"/>
  <c r="C104" i="81"/>
  <c r="C105" i="81" l="1"/>
  <c r="E118" i="81"/>
  <c r="H107" i="81"/>
  <c r="H108" i="81" s="1"/>
  <c r="D45" i="81"/>
  <c r="C78" i="81" s="1"/>
  <c r="C73" i="81" s="1"/>
  <c r="E15" i="74"/>
  <c r="F15" i="74"/>
  <c r="B5" i="74"/>
  <c r="D52" i="81"/>
  <c r="D53" i="81" l="1"/>
  <c r="C72" i="81"/>
  <c r="C79" i="81" s="1"/>
  <c r="C80" i="81" s="1"/>
  <c r="E80" i="81" s="1"/>
  <c r="E81" i="81" s="1"/>
  <c r="C93" i="81"/>
  <c r="C86" i="81" s="1"/>
  <c r="D55" i="81"/>
  <c r="M53" i="81" s="1"/>
  <c r="C85" i="81"/>
  <c r="C64" i="81"/>
  <c r="C63" i="81" s="1"/>
  <c r="C67" i="81" s="1"/>
  <c r="C68" i="81" s="1"/>
  <c r="D54" i="81" s="1"/>
  <c r="D122" i="81"/>
  <c r="D123" i="81" s="1"/>
  <c r="M49" i="81"/>
  <c r="L67" i="81" s="1"/>
  <c r="M67" i="81" s="1"/>
  <c r="D5" i="74"/>
  <c r="C5" i="74"/>
  <c r="D59" i="81" l="1"/>
  <c r="M55" i="81" s="1"/>
  <c r="C95" i="81"/>
  <c r="L64" i="81"/>
  <c r="M64" i="81" s="1"/>
  <c r="L65" i="81"/>
  <c r="M65" i="81" s="1"/>
  <c r="L68" i="81"/>
  <c r="M68" i="81" s="1"/>
  <c r="L66" i="81"/>
  <c r="M66" i="81" s="1"/>
  <c r="L63" i="81"/>
  <c r="M63" i="81" s="1"/>
  <c r="C96" i="81"/>
  <c r="E96" i="81" s="1"/>
  <c r="E97" i="81" s="1"/>
  <c r="C81" i="81"/>
  <c r="M69" i="81" l="1"/>
  <c r="N69" i="81" s="1"/>
  <c r="C97" i="81"/>
  <c r="D58" i="81" s="1"/>
  <c r="D56" i="81" s="1"/>
  <c r="M54" i="81" s="1"/>
  <c r="N57" i="81" s="1"/>
  <c r="N58" i="81" s="1"/>
  <c r="P57" i="81" l="1"/>
  <c r="N59" i="81"/>
  <c r="N60" i="81" s="1"/>
  <c r="N61"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<sst xmlns="http://schemas.openxmlformats.org/spreadsheetml/2006/main" count="8202" uniqueCount="3428">
  <si>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</si>
  <si>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</si>
  <si>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</si>
  <si>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</si>
  <si>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</si>
  <si>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</si>
  <si>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</si>
  <si>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</si>
  <si>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</si>
  <si>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</si>
  <si>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</si>
  <si>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</si>
  <si>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</si>
  <si>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</si>
  <si>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</si>
  <si>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</si>
  <si>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</si>
  <si>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</si>
  <si>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</si>
  <si>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</si>
  <si>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</si>
  <si>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</si>
  <si>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</si>
  <si>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</si>
  <si>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</si>
  <si>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</si>
  <si>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</si>
  <si>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</si>
  <si>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</si>
  <si>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</si>
  <si>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</si>
  <si>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</si>
  <si>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</si>
  <si>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</si>
  <si>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</si>
  <si>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</si>
  <si>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</si>
  <si>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</si>
  <si>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</si>
  <si>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</si>
  <si>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</si>
  <si>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</si>
  <si>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</si>
  <si>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</si>
  <si>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</si>
  <si>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</si>
  <si>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</si>
  <si>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</si>
  <si>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</si>
  <si>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</si>
  <si>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</si>
  <si>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</si>
  <si>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</si>
  <si>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</si>
  <si>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</si>
  <si>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</si>
  <si>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</si>
  <si>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</si>
  <si>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</si>
  <si>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</si>
  <si>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</si>
  <si>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</si>
  <si>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</si>
  <si>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</si>
  <si>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</si>
  <si>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</si>
  <si>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</si>
  <si>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</si>
  <si>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</si>
  <si>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</si>
  <si>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</si>
  <si>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</si>
  <si>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</si>
  <si>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</si>
  <si>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</si>
  <si>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</si>
  <si>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</si>
  <si>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</si>
  <si>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</si>
  <si>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</si>
  <si>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</si>
  <si>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</si>
  <si>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</si>
  <si>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</si>
  <si>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</si>
  <si>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</si>
  <si>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</si>
  <si>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</si>
  <si>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</si>
  <si>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</si>
  <si>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</si>
  <si>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</si>
  <si>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</si>
  <si>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</si>
  <si>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</si>
  <si>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</si>
  <si>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</si>
  <si>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</si>
  <si>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</si>
  <si>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</si>
  <si>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</si>
  <si>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</si>
  <si>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</si>
  <si>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</si>
  <si>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</si>
  <si>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</si>
  <si>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</si>
  <si>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</si>
  <si>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</si>
  <si>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</si>
  <si>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</si>
  <si>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</si>
  <si>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</si>
  <si>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</si>
  <si>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</si>
  <si>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</si>
  <si>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</si>
  <si>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</si>
  <si>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</si>
  <si>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</si>
  <si>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</si>
  <si>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</si>
  <si>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</si>
  <si>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</si>
  <si>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</si>
  <si>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</si>
  <si>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</si>
  <si>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</si>
  <si>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</si>
  <si>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</si>
  <si>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</si>
  <si>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</si>
  <si>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</si>
  <si>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</si>
  <si>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</si>
  <si>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</si>
  <si>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</si>
  <si>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</si>
  <si>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</si>
  <si>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</si>
  <si>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</si>
  <si>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</si>
  <si>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</si>
  <si>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</si>
  <si>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</si>
  <si>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</si>
  <si>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</si>
  <si>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</si>
  <si>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</si>
  <si>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</si>
  <si>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</si>
  <si>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</si>
  <si>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</si>
  <si>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</si>
  <si>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</si>
  <si>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</si>
  <si>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</si>
  <si>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</si>
  <si>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</si>
  <si>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</si>
  <si>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</si>
  <si>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</si>
  <si>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</si>
  <si>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</si>
  <si>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</si>
  <si>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</si>
  <si>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</si>
  <si>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</si>
  <si>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</si>
  <si>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</si>
  <si>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</si>
  <si>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</si>
  <si>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</si>
  <si>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</si>
  <si>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</si>
  <si>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</si>
  <si>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</si>
  <si>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</si>
  <si>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</si>
  <si>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</si>
  <si>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</si>
  <si>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</si>
  <si>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</si>
  <si>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</si>
  <si>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</si>
  <si>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</si>
  <si>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</si>
  <si>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</si>
  <si>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</si>
  <si>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</si>
  <si>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</si>
  <si>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</si>
  <si>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</si>
  <si>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</si>
  <si>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</si>
  <si>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</si>
  <si>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</si>
  <si>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</si>
  <si>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</si>
  <si>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</si>
  <si>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</si>
  <si>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</si>
  <si>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</si>
  <si>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</si>
  <si>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</si>
  <si>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</si>
  <si>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</si>
  <si>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</si>
  <si>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</si>
  <si>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</si>
  <si>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</si>
  <si>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</si>
  <si>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</si>
  <si>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</si>
  <si>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</si>
  <si>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</si>
  <si>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</si>
  <si>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</si>
  <si>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</si>
  <si>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</si>
  <si>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</si>
  <si>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</si>
  <si>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</si>
  <si>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</si>
  <si>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</si>
  <si>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</si>
  <si>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</si>
  <si>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</si>
  <si>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</si>
  <si>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</si>
  <si>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</si>
  <si>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</si>
  <si>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</si>
  <si>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</si>
  <si>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</si>
  <si>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</si>
  <si>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</si>
  <si>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</si>
  <si>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</si>
  <si>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</si>
  <si>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</si>
  <si>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</si>
  <si>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</si>
  <si>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</si>
  <si>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</si>
  <si>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</si>
  <si>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</si>
  <si>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</si>
  <si>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</si>
  <si>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</si>
  <si>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</si>
  <si>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</si>
  <si>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</si>
  <si>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</si>
  <si>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</si>
  <si>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</si>
  <si>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</si>
  <si>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</si>
  <si>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</si>
  <si>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</si>
  <si>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</si>
  <si>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</si>
  <si>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</si>
  <si>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</si>
  <si>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</si>
  <si>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</si>
  <si>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</si>
  <si>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</si>
  <si>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</si>
  <si>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</si>
  <si>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</si>
  <si>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</si>
  <si>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</si>
  <si>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</si>
  <si>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</si>
  <si>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</si>
  <si>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</si>
  <si>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</si>
  <si>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</si>
  <si>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</si>
  <si>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</si>
  <si>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</si>
  <si>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</si>
  <si>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</si>
  <si>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</si>
  <si>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</si>
  <si>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</si>
  <si>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</si>
  <si>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</si>
  <si>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</si>
  <si>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</si>
  <si>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</si>
  <si>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</si>
  <si>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</si>
  <si>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</si>
  <si>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</si>
  <si>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</si>
  <si>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</si>
  <si>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</si>
  <si>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</si>
  <si>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</si>
  <si>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</si>
  <si>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</si>
  <si>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</si>
  <si>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</si>
  <si>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</si>
  <si>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</si>
  <si>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</si>
  <si>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</si>
  <si>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</si>
  <si>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</si>
  <si>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</si>
  <si>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</si>
  <si>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</si>
  <si>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</si>
  <si>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</si>
  <si>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</si>
  <si>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</si>
  <si>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</si>
  <si>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</si>
  <si>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</si>
  <si>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</si>
  <si>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</si>
  <si>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</si>
  <si>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</si>
  <si>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</si>
  <si>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</si>
  <si>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</si>
  <si>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</si>
  <si>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</si>
  <si>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</si>
  <si>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</si>
  <si>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</si>
  <si>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</si>
  <si>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</si>
  <si>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</si>
  <si>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</si>
  <si>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</si>
  <si>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</si>
  <si>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</si>
  <si>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</si>
  <si>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</si>
  <si>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</si>
  <si>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</si>
  <si>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</si>
  <si>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</si>
  <si>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</si>
  <si>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</si>
  <si>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</si>
  <si>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</si>
  <si>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</si>
  <si>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</si>
  <si>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</si>
  <si>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</si>
  <si>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</si>
  <si>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</si>
  <si>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</si>
  <si>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</si>
  <si>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</si>
  <si>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</si>
  <si>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</si>
  <si>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</si>
  <si>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</si>
  <si>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</si>
  <si>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</si>
  <si>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</si>
  <si>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</si>
  <si>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</si>
  <si>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</si>
  <si>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</si>
  <si>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</si>
  <si>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</si>
  <si>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</si>
  <si>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</si>
  <si>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</si>
  <si>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</si>
  <si>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</si>
  <si>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</si>
  <si>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</si>
  <si>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</si>
  <si>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</si>
  <si>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</si>
  <si>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</si>
  <si>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</si>
  <si>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</si>
  <si>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</si>
  <si>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</si>
  <si>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</si>
  <si>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</si>
  <si>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</si>
  <si>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</si>
  <si>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</si>
  <si>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</si>
  <si>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</si>
  <si>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</si>
  <si>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</si>
  <si>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</si>
  <si>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</si>
  <si>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</si>
  <si>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</si>
  <si>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</si>
  <si>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</si>
  <si>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</si>
  <si>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</si>
  <si>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</si>
  <si>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</si>
  <si>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</si>
  <si>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</si>
  <si>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</si>
  <si>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</si>
  <si>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</si>
  <si>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</si>
  <si>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</si>
  <si>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</si>
  <si>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</si>
  <si>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</si>
  <si>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</si>
  <si>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</si>
  <si>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</si>
  <si>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</si>
  <si>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</si>
  <si>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</si>
  <si>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</si>
  <si>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</si>
  <si>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</si>
  <si>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</si>
  <si>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</si>
  <si>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</si>
  <si>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</si>
  <si>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</si>
  <si>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</si>
  <si>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</si>
  <si>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</si>
  <si>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</si>
  <si>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</si>
  <si>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</si>
  <si>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</si>
  <si>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</si>
  <si>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</si>
  <si>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</si>
  <si>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</si>
  <si>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</si>
  <si>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</si>
  <si>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</si>
  <si>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</si>
  <si>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</si>
  <si>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</si>
  <si>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</si>
  <si>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</si>
  <si>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</si>
  <si>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</si>
  <si>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</si>
  <si>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</si>
  <si>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</si>
  <si>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</si>
  <si>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</si>
  <si>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</si>
  <si>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</si>
  <si>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</si>
  <si>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</si>
  <si>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</si>
  <si>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</si>
  <si>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</si>
  <si>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</si>
  <si>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</si>
  <si>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</si>
  <si>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</si>
  <si>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</si>
  <si>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</si>
  <si>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</si>
  <si>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</si>
  <si>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</si>
  <si>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</si>
  <si>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</si>
  <si>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</si>
  <si>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</si>
  <si>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</si>
  <si>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</si>
  <si>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</si>
  <si>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</si>
  <si>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</si>
  <si>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</si>
  <si>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</si>
  <si>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</si>
  <si>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</si>
  <si>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</si>
  <si>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</si>
  <si>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</si>
  <si>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</si>
  <si>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</si>
  <si>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</si>
  <si>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</si>
  <si>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</si>
  <si>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</si>
  <si>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</si>
  <si>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</si>
  <si>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</si>
  <si>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</si>
  <si>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</si>
  <si>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</si>
  <si>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</si>
  <si>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</si>
  <si>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</si>
  <si>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</si>
  <si>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</si>
  <si>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</si>
  <si>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</si>
  <si>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</si>
  <si>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</si>
  <si>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</si>
  <si>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</si>
  <si>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</si>
  <si>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</si>
  <si>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</si>
  <si>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</si>
  <si>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</si>
  <si>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</si>
  <si>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</si>
  <si>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</si>
  <si>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</si>
  <si>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</si>
  <si>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</si>
  <si>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</si>
  <si>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</si>
  <si>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</si>
  <si>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</si>
  <si>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</si>
  <si>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</si>
  <si>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</si>
  <si>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</si>
  <si>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</si>
  <si>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</si>
  <si>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</si>
  <si>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</si>
  <si>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</si>
  <si>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</si>
  <si>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</si>
  <si>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</si>
  <si>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</si>
  <si>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</si>
  <si>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</si>
  <si>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</si>
  <si>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</si>
  <si>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</si>
  <si>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</si>
  <si>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</si>
  <si>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</si>
  <si>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</si>
  <si>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</si>
  <si>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</si>
  <si>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</si>
  <si>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</si>
  <si>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</si>
  <si>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</si>
  <si>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</si>
  <si>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</si>
  <si>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</si>
  <si>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</si>
  <si>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</si>
  <si>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</si>
  <si>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</si>
  <si>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</si>
  <si>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</si>
  <si>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</si>
  <si>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</si>
  <si>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</si>
  <si>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</si>
  <si>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</si>
  <si>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</si>
  <si>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</si>
  <si>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</si>
  <si>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</si>
  <si>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</si>
  <si>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</si>
  <si>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</si>
  <si>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</si>
  <si>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</si>
  <si>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</si>
  <si>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</si>
  <si>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</si>
  <si>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</si>
  <si>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</si>
  <si>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</si>
  <si>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</si>
  <si>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</si>
  <si>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</si>
  <si>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</si>
  <si>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</si>
  <si>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</si>
  <si>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</si>
  <si>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</si>
  <si>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</si>
  <si>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</si>
  <si>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</si>
  <si>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</si>
  <si>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</si>
  <si>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</si>
  <si>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</si>
  <si>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</si>
  <si>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</si>
  <si>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</si>
  <si>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</si>
  <si>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</si>
  <si>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</si>
  <si>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</si>
  <si>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</si>
  <si>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</si>
  <si>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</si>
  <si>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</si>
  <si>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</si>
  <si>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</si>
  <si>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</si>
  <si>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</si>
  <si>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</si>
  <si>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</si>
  <si>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</si>
  <si>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</si>
  <si>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</si>
  <si>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</si>
  <si>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</si>
  <si>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</si>
  <si>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</si>
  <si>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</si>
  <si>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</si>
  <si>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</si>
  <si>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</si>
  <si>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</si>
  <si>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</si>
  <si>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</si>
  <si>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</si>
  <si>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</si>
  <si>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</si>
  <si>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</si>
  <si>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</si>
  <si>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</si>
  <si>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</si>
  <si>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</si>
  <si>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</si>
  <si>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</si>
  <si>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</si>
  <si>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</si>
  <si>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</si>
  <si>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</si>
  <si>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</si>
  <si>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</si>
  <si>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</si>
  <si>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</si>
  <si>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</si>
  <si>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</si>
  <si>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</si>
  <si>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</si>
  <si>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</si>
  <si>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</si>
  <si>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</si>
  <si>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</si>
  <si>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</si>
  <si>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</si>
  <si>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</si>
  <si>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</si>
  <si>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</si>
  <si>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</si>
  <si>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</si>
  <si>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</si>
  <si>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</si>
  <si>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</si>
  <si>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</si>
  <si>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</si>
  <si>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</si>
  <si>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</si>
  <si>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</si>
  <si>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</si>
  <si>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</si>
  <si>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</si>
  <si>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</si>
  <si>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</si>
  <si>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</si>
  <si>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</si>
  <si>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</si>
  <si>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</si>
  <si>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</si>
  <si>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</si>
  <si>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</si>
  <si>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</si>
  <si>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</si>
  <si>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</si>
  <si>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</si>
  <si>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</si>
  <si>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</si>
  <si>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</si>
  <si>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</si>
  <si>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</si>
  <si>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</si>
  <si>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</si>
  <si>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</si>
  <si>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</si>
  <si>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</si>
  <si>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</si>
  <si>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</si>
  <si>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</si>
  <si>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</si>
  <si>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</si>
  <si>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</si>
  <si>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</si>
  <si>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</si>
  <si>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</si>
  <si>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</si>
  <si>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</si>
  <si>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</si>
  <si>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</si>
  <si>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</si>
  <si>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</si>
  <si>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</si>
  <si>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</si>
  <si>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</si>
  <si>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</si>
  <si>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</si>
  <si>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</si>
  <si>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</si>
  <si>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</si>
  <si>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</si>
  <si>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</si>
  <si>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</si>
  <si>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</si>
  <si>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</si>
  <si>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</si>
  <si>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</si>
  <si>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</si>
  <si>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</si>
  <si>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</si>
  <si>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</si>
  <si>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</si>
  <si>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</si>
  <si>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</si>
  <si>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</si>
  <si>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</si>
  <si>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</si>
  <si>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</si>
  <si>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</si>
  <si>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</si>
  <si>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</si>
  <si>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</si>
  <si>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</si>
  <si>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</si>
  <si>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</si>
  <si>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</si>
  <si>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</si>
  <si>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</si>
  <si>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</si>
  <si>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</si>
  <si>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</si>
  <si>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</si>
  <si>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</si>
  <si>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</si>
  <si>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</si>
  <si>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</si>
  <si>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</si>
  <si>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</si>
  <si>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</si>
  <si>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</si>
  <si>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</si>
  <si>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</si>
  <si>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</si>
  <si>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</si>
  <si>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</si>
  <si>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</si>
  <si>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</si>
  <si>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</si>
  <si>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</si>
  <si>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</si>
  <si>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</si>
  <si>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</si>
  <si>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</si>
  <si>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</si>
  <si>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</si>
  <si>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</si>
  <si>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</si>
  <si>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</si>
  <si>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</si>
  <si>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</si>
  <si>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</si>
  <si>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</si>
  <si>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</si>
  <si>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</si>
  <si>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</si>
  <si>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</si>
  <si>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</si>
  <si>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</si>
  <si>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</si>
  <si>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</si>
  <si>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</si>
  <si>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</si>
  <si>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</si>
  <si>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</si>
  <si>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</si>
  <si>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</si>
  <si>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</si>
  <si>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</si>
  <si>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</si>
  <si>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</si>
  <si>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</si>
  <si>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</si>
  <si>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</si>
  <si>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</si>
  <si>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</si>
  <si>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</si>
  <si>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</si>
  <si>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</si>
  <si>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</si>
  <si>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</si>
  <si>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</si>
  <si>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</si>
  <si>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</si>
  <si>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</si>
  <si>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</si>
  <si>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</si>
  <si>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</si>
  <si>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</si>
  <si>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</si>
  <si>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</si>
  <si>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</si>
  <si>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</si>
  <si>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</si>
  <si>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</si>
  <si>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</si>
  <si>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</si>
  <si>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</si>
  <si>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</si>
  <si>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</si>
  <si>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</si>
  <si>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</si>
  <si>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</si>
  <si>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</si>
  <si>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</si>
  <si>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</si>
  <si>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</si>
  <si>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</si>
  <si>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</si>
  <si>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</si>
  <si>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</si>
  <si>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</si>
  <si>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</si>
  <si>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</si>
  <si>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</si>
  <si>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</si>
  <si>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</si>
  <si>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</si>
  <si>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</si>
  <si>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</si>
  <si>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</si>
  <si>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</si>
  <si>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</si>
  <si>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</si>
  <si>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</si>
  <si>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</si>
  <si>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</si>
  <si>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</si>
  <si>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</si>
  <si>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</si>
  <si>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</si>
  <si>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</si>
  <si>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</si>
  <si>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</si>
  <si>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</si>
  <si>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</si>
  <si>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</si>
  <si>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</si>
  <si>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</si>
  <si>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</si>
  <si>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</si>
  <si>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</si>
  <si>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</si>
  <si>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</si>
  <si>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</si>
  <si>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</si>
  <si>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</si>
  <si>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</si>
  <si>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</si>
  <si>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</si>
  <si>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</si>
  <si>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</si>
  <si>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</si>
  <si>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</si>
  <si>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</si>
  <si>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</si>
  <si>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</si>
  <si>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</si>
  <si>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</si>
  <si>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</si>
  <si>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</si>
  <si>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</si>
  <si>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</si>
  <si>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</si>
  <si>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</si>
  <si>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</si>
  <si>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</si>
  <si>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</si>
  <si>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</si>
  <si>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</si>
  <si>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</si>
  <si>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</si>
  <si>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</si>
  <si>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</si>
  <si>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</si>
  <si>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</si>
  <si>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</si>
  <si>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</si>
  <si>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</si>
  <si>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</si>
  <si>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</si>
  <si>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</si>
  <si>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</si>
  <si>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</si>
  <si>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</si>
  <si>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</si>
  <si>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</si>
  <si>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</si>
  <si>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</si>
  <si>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</si>
  <si>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</si>
  <si>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</si>
  <si>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</si>
  <si>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</si>
  <si>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</si>
  <si>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</si>
  <si>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</si>
  <si>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</si>
  <si>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</si>
  <si>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</si>
  <si>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</si>
  <si>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</si>
  <si>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</si>
  <si>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</si>
  <si>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</si>
  <si>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</si>
  <si>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</si>
  <si>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</si>
  <si>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</si>
  <si>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</si>
  <si>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</si>
  <si>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</si>
  <si>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</si>
  <si>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</si>
  <si>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</si>
  <si>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</si>
  <si>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</si>
  <si>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</si>
  <si>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</si>
  <si>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</si>
  <si>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</si>
  <si>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</si>
  <si>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</si>
  <si>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</si>
  <si>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</si>
  <si>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</si>
  <si>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</si>
  <si>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</si>
  <si>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</si>
  <si>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</si>
  <si>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</si>
  <si>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</si>
  <si>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</si>
  <si>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</si>
  <si>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</si>
  <si>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</si>
  <si>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</si>
  <si>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</si>
  <si>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</si>
  <si>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</si>
  <si>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</si>
  <si>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</si>
  <si>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</si>
  <si>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</si>
  <si>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</si>
  <si>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</si>
  <si>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</si>
  <si>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</si>
  <si>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</si>
  <si>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</si>
  <si>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</si>
  <si>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</si>
  <si>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</si>
  <si>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</si>
  <si>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</si>
  <si>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</si>
  <si>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</si>
  <si>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</si>
  <si>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</si>
  <si>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</si>
  <si>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</si>
  <si>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</si>
  <si>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</si>
  <si>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</si>
  <si>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</si>
  <si>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</si>
  <si>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</si>
  <si>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</si>
  <si>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</si>
  <si>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</si>
  <si>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</si>
  <si>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</si>
  <si>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</si>
  <si>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</si>
  <si>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</si>
  <si>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</si>
  <si>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</si>
  <si>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</si>
  <si>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</si>
  <si>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</si>
  <si>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</si>
  <si>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</si>
  <si>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</si>
  <si>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</si>
  <si>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</si>
  <si>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</si>
  <si>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</si>
  <si>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</si>
  <si>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</si>
  <si>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</si>
  <si>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</si>
  <si>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</si>
  <si>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</si>
  <si>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</si>
  <si>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</si>
  <si>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</si>
  <si>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</si>
  <si>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</si>
  <si>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</si>
  <si>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</si>
  <si>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</si>
  <si>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</si>
  <si>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</si>
  <si>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</si>
  <si>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</si>
  <si>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</si>
  <si>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</si>
  <si>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</si>
  <si>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</si>
  <si>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</si>
  <si>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</si>
  <si>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</si>
  <si>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</si>
  <si>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</si>
  <si>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</si>
  <si>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</si>
  <si>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</si>
  <si>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</si>
  <si>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</si>
  <si>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</si>
  <si>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</si>
  <si>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</si>
  <si>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</si>
  <si>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</si>
  <si>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</si>
  <si>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</si>
  <si>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</si>
  <si>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</si>
  <si>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</si>
  <si>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</si>
  <si>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</si>
  <si>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</si>
  <si>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</si>
  <si>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</si>
  <si>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</si>
  <si>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</si>
  <si>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</si>
  <si>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</si>
  <si>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</si>
  <si>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</si>
  <si>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</si>
  <si>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</si>
  <si>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</si>
  <si>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</si>
  <si>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</si>
  <si>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</si>
  <si>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</si>
  <si>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</si>
  <si>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</si>
  <si>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</si>
  <si>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</si>
  <si>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</si>
  <si>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</si>
  <si>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</si>
  <si>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</si>
  <si>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</si>
  <si>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</si>
  <si>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</si>
  <si>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</si>
  <si>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</si>
  <si>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</si>
  <si>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</si>
  <si>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</si>
  <si>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</si>
  <si>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</si>
  <si>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</si>
  <si>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</si>
  <si>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</si>
  <si>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</si>
  <si>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</si>
  <si>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</si>
  <si>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</si>
  <si>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</si>
  <si>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</si>
  <si>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</si>
  <si>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</si>
  <si>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</si>
  <si>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</si>
  <si>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</si>
  <si>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</si>
  <si>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</si>
  <si>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</si>
  <si>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</si>
  <si>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</si>
  <si>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</si>
  <si>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</si>
  <si>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</si>
  <si>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</si>
  <si>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</si>
  <si>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</si>
  <si>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</si>
  <si>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</si>
  <si>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</si>
  <si>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</si>
  <si>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</si>
  <si>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</si>
  <si>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</si>
  <si>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</si>
  <si>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</si>
  <si>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</si>
  <si>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</si>
  <si>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</si>
  <si>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</si>
  <si>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</si>
  <si>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</si>
  <si>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</si>
  <si>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</si>
  <si>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</si>
  <si>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</si>
  <si>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</si>
  <si>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</si>
  <si>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</si>
  <si>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</si>
  <si>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</si>
  <si>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</si>
  <si>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</si>
  <si>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</si>
  <si>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</si>
  <si>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</si>
  <si>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</si>
  <si>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</si>
  <si>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</si>
  <si>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</si>
  <si>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</si>
  <si>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</si>
  <si>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</si>
  <si>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</si>
  <si>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</si>
  <si>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</si>
  <si>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</si>
  <si>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</si>
  <si>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</si>
  <si>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</si>
  <si>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</si>
  <si>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</si>
  <si>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</si>
  <si>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</si>
  <si>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</si>
  <si>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</si>
  <si>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</si>
  <si>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</si>
  <si>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</si>
  <si>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</si>
  <si>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</si>
  <si>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</si>
  <si>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</si>
  <si>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</si>
  <si>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</si>
  <si>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</si>
  <si>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</si>
  <si>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</si>
  <si>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</si>
  <si>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</si>
  <si>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</si>
  <si>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</si>
  <si>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</si>
  <si>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</si>
  <si>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</si>
  <si>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</si>
  <si>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</si>
  <si>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</si>
  <si>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</si>
  <si>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</si>
  <si>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</si>
  <si>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</si>
  <si>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</si>
  <si>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</si>
  <si>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</si>
  <si>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</si>
  <si>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</si>
  <si>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</si>
  <si>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</si>
  <si>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</si>
  <si>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</si>
  <si>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</si>
  <si>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</si>
  <si>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</si>
  <si>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</si>
  <si>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</si>
  <si>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</si>
  <si>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</si>
  <si>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</si>
  <si>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</si>
  <si>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</si>
  <si>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</si>
  <si>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</si>
  <si>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</si>
  <si>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</si>
  <si>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</si>
  <si>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</si>
  <si>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</si>
  <si>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</si>
  <si>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</si>
  <si>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</si>
  <si>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</si>
  <si>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</si>
  <si>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</si>
  <si>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</si>
  <si>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</si>
  <si>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</si>
  <si>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</si>
  <si>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</si>
  <si>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</si>
  <si>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</si>
  <si>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</si>
  <si>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</si>
  <si>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</si>
  <si>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</si>
  <si>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</si>
  <si>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</si>
  <si>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</si>
  <si>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</si>
  <si>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</si>
  <si>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</si>
  <si>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</si>
  <si>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</si>
  <si>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</si>
  <si>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</si>
  <si>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</si>
  <si>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</si>
  <si>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</si>
  <si>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</si>
  <si>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</si>
  <si>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</si>
  <si>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</si>
  <si>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</si>
  <si>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</si>
  <si>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</si>
  <si>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</si>
  <si>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</si>
  <si>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</si>
  <si>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</si>
  <si>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</si>
  <si>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</si>
  <si>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</si>
  <si>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</si>
  <si>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</si>
  <si>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</si>
  <si>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</si>
  <si>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</si>
  <si>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</si>
  <si>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</si>
  <si>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</si>
  <si>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</si>
  <si>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</si>
  <si>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</si>
  <si>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</si>
  <si>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</si>
  <si>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</si>
  <si>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</si>
  <si>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</si>
  <si>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</si>
  <si>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</si>
  <si>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</si>
  <si>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</si>
  <si>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</si>
  <si>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</si>
  <si>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</si>
  <si>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</si>
  <si>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</si>
  <si>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</si>
  <si>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</si>
  <si>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</si>
  <si>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</si>
  <si>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</si>
  <si>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</si>
  <si>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</si>
  <si>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</si>
  <si>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</si>
  <si>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</si>
  <si>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</si>
  <si>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</si>
  <si>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</si>
  <si>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</si>
  <si>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</si>
  <si>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</si>
  <si>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</si>
  <si>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</si>
  <si>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</si>
  <si>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</si>
  <si>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</si>
  <si>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</si>
  <si>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</si>
  <si>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</si>
  <si>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</si>
  <si>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</si>
  <si>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</si>
  <si>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</si>
  <si>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</si>
  <si>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</si>
  <si>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</si>
  <si>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</si>
  <si>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</si>
  <si>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</si>
  <si>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</si>
  <si>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</si>
  <si>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</si>
  <si>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</si>
  <si>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</si>
  <si>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</si>
  <si>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</si>
  <si>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</si>
  <si>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</si>
  <si>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</si>
  <si>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</si>
  <si>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</si>
  <si>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</si>
  <si>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</si>
  <si>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</si>
  <si>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</si>
  <si>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</si>
  <si>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</si>
  <si>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</si>
  <si>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</si>
  <si>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</si>
  <si>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</si>
  <si>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</si>
  <si>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</si>
  <si>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</si>
  <si>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</si>
  <si>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</si>
  <si>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</si>
  <si>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</si>
  <si>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</si>
  <si>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</si>
  <si>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</si>
  <si>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</si>
  <si>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</si>
  <si>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</si>
  <si>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</si>
  <si>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</si>
  <si>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</si>
  <si>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</si>
  <si>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</si>
  <si>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</si>
  <si>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</si>
  <si>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</si>
  <si>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</si>
  <si>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</si>
  <si>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</si>
  <si>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</si>
  <si>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</si>
  <si>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</si>
  <si>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</si>
  <si>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</si>
  <si>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</si>
  <si>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</si>
  <si>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</si>
  <si>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</si>
  <si>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</si>
  <si>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</si>
  <si>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</si>
  <si>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</si>
  <si>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</si>
  <si>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</si>
  <si>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</si>
  <si>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</si>
  <si>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</si>
  <si>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</si>
  <si>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</si>
  <si>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</si>
  <si>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</si>
  <si>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</si>
  <si>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</si>
  <si>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</si>
  <si>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</si>
  <si>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</si>
  <si>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</si>
  <si>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</si>
  <si>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</si>
  <si>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</si>
  <si>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</si>
  <si>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</si>
  <si>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</si>
  <si>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</si>
  <si>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</si>
  <si>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</si>
  <si>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</si>
  <si>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</si>
  <si>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</si>
  <si>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</si>
  <si>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</si>
  <si>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</si>
  <si>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</si>
  <si>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</si>
  <si>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</si>
  <si>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</si>
  <si>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</si>
  <si>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</si>
  <si>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</si>
  <si>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</si>
  <si>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</si>
  <si>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</si>
  <si>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</si>
  <si>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</si>
  <si>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</si>
  <si>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</si>
  <si>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</si>
  <si>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</si>
  <si>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</si>
  <si>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</si>
  <si>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</si>
  <si>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</si>
  <si>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</si>
  <si>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</si>
  <si>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</si>
  <si>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</si>
  <si>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</si>
  <si>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</si>
  <si>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</si>
  <si>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</si>
  <si>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</si>
  <si>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</si>
  <si>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</si>
  <si>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</si>
  <si>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</si>
  <si>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</si>
  <si>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</si>
  <si>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</si>
  <si>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</si>
  <si>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</si>
  <si>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</si>
  <si>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</si>
  <si>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</si>
  <si>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</si>
  <si>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</si>
  <si>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</si>
  <si>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</si>
  <si>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</si>
  <si>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</si>
  <si>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</si>
  <si>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</si>
  <si>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</si>
  <si>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</si>
  <si>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</si>
  <si>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</si>
  <si>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</si>
  <si>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</si>
  <si>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</si>
  <si>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</si>
  <si>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</si>
  <si>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</si>
  <si>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</si>
  <si>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</si>
  <si>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</si>
  <si>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</si>
  <si>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</si>
  <si>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</si>
  <si>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</si>
  <si>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</si>
  <si>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</si>
  <si>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</si>
  <si>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</si>
  <si>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</si>
  <si>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</si>
  <si>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</si>
  <si>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</si>
  <si>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</si>
  <si>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</si>
  <si>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</si>
  <si>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</si>
  <si>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</si>
  <si>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</si>
  <si>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</si>
  <si>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</si>
  <si>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</si>
  <si>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</si>
  <si>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</si>
  <si>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</si>
  <si>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</si>
  <si>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</si>
  <si>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</si>
  <si>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</si>
  <si>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</si>
  <si>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</si>
  <si>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</si>
  <si>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</si>
  <si>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</si>
  <si>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</si>
  <si>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</si>
  <si>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</si>
  <si>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</si>
  <si>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</si>
  <si>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</si>
  <si>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</si>
  <si>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</si>
  <si>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</si>
  <si>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</si>
  <si>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</si>
  <si>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</si>
  <si>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</si>
  <si>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</si>
  <si>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</si>
  <si>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</si>
  <si>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</si>
  <si>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</si>
  <si>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</si>
  <si>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</si>
  <si>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</si>
  <si>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</si>
  <si>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</si>
  <si>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</si>
  <si>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</si>
  <si>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</si>
  <si>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</si>
  <si>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</si>
  <si>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</si>
  <si>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</si>
  <si>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</si>
  <si>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</si>
  <si>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</si>
  <si>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</si>
  <si>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</si>
  <si>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</si>
  <si>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</si>
  <si>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</si>
  <si>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</si>
  <si>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</si>
  <si>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</si>
  <si>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</si>
  <si>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</si>
  <si>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</si>
  <si>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</si>
  <si>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</si>
  <si>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</si>
  <si>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</si>
  <si>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</si>
  <si>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</si>
  <si>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</si>
  <si>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</si>
  <si>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</si>
  <si>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</si>
  <si>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</si>
  <si>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</si>
  <si>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</si>
  <si>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</si>
  <si>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</si>
  <si>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</si>
  <si>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</si>
  <si>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</si>
  <si>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</si>
  <si>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</si>
  <si>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</si>
  <si>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</si>
  <si>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</si>
  <si>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</si>
  <si>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</si>
  <si>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</si>
  <si>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</si>
  <si>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</si>
  <si>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</si>
  <si>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</si>
  <si>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</si>
  <si>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</si>
  <si>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</si>
  <si>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</si>
  <si>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</si>
  <si>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</si>
  <si>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</si>
  <si>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</si>
  <si>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</si>
  <si>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</si>
  <si>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</si>
  <si>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</si>
  <si>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</si>
  <si>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</si>
  <si>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</si>
  <si>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</si>
  <si>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</si>
  <si>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</si>
  <si>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</si>
  <si>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</si>
  <si>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</si>
  <si>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</si>
  <si>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</si>
  <si>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</si>
  <si>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</si>
  <si>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</si>
  <si>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</si>
  <si>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</si>
  <si>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</si>
  <si>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</si>
  <si>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</si>
  <si>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</si>
  <si>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</si>
  <si>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</si>
  <si>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</si>
  <si>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</si>
  <si>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</si>
  <si>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</si>
  <si>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</si>
  <si>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</si>
  <si>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</si>
  <si>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</si>
  <si>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</si>
  <si>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</si>
  <si>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</si>
  <si>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</si>
  <si>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</si>
  <si>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</si>
  <si>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</si>
  <si>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</si>
  <si>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</si>
  <si>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</si>
  <si>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</si>
  <si>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</si>
  <si>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</si>
  <si>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</si>
  <si>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</si>
  <si>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</si>
  <si>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</si>
  <si>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</si>
  <si>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</si>
  <si>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</si>
  <si>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</si>
  <si>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</si>
  <si>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</si>
  <si>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</si>
  <si>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</si>
  <si>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</si>
  <si>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</si>
  <si>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</si>
  <si>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</si>
  <si>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</si>
  <si>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</si>
  <si>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</si>
  <si>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</si>
  <si>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</si>
  <si>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</si>
  <si>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</si>
  <si>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</si>
  <si>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</si>
  <si>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</si>
  <si>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</si>
  <si>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</si>
  <si>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</si>
  <si>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</si>
  <si>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</si>
  <si>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</si>
  <si>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</si>
  <si>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</si>
  <si>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</si>
  <si>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</si>
  <si>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</si>
  <si>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</si>
  <si>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</si>
  <si>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</si>
  <si>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</si>
  <si>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</si>
  <si>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</si>
  <si>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</si>
  <si>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</si>
  <si>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</si>
  <si>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</si>
  <si>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</si>
  <si>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</si>
  <si>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</si>
  <si>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</si>
  <si>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</si>
  <si>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</si>
  <si>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</si>
  <si>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</si>
  <si>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</si>
  <si>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</si>
  <si>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</si>
  <si>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</si>
  <si>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</si>
  <si>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</si>
  <si>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</si>
  <si>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</si>
  <si>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</si>
  <si>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</si>
  <si>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</si>
  <si>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</si>
  <si>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</si>
  <si>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</si>
  <si>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</si>
  <si>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</si>
  <si>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</si>
  <si>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</si>
  <si>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</si>
  <si>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</si>
  <si>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</si>
  <si>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</si>
  <si>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</si>
  <si>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</si>
  <si>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</si>
  <si>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</si>
  <si>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</si>
  <si>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</si>
  <si>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</si>
  <si>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</si>
  <si>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</si>
  <si>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</si>
  <si>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</si>
  <si>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</si>
  <si>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</si>
  <si>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</si>
  <si>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</si>
  <si>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</si>
  <si>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</si>
  <si>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</si>
  <si>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</si>
  <si>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</si>
  <si>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</si>
  <si>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</si>
  <si>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</si>
  <si>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</si>
  <si>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</si>
  <si>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</si>
  <si>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</si>
  <si>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</si>
  <si>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</si>
  <si>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</si>
  <si>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</si>
  <si>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</si>
  <si>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</si>
  <si>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</si>
  <si>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</si>
  <si>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</si>
  <si>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</si>
  <si>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</si>
  <si>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</si>
  <si>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</si>
  <si>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</si>
  <si>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</si>
  <si>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</si>
  <si>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</si>
  <si>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</si>
  <si>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</si>
  <si>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</si>
  <si>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</si>
  <si>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</si>
  <si>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</si>
  <si>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</si>
  <si>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</si>
  <si>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</si>
  <si>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</si>
  <si>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</si>
  <si>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</si>
  <si>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</si>
  <si>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</si>
  <si>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</si>
  <si>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</si>
  <si>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</si>
  <si>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</si>
  <si>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</si>
  <si>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</si>
  <si>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</si>
  <si>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</si>
  <si>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</si>
  <si>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</si>
  <si>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</si>
  <si>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</si>
  <si>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</si>
  <si>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</si>
  <si>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</si>
  <si>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</si>
  <si>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</si>
  <si>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</si>
  <si>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</si>
  <si>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</si>
  <si>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</si>
  <si>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</si>
  <si>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</si>
  <si>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</si>
  <si>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</si>
  <si>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</si>
  <si>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</si>
  <si>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</si>
  <si>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</si>
  <si>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</si>
  <si>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</si>
  <si>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</si>
  <si>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</si>
  <si>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</si>
  <si>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</si>
  <si>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</si>
  <si>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</si>
  <si>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</si>
  <si>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</si>
  <si>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</si>
  <si>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</si>
  <si>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</si>
  <si>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</si>
  <si>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</si>
  <si>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</si>
  <si>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</si>
  <si>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</si>
  <si>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</si>
  <si>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</si>
  <si>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</si>
  <si>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</si>
  <si>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</si>
  <si>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</si>
  <si>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</si>
  <si>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</si>
  <si>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</si>
  <si>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</si>
  <si>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</si>
  <si>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</si>
  <si>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</si>
  <si>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</si>
  <si>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</si>
  <si>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</si>
  <si>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</si>
  <si>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</si>
  <si>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</si>
  <si>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</si>
  <si>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</si>
  <si>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</si>
  <si>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</si>
  <si>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</si>
  <si>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</si>
  <si>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</si>
  <si>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</si>
  <si>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</si>
  <si>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</si>
  <si>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</si>
  <si>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</si>
  <si>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</si>
  <si>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</si>
  <si>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</si>
  <si>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</si>
  <si>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</si>
  <si>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</si>
  <si>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</si>
  <si>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</si>
  <si>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</si>
  <si>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</si>
  <si>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</si>
  <si>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</si>
  <si>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</si>
  <si>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</si>
  <si>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</si>
  <si>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</si>
  <si>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</si>
  <si>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</si>
  <si>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</si>
  <si>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</si>
  <si>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</si>
  <si>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</si>
  <si>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</si>
  <si>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</si>
  <si>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</si>
  <si>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</si>
  <si>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</si>
  <si>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</si>
  <si>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</si>
  <si>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</si>
  <si>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</si>
  <si>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</si>
  <si>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</si>
  <si>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</si>
  <si>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</si>
  <si>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</si>
  <si>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</si>
  <si>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</si>
  <si>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</si>
  <si>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</si>
  <si>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</si>
  <si>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</si>
  <si>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</si>
  <si>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</si>
  <si>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</si>
  <si>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</si>
  <si>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</si>
  <si>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</si>
  <si>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</si>
  <si>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</si>
  <si>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</si>
  <si>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</si>
  <si>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</si>
  <si>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</si>
  <si>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</si>
  <si>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</si>
  <si>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</si>
  <si>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</si>
  <si>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</si>
  <si>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</si>
  <si>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</si>
  <si>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</si>
  <si>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</si>
  <si>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</si>
  <si>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</si>
  <si>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</si>
  <si>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</si>
  <si>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</si>
  <si>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</si>
  <si>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</si>
  <si>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</si>
  <si>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</si>
  <si>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</si>
  <si>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</si>
  <si>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</si>
  <si>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</si>
  <si>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</si>
  <si>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</si>
  <si>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</si>
  <si>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</si>
  <si>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</si>
  <si>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</si>
  <si>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</si>
  <si>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</si>
  <si>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</si>
  <si>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</si>
  <si>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</si>
  <si>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</si>
  <si>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</si>
  <si>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</si>
  <si>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</si>
  <si>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</si>
  <si>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</si>
  <si>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</si>
  <si>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</si>
  <si>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</si>
  <si>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</si>
  <si>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</si>
  <si>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</si>
  <si>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</si>
  <si>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</si>
  <si>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</si>
  <si>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</si>
  <si>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</si>
  <si>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</si>
  <si>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</si>
  <si>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</si>
  <si>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</si>
  <si>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</si>
  <si>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</si>
  <si>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</si>
  <si>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</si>
  <si>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</si>
  <si>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</si>
  <si>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</si>
  <si>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</si>
  <si>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</si>
  <si>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</si>
  <si>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</si>
  <si>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</si>
  <si>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</si>
  <si>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</si>
  <si>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</si>
  <si>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</si>
  <si>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</si>
  <si>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</si>
  <si>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</si>
  <si>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</si>
  <si>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</si>
  <si>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</si>
  <si>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</si>
  <si>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</si>
  <si>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</si>
  <si>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</si>
  <si>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</si>
  <si>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</si>
  <si>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</si>
  <si>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</si>
  <si>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</si>
  <si>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</si>
  <si>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</si>
  <si>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</si>
  <si>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</si>
  <si>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</si>
  <si>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</si>
  <si>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</si>
  <si>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</si>
  <si>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</si>
  <si>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</si>
  <si>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</si>
  <si>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</si>
  <si>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</si>
  <si>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</si>
  <si>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</si>
  <si>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</si>
  <si>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</si>
  <si>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</si>
  <si>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</si>
  <si>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</si>
  <si>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</si>
  <si>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</si>
  <si>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</si>
  <si>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</si>
  <si>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</si>
  <si>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</si>
  <si>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</si>
  <si>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</si>
  <si>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</si>
  <si>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</si>
  <si>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</si>
  <si>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</si>
  <si>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</si>
  <si>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</si>
  <si>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</si>
  <si>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</si>
  <si>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</si>
  <si>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</si>
  <si>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</si>
  <si>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</si>
  <si>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</si>
  <si>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</si>
  <si>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</si>
  <si>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</si>
  <si>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</si>
  <si>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</si>
  <si>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</si>
  <si>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</si>
  <si>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</si>
  <si>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</si>
  <si>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</si>
  <si>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</si>
  <si>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</si>
  <si>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</si>
  <si>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</si>
  <si>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</si>
  <si>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</si>
  <si>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</si>
  <si>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</si>
  <si>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</si>
  <si>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</si>
  <si>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</si>
  <si>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</si>
  <si>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</si>
  <si>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</si>
  <si>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</si>
  <si>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</si>
  <si>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</si>
  <si>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</si>
  <si>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</si>
  <si>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</si>
  <si>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</si>
  <si>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</si>
  <si>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</si>
  <si>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</si>
  <si>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</si>
  <si>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</si>
  <si>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</si>
  <si>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</si>
  <si>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</si>
  <si>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</si>
  <si>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</si>
  <si>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</si>
  <si>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</si>
  <si>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</si>
  <si>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</si>
  <si>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</si>
  <si>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</si>
  <si>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</si>
  <si>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</si>
  <si>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</si>
  <si>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</si>
  <si>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</si>
  <si>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</si>
  <si>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</si>
  <si>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</si>
  <si>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</si>
  <si>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</si>
  <si>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</si>
  <si>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</si>
  <si>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</si>
  <si>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</si>
  <si>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</si>
  <si>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</si>
  <si>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</si>
  <si>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</si>
  <si>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</si>
  <si>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</si>
  <si>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</si>
  <si>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</si>
  <si>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</si>
  <si>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</si>
  <si>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</si>
  <si>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</si>
  <si>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</si>
  <si>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</si>
  <si>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</si>
  <si>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</si>
  <si>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</si>
  <si>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</si>
  <si>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</si>
  <si>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</si>
  <si>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</si>
  <si>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</si>
  <si>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</si>
  <si>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</si>
  <si>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</si>
  <si>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</si>
  <si>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</si>
  <si>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</si>
  <si>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</si>
  <si>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</si>
  <si>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</si>
  <si>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</si>
  <si>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</si>
  <si>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</si>
  <si>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</si>
  <si>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</si>
  <si>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</si>
  <si>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</si>
  <si>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</si>
  <si>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</si>
  <si>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</si>
  <si>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</si>
  <si>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</si>
  <si>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</si>
  <si>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</si>
  <si>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</si>
  <si>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</si>
  <si>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</si>
  <si>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</si>
  <si>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</si>
  <si>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</si>
  <si>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</si>
  <si>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</si>
  <si>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</si>
  <si>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</si>
  <si>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</si>
  <si>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</si>
  <si>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</si>
  <si>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</si>
  <si>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</si>
  <si>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</si>
  <si>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</si>
  <si>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</si>
  <si>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</si>
  <si>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</si>
  <si>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</si>
  <si>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</si>
  <si>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</si>
  <si>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</si>
  <si>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</si>
  <si>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</si>
  <si>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</si>
  <si>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</si>
  <si>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</si>
  <si>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</si>
  <si>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</si>
  <si>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</si>
  <si>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</si>
  <si>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</si>
  <si>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</si>
  <si>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</si>
  <si>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</si>
  <si>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</si>
  <si>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</si>
  <si>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</si>
  <si>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</si>
  <si>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</si>
  <si>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</si>
  <si>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</si>
  <si>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</si>
  <si>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</si>
  <si>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</si>
  <si>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</si>
  <si>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</si>
  <si>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</si>
  <si>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</si>
  <si>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</si>
  <si>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</si>
  <si>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</si>
  <si>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</si>
  <si>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</si>
  <si>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</si>
  <si>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</si>
  <si>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</si>
  <si>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</si>
  <si>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</si>
  <si>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</si>
  <si>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</si>
  <si>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</si>
  <si>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</si>
  <si>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</si>
  <si>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</si>
  <si>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</si>
  <si>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</si>
  <si>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</si>
  <si>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</si>
  <si>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</si>
  <si>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</si>
  <si>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</si>
  <si>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</si>
  <si>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</si>
  <si>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</si>
  <si>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</si>
  <si>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</si>
  <si>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</si>
  <si>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</si>
  <si>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</si>
  <si>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</si>
  <si>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</si>
  <si>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</si>
  <si>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</si>
  <si>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</si>
  <si>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</si>
  <si>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</si>
  <si>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</si>
  <si>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</si>
  <si>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</si>
  <si>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</si>
  <si>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</si>
  <si>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</si>
  <si>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</si>
  <si>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</si>
  <si>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</si>
  <si>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</si>
  <si>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</si>
  <si>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</si>
  <si>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</si>
  <si>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</si>
  <si>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</si>
  <si>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</si>
  <si>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</si>
  <si>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</si>
  <si>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</si>
  <si>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</si>
  <si>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</si>
  <si>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</si>
  <si>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</si>
  <si>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</si>
  <si>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</si>
  <si>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</si>
  <si>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</si>
  <si>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</si>
  <si>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</si>
  <si>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</si>
  <si>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</si>
  <si>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</si>
  <si>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</si>
  <si>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</si>
  <si>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</si>
  <si>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</si>
  <si>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</si>
  <si>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</si>
  <si>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</si>
  <si>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</si>
  <si>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</si>
  <si>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</si>
  <si>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</si>
  <si>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</si>
  <si>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</si>
  <si>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</si>
  <si>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</si>
  <si>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</si>
  <si>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</si>
  <si>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</si>
  <si>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</si>
  <si>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</si>
  <si>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</si>
  <si>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</si>
  <si>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</si>
  <si>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</si>
  <si>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</si>
  <si>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</si>
  <si>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</si>
  <si>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</si>
  <si>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</si>
  <si>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</si>
  <si>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</si>
  <si>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</si>
  <si>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</si>
  <si>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</si>
  <si>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</si>
  <si>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</si>
  <si>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</si>
  <si>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</si>
  <si>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</si>
  <si>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</si>
  <si>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</si>
  <si>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</si>
  <si>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</si>
  <si>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</si>
  <si>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</si>
  <si>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</si>
  <si>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</si>
  <si>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</si>
  <si>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</si>
  <si>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</si>
  <si>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</si>
  <si>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</si>
  <si>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</si>
  <si>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</si>
  <si>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</si>
  <si>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</si>
  <si>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</si>
  <si>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</si>
  <si>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</si>
  <si>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</si>
  <si>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</si>
  <si>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</si>
  <si>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</si>
  <si>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</si>
  <si>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</si>
  <si>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</si>
  <si>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</si>
  <si>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</si>
  <si>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</si>
  <si>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</si>
  <si>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</si>
  <si>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</si>
  <si>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</si>
  <si>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</si>
  <si>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</si>
  <si>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</si>
  <si>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</si>
  <si>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</si>
  <si>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</si>
  <si>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</si>
  <si>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</si>
  <si>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</si>
  <si>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</si>
  <si>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</si>
  <si>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</si>
  <si>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</si>
  <si>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</si>
  <si>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</si>
  <si>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</si>
  <si>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</si>
  <si>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</si>
  <si>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</si>
  <si>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</si>
  <si>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</si>
  <si>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</si>
  <si>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</si>
  <si>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</si>
  <si>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</si>
  <si>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</si>
  <si>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</si>
  <si>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</si>
  <si>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</si>
  <si>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</si>
  <si>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</si>
  <si>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</si>
  <si>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</si>
  <si>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</si>
  <si>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</si>
  <si>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</si>
  <si>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</si>
  <si>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</si>
  <si>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</si>
  <si>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</si>
  <si>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</si>
  <si>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</si>
  <si>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</si>
  <si>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</si>
  <si>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</si>
  <si>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</si>
  <si>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</si>
  <si>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</si>
  <si>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</si>
  <si>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</si>
  <si>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</si>
  <si>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</si>
  <si>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</si>
  <si>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</si>
  <si>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</si>
  <si>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</si>
  <si>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</si>
  <si>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</si>
  <si>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</si>
  <si>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</si>
  <si>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</si>
  <si>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</si>
  <si>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</si>
  <si>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</si>
  <si>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</si>
  <si>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</si>
  <si>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</si>
  <si>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</si>
  <si>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</si>
  <si>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</si>
  <si>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</si>
  <si>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</si>
  <si>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</si>
  <si>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</si>
  <si>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</si>
  <si>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</si>
  <si>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</si>
  <si>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</si>
  <si>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</si>
  <si>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</si>
  <si>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</si>
  <si>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</si>
  <si>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</si>
  <si>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</si>
  <si>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</si>
  <si>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</si>
  <si>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</si>
  <si>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</si>
  <si>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</si>
  <si>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</si>
  <si>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</si>
  <si>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</si>
  <si>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</si>
  <si>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</si>
  <si>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</si>
  <si>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</si>
  <si>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</si>
  <si>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</si>
  <si>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</si>
  <si>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</si>
  <si>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</si>
  <si>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</si>
  <si>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</si>
  <si>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</si>
  <si>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</si>
  <si>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</si>
  <si>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</si>
  <si>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</si>
  <si>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</si>
  <si>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</si>
  <si>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</si>
  <si>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</si>
  <si>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</si>
  <si>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</si>
  <si>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</si>
  <si>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</si>
  <si>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</si>
  <si>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</si>
  <si>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</si>
  <si>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</si>
  <si>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</si>
  <si>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</si>
  <si>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</si>
  <si>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</si>
  <si>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</si>
  <si>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</si>
  <si>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</si>
  <si>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</si>
  <si>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</si>
  <si>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</si>
  <si>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</si>
  <si>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</si>
  <si>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</si>
  <si>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</si>
  <si>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</si>
  <si>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</si>
  <si>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</si>
  <si>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</si>
  <si>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</si>
  <si>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</si>
  <si>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</si>
  <si>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</si>
  <si>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</si>
  <si>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</si>
  <si>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</si>
  <si>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</si>
  <si>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</si>
  <si>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</si>
  <si>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</si>
  <si>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</si>
  <si>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</si>
  <si>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</si>
  <si>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</si>
  <si>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</si>
  <si>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</si>
  <si>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</si>
  <si>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</si>
  <si>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</si>
  <si>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</si>
  <si>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</si>
  <si>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</si>
  <si>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</si>
  <si>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</si>
  <si>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</si>
  <si>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</si>
  <si>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</si>
  <si>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</si>
  <si>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</si>
  <si>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</si>
  <si>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</si>
  <si>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</si>
  <si>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</si>
  <si>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</si>
  <si>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</si>
  <si>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</si>
  <si>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</si>
  <si>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</si>
  <si>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</si>
  <si>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</si>
  <si>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</si>
  <si>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</si>
  <si>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</si>
  <si>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</si>
  <si>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</si>
  <si>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</si>
  <si>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</si>
  <si>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</si>
  <si>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</si>
  <si>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</si>
  <si>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</si>
  <si>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</si>
  <si>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</si>
  <si>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</si>
  <si>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</si>
  <si>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</si>
  <si>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</si>
  <si>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</si>
  <si>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</si>
  <si>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</si>
  <si>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</si>
  <si>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</si>
  <si>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</si>
  <si>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</si>
  <si>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</si>
  <si>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</si>
  <si>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</si>
  <si>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</si>
  <si>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</si>
  <si>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</si>
  <si>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</si>
  <si>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</si>
  <si>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</si>
  <si>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</si>
  <si>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</si>
  <si>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</si>
  <si>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</si>
  <si>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</si>
  <si>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</si>
  <si>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</si>
  <si>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</si>
  <si>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</si>
  <si>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</si>
  <si>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</si>
  <si>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</si>
  <si>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</si>
  <si>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</si>
  <si>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</si>
  <si>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</si>
  <si>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</si>
  <si>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</si>
  <si>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</si>
  <si>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</si>
  <si>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</si>
  <si>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</si>
  <si>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</si>
  <si>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</si>
  <si>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</si>
  <si>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</si>
  <si>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</si>
  <si>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</si>
  <si>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</si>
  <si>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</si>
  <si>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</si>
  <si>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</si>
  <si>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</si>
  <si>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</si>
  <si>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</si>
  <si>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</si>
  <si>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</si>
  <si>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</si>
  <si>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</si>
  <si>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</si>
  <si>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</si>
  <si>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</si>
  <si>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</si>
  <si>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</si>
  <si>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</si>
  <si>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</si>
  <si>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</si>
  <si>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</si>
  <si>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</si>
  <si>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</si>
  <si>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</si>
  <si>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</si>
  <si>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</si>
  <si>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</si>
  <si>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</si>
  <si>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</si>
  <si>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</si>
  <si>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</si>
  <si>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</si>
  <si>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</si>
  <si>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</si>
  <si>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</si>
  <si>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</si>
  <si>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</si>
  <si>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</si>
  <si>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</si>
  <si>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</si>
  <si>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</si>
  <si>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</si>
  <si>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</si>
  <si>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</si>
  <si>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</si>
  <si>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</si>
  <si>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</si>
  <si>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</si>
  <si>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</si>
  <si>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</si>
  <si>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</si>
  <si>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</si>
  <si>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</si>
  <si>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</si>
  <si>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</si>
  <si>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</si>
  <si>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</si>
  <si>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</si>
  <si>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</si>
  <si>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</si>
  <si>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</si>
  <si>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</si>
  <si>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</si>
  <si>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</si>
  <si>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</si>
  <si>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</si>
  <si>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</si>
  <si>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</si>
  <si>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</si>
  <si>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</si>
  <si>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</si>
  <si>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</si>
  <si>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</si>
  <si>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</si>
  <si>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</si>
  <si>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</si>
  <si>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</si>
  <si>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</si>
  <si>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</si>
  <si>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</si>
  <si>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</si>
  <si>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</si>
  <si>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</si>
  <si>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</si>
  <si>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</si>
  <si>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</si>
  <si>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</si>
  <si>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</si>
  <si>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</si>
  <si>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</si>
  <si>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</si>
  <si>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</si>
  <si>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</si>
  <si>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</si>
  <si>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</si>
  <si>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</si>
  <si>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</si>
  <si>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</si>
  <si>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</si>
  <si>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</si>
  <si>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</si>
  <si>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</si>
  <si>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</si>
  <si>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</si>
  <si>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</si>
  <si>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</si>
  <si>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</si>
  <si>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</si>
  <si>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</si>
  <si>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</si>
  <si>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</si>
  <si>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</si>
  <si>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</si>
  <si>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</si>
  <si>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</si>
  <si>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</si>
  <si>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</si>
  <si>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</si>
  <si>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</si>
  <si>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</si>
  <si>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</si>
  <si>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</si>
  <si>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</si>
  <si>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</si>
  <si>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</si>
  <si>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</si>
  <si>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</si>
  <si>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</si>
  <si>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</si>
  <si>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</si>
  <si>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</si>
  <si>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</si>
  <si>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</si>
  <si>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</si>
  <si>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</si>
  <si>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</si>
  <si>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</si>
  <si>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</si>
  <si>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</si>
  <si>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</si>
  <si>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</si>
  <si>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</si>
  <si>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</si>
  <si>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</si>
  <si>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</si>
  <si>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</si>
  <si>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</si>
  <si>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</si>
  <si>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</si>
  <si>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</si>
  <si>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</si>
  <si>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</si>
  <si>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</si>
  <si>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</si>
  <si>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</si>
  <si>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</si>
  <si>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</si>
  <si>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</si>
  <si>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</si>
  <si>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</si>
  <si>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</si>
  <si>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</si>
  <si>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</si>
  <si>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</si>
  <si>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</si>
  <si>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</si>
  <si>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</si>
  <si>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</si>
  <si>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</si>
  <si>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</si>
  <si>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</si>
  <si>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</si>
  <si>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</si>
  <si>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</si>
  <si>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</si>
  <si>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</si>
  <si>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</si>
  <si>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</si>
  <si>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</si>
  <si>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</si>
  <si>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</si>
  <si>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</si>
  <si>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</si>
  <si>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</si>
  <si>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</si>
  <si>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</si>
  <si>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</si>
  <si>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</si>
  <si>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</si>
  <si>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</si>
  <si>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</si>
  <si>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</si>
  <si>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</si>
  <si>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</si>
  <si>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</si>
  <si>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</si>
  <si>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</si>
  <si>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</si>
  <si>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</si>
  <si>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</si>
  <si>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</si>
  <si>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</si>
  <si>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</si>
  <si>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</si>
  <si>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</si>
  <si>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</si>
  <si>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</si>
  <si>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</si>
  <si>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</si>
  <si>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</si>
  <si>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</si>
  <si>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</si>
  <si>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</si>
  <si>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</si>
  <si>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</si>
  <si>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</si>
  <si>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</si>
  <si>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</si>
  <si>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</si>
  <si>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</si>
  <si>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</si>
  <si>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</si>
  <si>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</si>
  <si>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</si>
  <si>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</si>
  <si>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</si>
  <si>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</si>
  <si>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</si>
  <si>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</si>
  <si>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</si>
  <si>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</si>
  <si>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</si>
  <si>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</si>
  <si>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</si>
  <si>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</si>
  <si>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</si>
  <si>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</si>
  <si>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</si>
  <si>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</si>
  <si>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</si>
  <si>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</si>
  <si>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</si>
  <si>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</si>
  <si>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</si>
  <si>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</si>
  <si>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</si>
  <si>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</si>
  <si>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</si>
  <si>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</si>
  <si>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</si>
  <si>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</si>
  <si>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</si>
  <si>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</si>
  <si>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</si>
  <si>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</si>
  <si>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</si>
  <si>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</si>
  <si>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</si>
  <si>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</si>
  <si>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</si>
  <si>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</si>
  <si>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</si>
  <si>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</si>
  <si>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</si>
  <si>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</si>
  <si>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</si>
  <si>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</si>
  <si>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</si>
  <si>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</si>
  <si>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</si>
  <si>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</si>
  <si>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</si>
  <si>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</si>
  <si>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</si>
  <si>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</si>
  <si>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</si>
  <si>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</si>
  <si>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</si>
  <si>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</si>
  <si>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</si>
  <si>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</si>
  <si>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</si>
  <si>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</si>
  <si>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</si>
  <si>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</si>
  <si>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</si>
  <si>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</si>
  <si>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</si>
  <si>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</si>
  <si>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</si>
  <si>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</si>
  <si>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</si>
  <si>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</si>
  <si>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</si>
  <si>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</si>
  <si>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</si>
  <si>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</si>
  <si>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</si>
  <si>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</si>
  <si>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</si>
  <si>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</si>
  <si>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</si>
  <si>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</si>
  <si>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</si>
  <si>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</si>
  <si>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</si>
  <si>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</si>
  <si>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</si>
  <si>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</si>
  <si>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</si>
  <si>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</si>
  <si>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</si>
  <si>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</si>
  <si>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</si>
  <si>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</si>
  <si>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</si>
  <si>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</si>
  <si>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</si>
  <si>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</si>
  <si>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</si>
  <si>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</si>
  <si>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</si>
  <si>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</si>
  <si>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</si>
  <si>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</si>
  <si>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</si>
  <si>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</si>
  <si>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</si>
  <si>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</si>
  <si>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</si>
  <si>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</si>
  <si>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</si>
  <si>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</si>
  <si>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</si>
  <si>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</si>
  <si>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</si>
  <si>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</si>
  <si>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</si>
  <si>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</si>
  <si>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</si>
  <si>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</si>
  <si>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</si>
  <si>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</si>
  <si>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</si>
  <si>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</si>
  <si>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</si>
  <si>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</si>
  <si>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</si>
  <si>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</si>
  <si>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</si>
  <si>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</si>
  <si>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</si>
  <si>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</si>
  <si>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</si>
  <si>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</si>
  <si>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</si>
  <si>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</si>
  <si>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</si>
  <si>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</si>
  <si>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</si>
  <si>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</si>
  <si>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</si>
  <si>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</si>
  <si>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</si>
  <si>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</si>
  <si>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</si>
  <si>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</si>
  <si>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</si>
  <si>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</si>
  <si>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</si>
  <si>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</si>
  <si>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</si>
  <si>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</si>
  <si>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</si>
  <si>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</si>
  <si>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</si>
  <si>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</si>
  <si>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</si>
  <si>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</si>
  <si>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</si>
  <si>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</si>
  <si>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</si>
  <si>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</si>
  <si>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</si>
  <si>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</si>
  <si>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</si>
  <si>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</si>
  <si>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</si>
  <si>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</si>
  <si>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</si>
  <si>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</si>
  <si>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</si>
  <si>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</si>
  <si>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</si>
  <si>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</si>
  <si>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</si>
  <si>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</si>
  <si>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</si>
  <si>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</si>
  <si>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</si>
  <si>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</si>
  <si>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</si>
  <si>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</si>
  <si>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</si>
  <si>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</si>
  <si>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</si>
  <si>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</si>
  <si>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</si>
  <si>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</si>
  <si>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</si>
  <si>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</si>
  <si>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</si>
  <si>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</si>
  <si>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</si>
  <si>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</si>
  <si>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</si>
  <si>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</si>
  <si>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</si>
  <si>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</si>
  <si>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</si>
  <si>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</si>
  <si>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</si>
  <si>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</si>
  <si>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</si>
  <si>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</si>
  <si>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</si>
  <si>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</si>
  <si>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</si>
  <si>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</si>
  <si>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</si>
  <si>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</si>
  <si>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</si>
  <si>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</si>
  <si>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</si>
  <si>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</si>
  <si>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</si>
  <si>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</si>
  <si>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</si>
  <si>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</si>
  <si>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</si>
  <si>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</si>
  <si>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</si>
  <si>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</si>
  <si>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</si>
  <si>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</si>
  <si>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</si>
  <si>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</si>
  <si>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</si>
  <si>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</si>
  <si>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</si>
  <si>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</si>
  <si>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</si>
  <si>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</si>
  <si>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</si>
  <si>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</si>
  <si>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</si>
  <si>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</si>
  <si>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</si>
  <si>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</si>
  <si>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</si>
  <si>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</si>
  <si>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</si>
  <si>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</si>
  <si>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</si>
  <si>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</si>
  <si>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</si>
  <si>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</si>
  <si>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</si>
  <si>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</si>
  <si>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</si>
  <si>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</si>
  <si>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</si>
  <si>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</si>
  <si>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</si>
  <si>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</si>
  <si>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</si>
  <si>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</si>
  <si>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</si>
  <si>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</si>
  <si>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</si>
  <si>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</si>
  <si>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</si>
  <si>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</si>
  <si>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</si>
  <si>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</si>
  <si>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</si>
  <si>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</si>
  <si>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</si>
  <si>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</si>
  <si>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</si>
  <si>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</si>
  <si>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</si>
  <si>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</si>
  <si>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</si>
  <si>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</si>
  <si>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</si>
  <si>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</si>
  <si>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</si>
  <si>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</si>
  <si>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</si>
  <si>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</si>
  <si>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</si>
  <si>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</si>
  <si>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</si>
  <si>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</si>
  <si>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</si>
  <si>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</si>
  <si>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</si>
  <si>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</si>
  <si>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</si>
  <si>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</si>
  <si>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</si>
  <si>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</si>
  <si>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</si>
  <si>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</si>
  <si>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</si>
  <si>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</si>
  <si>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</si>
  <si>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</si>
  <si>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</si>
  <si>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</si>
  <si>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</si>
  <si>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</si>
  <si>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</si>
  <si>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</si>
  <si>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</si>
  <si>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</si>
  <si>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</si>
  <si>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</si>
  <si>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</si>
  <si>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</si>
  <si>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</si>
  <si>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</si>
  <si>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</si>
  <si>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</si>
  <si>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</si>
  <si>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</si>
  <si>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</si>
  <si>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</si>
  <si>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</si>
  <si>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</si>
  <si>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</si>
  <si>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</si>
  <si>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</si>
  <si>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</si>
  <si>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</si>
  <si>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</si>
  <si>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</si>
  <si>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</si>
  <si>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</si>
  <si>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</si>
  <si>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</si>
  <si>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</si>
  <si>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</si>
  <si>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</si>
  <si>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</si>
  <si>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</si>
  <si>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</si>
  <si>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</si>
  <si>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</si>
  <si>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</si>
  <si>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</si>
  <si>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</si>
  <si>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</si>
  <si>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</si>
  <si>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</si>
  <si>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</si>
  <si>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</si>
  <si>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</si>
  <si>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</si>
  <si>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</si>
  <si>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</si>
  <si>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</si>
  <si>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</si>
  <si>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</si>
  <si>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</si>
  <si>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</si>
  <si>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</si>
  <si>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</si>
  <si>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</si>
  <si>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</si>
  <si>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</si>
  <si>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</si>
  <si>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</si>
  <si>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</si>
  <si>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</si>
  <si>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</si>
  <si>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</si>
  <si>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</si>
  <si>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</si>
  <si>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</si>
  <si>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</si>
  <si>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</si>
  <si>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</si>
  <si>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</si>
  <si>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</si>
  <si>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</si>
  <si>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</si>
  <si>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</si>
  <si>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</si>
  <si>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</si>
  <si>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</si>
  <si>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</si>
  <si>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</si>
  <si>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</si>
  <si>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</si>
  <si>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</si>
  <si>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</si>
  <si>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</si>
  <si>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</si>
  <si>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</si>
  <si>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</si>
  <si>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</si>
  <si>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</si>
  <si>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</si>
  <si>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</si>
  <si>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</si>
  <si>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</si>
  <si>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</si>
  <si>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</si>
  <si>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</si>
  <si>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</si>
  <si>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</si>
  <si>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</si>
  <si>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</si>
  <si>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</si>
  <si>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</si>
  <si>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</si>
  <si>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</si>
  <si>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</si>
  <si>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</si>
  <si>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</si>
  <si>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</si>
  <si>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</si>
  <si>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</si>
  <si>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</si>
  <si>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</si>
  <si>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</si>
  <si>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</si>
  <si>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</si>
  <si>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</si>
  <si>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</si>
  <si>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</si>
  <si>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</si>
  <si>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</si>
  <si>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</si>
  <si>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</si>
  <si>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</si>
  <si>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</si>
  <si>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</si>
  <si>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</si>
  <si>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</si>
  <si>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</si>
  <si>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</si>
  <si>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</si>
  <si>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</si>
  <si>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</si>
  <si>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</si>
  <si>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</si>
  <si>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</si>
  <si>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</si>
  <si>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</si>
  <si>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</si>
  <si>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</si>
  <si>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</si>
  <si>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</si>
  <si>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</si>
  <si>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</si>
  <si>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</si>
  <si>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</si>
  <si>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</si>
  <si>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</si>
  <si>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</si>
  <si>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</si>
  <si>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</si>
  <si>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</si>
  <si>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</si>
  <si>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</si>
  <si>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</si>
  <si>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</si>
  <si>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</si>
  <si>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</si>
  <si>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</si>
  <si>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</si>
  <si>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</si>
  <si>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</si>
  <si>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</si>
  <si>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</si>
  <si>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</si>
  <si>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</si>
  <si>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</si>
  <si>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</si>
  <si>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</si>
  <si>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</si>
  <si>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</si>
  <si>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</si>
  <si>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</si>
  <si>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</si>
  <si>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</si>
  <si>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</si>
  <si>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</si>
  <si>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</si>
  <si>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</si>
  <si>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</si>
  <si>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</si>
  <si>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</si>
  <si>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</si>
  <si>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</si>
  <si>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</si>
  <si>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</si>
  <si>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</si>
  <si>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</si>
  <si>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</si>
  <si>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</si>
  <si>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</si>
  <si>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</si>
  <si>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</si>
  <si>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</si>
  <si>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</si>
  <si>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</si>
  <si>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</si>
  <si>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</si>
  <si>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</si>
  <si>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</si>
  <si>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</si>
  <si>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</si>
  <si>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</si>
  <si>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</si>
  <si>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</si>
  <si>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</si>
  <si>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</si>
  <si>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</si>
  <si>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</si>
  <si>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</si>
  <si>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</si>
  <si>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</si>
  <si>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</si>
  <si>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</si>
  <si>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</si>
  <si>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</si>
  <si>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</si>
  <si>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</si>
  <si>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</si>
  <si>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</si>
  <si>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</si>
  <si>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</si>
  <si>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</si>
  <si>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</si>
  <si>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</si>
  <si>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</si>
  <si>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</si>
  <si>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</si>
  <si>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</si>
  <si>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</si>
  <si>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</si>
  <si>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</si>
  <si>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</si>
  <si>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</si>
  <si>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</si>
  <si>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</si>
  <si>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</si>
  <si>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</si>
  <si>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</si>
  <si>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</si>
  <si>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</si>
  <si>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</si>
  <si>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</si>
  <si>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</si>
  <si>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</si>
  <si>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</si>
  <si>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</si>
  <si>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</si>
  <si>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</si>
  <si>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</si>
  <si>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</si>
  <si>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</si>
  <si>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</si>
  <si>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</si>
  <si>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</si>
  <si>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</si>
  <si>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</si>
  <si>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</si>
  <si>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</si>
  <si>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</si>
  <si>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</si>
  <si>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</si>
  <si>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</si>
  <si>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</si>
  <si>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</si>
  <si>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</si>
  <si>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</si>
  <si>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</si>
  <si>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</si>
  <si>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</si>
  <si>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</si>
  <si>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</si>
  <si>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</si>
  <si>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</si>
  <si>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</si>
  <si>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</si>
  <si>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</si>
  <si>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</si>
  <si>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</si>
  <si>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</si>
  <si>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</si>
  <si>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</si>
  <si>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</si>
  <si>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</si>
  <si>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</si>
  <si>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</si>
  <si>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</si>
  <si>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</si>
  <si>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</si>
  <si>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是</t>
  </si>
  <si>
    <t>地下</t>
  </si>
  <si>
    <t>地上</t>
  </si>
  <si>
    <t>办公</t>
    <phoneticPr fontId="7" type="noConversion"/>
  </si>
  <si>
    <t>仓储</t>
    <phoneticPr fontId="7" type="noConversion"/>
  </si>
  <si>
    <t>利息：取LPR加浮动点数</t>
  </si>
  <si>
    <t>成新度</t>
  </si>
  <si>
    <t>押一</t>
  </si>
  <si>
    <t>钢混</t>
  </si>
  <si>
    <t>非生产用房</t>
  </si>
  <si>
    <t>否</t>
  </si>
  <si>
    <t>收益法</t>
  </si>
  <si>
    <t>比较法-办公</t>
  </si>
  <si>
    <t>项目模式</t>
  </si>
  <si>
    <t>售价</t>
  </si>
  <si>
    <t>商务金融用地</t>
  </si>
  <si>
    <t>自定义容积率</t>
  </si>
  <si>
    <t>与级别开发程度一致</t>
  </si>
  <si>
    <t>一般</t>
  </si>
  <si>
    <t>较好</t>
  </si>
  <si>
    <t>好</t>
  </si>
  <si>
    <t>未包含在土地购买价格中</t>
  </si>
  <si>
    <t>已包含在土地取得成本中</t>
  </si>
  <si>
    <t>全部缴纳</t>
  </si>
  <si>
    <t>收益法 (元)</t>
  </si>
  <si>
    <t>成本法 (元)</t>
  </si>
  <si>
    <t>总价</t>
  </si>
  <si>
    <t>中创新中心</t>
    <phoneticPr fontId="3" type="noConversion"/>
  </si>
  <si>
    <t>永丰智慧谷</t>
    <phoneticPr fontId="3" type="noConversion"/>
  </si>
  <si>
    <t>万科翠湖国际</t>
    <phoneticPr fontId="3" type="noConversion"/>
  </si>
  <si>
    <t>正常</t>
  </si>
  <si>
    <t>办公</t>
    <phoneticPr fontId="31" type="noConversion"/>
  </si>
  <si>
    <t>七通</t>
  </si>
  <si>
    <t>标准写字楼</t>
  </si>
  <si>
    <t>标准写字楼</t>
    <phoneticPr fontId="31" type="noConversion"/>
  </si>
  <si>
    <t>钢混</t>
    <phoneticPr fontId="31" type="noConversion"/>
  </si>
  <si>
    <t>精装</t>
  </si>
  <si>
    <t>精装</t>
    <phoneticPr fontId="31" type="noConversion"/>
  </si>
  <si>
    <t>专业</t>
  </si>
  <si>
    <t>专业</t>
    <phoneticPr fontId="31" type="noConversion"/>
  </si>
  <si>
    <t>毛坯</t>
  </si>
  <si>
    <t>毛坯</t>
    <phoneticPr fontId="31" type="noConversion"/>
  </si>
  <si>
    <t>普装</t>
    <phoneticPr fontId="31" type="noConversion"/>
  </si>
  <si>
    <t>简装</t>
    <phoneticPr fontId="31" type="noConversion"/>
  </si>
  <si>
    <t>现房</t>
  </si>
  <si>
    <t>北京市</t>
  </si>
  <si>
    <t>企业</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</si>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</sst>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152400</xdr:rowOff>
    </xdr:from>
    <xdr:to>
      <xdr:col>11</xdr:col>
      <xdr:colOff>580048</xdr:colOff>
      <xdr:row>27</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52400"/>
          <a:ext cx="7819048" cy="4552381"/>
        </a:xfrm>
        <a:prstGeom prst="rect">
          <a:avLst/>
        </a:prstGeom>
      </xdr:spPr>
    </xdr:pic>
    <xdr:clientData/>
  </xdr:twoCellAnchor>
  <xdr:twoCellAnchor editAs="oneCell">
    <xdr:from>
      <xdr:col>0</xdr:col>
      <xdr:colOff>381000</xdr:colOff>
      <xdr:row>27</xdr:row>
      <xdr:rowOff>123825</xdr:rowOff>
    </xdr:from>
    <xdr:to>
      <xdr:col>12</xdr:col>
      <xdr:colOff>275210</xdr:colOff>
      <xdr:row>45</xdr:row>
      <xdr:rowOff>142487</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4752975"/>
          <a:ext cx="8123810" cy="3104762"/>
        </a:xfrm>
        <a:prstGeom prst="rect">
          <a:avLst/>
        </a:prstGeom>
      </xdr:spPr>
    </xdr:pic>
    <xdr:clientData/>
  </xdr:twoCellAnchor>
  <xdr:twoCellAnchor editAs="oneCell">
    <xdr:from>
      <xdr:col>0</xdr:col>
      <xdr:colOff>523875</xdr:colOff>
      <xdr:row>46</xdr:row>
      <xdr:rowOff>28575</xdr:rowOff>
    </xdr:from>
    <xdr:to>
      <xdr:col>12</xdr:col>
      <xdr:colOff>322847</xdr:colOff>
      <xdr:row>74</xdr:row>
      <xdr:rowOff>142261</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7915275"/>
          <a:ext cx="8028572" cy="4914286"/>
        </a:xfrm>
        <a:prstGeom prst="rect">
          <a:avLst/>
        </a:prstGeom>
      </xdr:spPr>
    </xdr:pic>
    <xdr:clientData/>
  </xdr:twoCellAnchor>
  <xdr:twoCellAnchor editAs="oneCell">
    <xdr:from>
      <xdr:col>1</xdr:col>
      <xdr:colOff>0</xdr:colOff>
      <xdr:row>75</xdr:row>
      <xdr:rowOff>0</xdr:rowOff>
    </xdr:from>
    <xdr:to>
      <xdr:col>12</xdr:col>
      <xdr:colOff>360962</xdr:colOff>
      <xdr:row>111</xdr:row>
      <xdr:rowOff>27800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2858750"/>
          <a:ext cx="7904762" cy="6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估价对象为北京市房地产，为所有。根据《国有土地使用证》[]，估价对象（分摊）出让国有建设用地使用权面积为0平方米，建筑面积为8188.92平方米。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估价对象为北京市房地产,属开发建设的，该项目尚在开发建设中。根据《国有土地使用证》[]，估价对象（分摊）出让国有建设用地使用权面积为0平方米，规划建筑面积为8188.92平方米。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2023年4月23日（评估专业人员实地查勘之日）</v>
      </c>
    </row>
    <row r="13" spans="1:2" s="1203" customFormat="1">
      <c r="A13" s="1201" t="s">
        <v>529</v>
      </c>
      <c r="B13" s="1202" t="str">
        <f>'预评函-1'!A18</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29471</v>
      </c>
    </row>
    <row r="21" spans="1:2" s="1203" customFormat="1">
      <c r="A21" s="1201" t="s">
        <v>537</v>
      </c>
      <c r="B21" s="1202">
        <f ca="1">'预评函-2'!D7</f>
        <v>38286</v>
      </c>
    </row>
    <row r="22" spans="1:2" s="1203" customFormat="1">
      <c r="A22" s="1201" t="s">
        <v>538</v>
      </c>
      <c r="B22" s="1202" t="str">
        <f ca="1">'预评函-2'!D6</f>
        <v>贰亿玖仟肆佰柒拾壹万元整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29471</v>
      </c>
    </row>
    <row r="31" spans="1:2" s="1203" customFormat="1">
      <c r="A31" s="1201" t="s">
        <v>576</v>
      </c>
      <c r="B31" s="1202">
        <f ca="1">'预评函-2'!D15</f>
        <v>38286</v>
      </c>
    </row>
    <row r="32" spans="1:2" s="1203" customFormat="1">
      <c r="A32" s="1201" t="s">
        <v>543</v>
      </c>
      <c r="B32" s="1202" t="str">
        <f ca="1">'预评函-2'!D14</f>
        <v>贰亿玖仟肆佰柒拾壹万元整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8188.9200000000019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2" t="s">
        <v>2583</v>
      </c>
      <c r="J2" s="3512"/>
      <c r="K2" s="3512"/>
      <c r="L2" s="3512"/>
      <c r="M2" s="3512"/>
      <c r="N2" s="3512"/>
      <c r="O2" s="3512"/>
      <c r="P2" s="3512"/>
      <c r="Q2" s="3512"/>
      <c r="R2" s="3512"/>
    </row>
    <row r="3" spans="1:18">
      <c r="A3" s="3020" t="s">
        <v>2504</v>
      </c>
      <c r="B3" s="3021">
        <f>项目基本情况!D3</f>
        <v>45039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3.66</v>
      </c>
      <c r="D5" s="3025">
        <f>IF(ISERROR(ROUND(POWER(1+E5,A5-C5)*(POWER(1+E5,C5)-1)/(POWER(1+E5,A5)-1),3)),0,ROUND(POWER(1+E5,A5-C5)*(POWER(1+E5,C5)-1)/(POWER(1+E5,A5)-1),4))</f>
        <v>0.16889999999999999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13.66</v>
      </c>
      <c r="D6" s="3025">
        <f>IF(ISERROR(ROUND(POWER(1+E6,A6-C6)*(POWER(1+E6,C6)-1)/(POWER(1+E6,A6)-1),3)),0,ROUND(POWER(1+E6,A6-C6)*(POWER(1+E6,C6)-1)/(POWER(1+E6,A6)-1),4))</f>
        <v>0.48270000000000002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33.68</v>
      </c>
      <c r="D7" s="3025">
        <f>IF(ISERROR(ROUND(POWER(1+E7,A7-C7)*(POWER(1+E7,C7)-1)/(POWER(1+E7,A7)-1),3)),0,ROUND(POWER(1+E7,A7-C7)*(POWER(1+E7,C7)-1)/(POWER(1+E7,A7)-1),4))</f>
        <v>0.78339999999999999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3" sqref="M3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45039</v>
      </c>
      <c r="C3" s="2374" t="s">
        <v>2171</v>
      </c>
      <c r="D3" s="2373">
        <f>B3</f>
        <v>45039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25"/>
      <c r="E9" s="2394" t="s">
        <v>43</v>
      </c>
      <c r="F9" s="2396"/>
      <c r="G9" s="2665"/>
      <c r="H9" s="2665"/>
      <c r="I9" s="2665"/>
      <c r="J9" s="2439"/>
      <c r="K9" s="2616"/>
      <c r="L9" s="2613"/>
      <c r="M9" s="2613"/>
      <c r="N9" s="2439"/>
      <c r="O9" s="2450"/>
      <c r="P9" s="2439"/>
      <c r="Q9" s="2439"/>
      <c r="R9" s="2439"/>
    </row>
    <row r="10" spans="1:30" ht="13.5" thickTop="1">
      <c r="A10" s="2397" t="s">
        <v>2179</v>
      </c>
      <c r="B10" s="2398" t="s">
        <v>3425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60587</v>
      </c>
      <c r="F13" s="856"/>
      <c r="G13" s="856">
        <f>E13</f>
        <v>60587</v>
      </c>
      <c r="H13" s="856"/>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42.59</v>
      </c>
      <c r="F15" s="2410" t="str">
        <f>IF(A13="出让",IF(F13="","",ROUNDDOWN(MIN((F13-$D$3)/365,F14),2)),F14)</f>
        <v/>
      </c>
      <c r="G15" s="2410">
        <f>IF(A13="出让",IF(G13="","",ROUNDDOWN(MIN((G13-$D$3)/365,G14),2)),G14)</f>
        <v>42.59</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1"/>
      <c r="C16" s="3532"/>
      <c r="D16" s="3533"/>
      <c r="E16" s="2413" t="s">
        <v>2194</v>
      </c>
      <c r="F16" s="3534"/>
      <c r="G16" s="3535"/>
      <c r="H16" s="3535"/>
      <c r="I16" s="3536"/>
      <c r="J16" s="2439"/>
      <c r="K16" s="2617"/>
      <c r="L16" s="2451"/>
      <c r="M16" s="2451"/>
      <c r="N16" s="2509"/>
      <c r="O16" s="2451"/>
      <c r="P16" s="2509"/>
      <c r="Q16" s="2439"/>
      <c r="R16" s="2439"/>
    </row>
    <row r="17" spans="1:28">
      <c r="A17" s="313" t="s">
        <v>2195</v>
      </c>
      <c r="B17" s="302" t="s">
        <v>2196</v>
      </c>
      <c r="C17" s="8">
        <f>'数据-汇总表'!E3</f>
        <v>8188.9200000000019</v>
      </c>
      <c r="D17" s="2322" t="s">
        <v>2197</v>
      </c>
      <c r="E17" s="3537" t="s">
        <v>2198</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0" t="s">
        <v>2202</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7" t="s">
        <v>2206</v>
      </c>
      <c r="C20" s="3528"/>
      <c r="D20" s="3529" t="s">
        <v>2207</v>
      </c>
      <c r="E20" s="3530"/>
      <c r="F20" s="2647" t="s">
        <v>1056</v>
      </c>
      <c r="G20" s="2664"/>
      <c r="H20" s="2664"/>
      <c r="I20" s="2664"/>
      <c r="J20" s="2439"/>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133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8188.9200000000019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8188.9200000000019</v>
      </c>
      <c r="H5" s="13">
        <f t="shared" ref="H5:AT5" si="0">SUM(H13:H656)</f>
        <v>8188.9200000000019</v>
      </c>
      <c r="I5" s="13">
        <f t="shared" si="0"/>
        <v>7697.5300000000016</v>
      </c>
      <c r="J5" s="13">
        <f t="shared" si="0"/>
        <v>0</v>
      </c>
      <c r="K5" s="13">
        <f t="shared" si="0"/>
        <v>491.39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8188.9200000000019</v>
      </c>
      <c r="BA5" s="15">
        <f t="shared" si="1"/>
        <v>8188.9200000000019</v>
      </c>
      <c r="BB5" s="15">
        <f t="shared" si="1"/>
        <v>7697.5300000000016</v>
      </c>
      <c r="BC5" s="15">
        <f t="shared" si="1"/>
        <v>491.39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3339</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3380</v>
      </c>
      <c r="E13" s="13">
        <f>IF($C$3="是",ROUND($A$3*G13/$B$3,2),ROUND($A$3*(G13-AT13)/$B$3,2))</f>
        <v>0</v>
      </c>
      <c r="F13" s="29"/>
      <c r="G13" s="30">
        <f>H13+AC13+AT13</f>
        <v>491.39</v>
      </c>
      <c r="H13" s="17">
        <f>SUMIF(I$12:AB$12,"总值",I13:AB13)</f>
        <v>491.39</v>
      </c>
      <c r="I13" s="1626"/>
      <c r="J13" s="1626"/>
      <c r="K13" s="1626">
        <v>491.39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491.39</v>
      </c>
      <c r="BA13" s="13">
        <f>SUM(BB13:BK13)</f>
        <v>491.39</v>
      </c>
      <c r="BB13" s="13">
        <f>IF($D13="是",I13-J13,0)</f>
        <v>0</v>
      </c>
      <c r="BC13" s="13">
        <f>IF($D13="是",K13-L13,0)</f>
        <v>491.39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101</v>
      </c>
      <c r="D14" s="1625" t="s">
        <v>3380</v>
      </c>
      <c r="E14" s="13">
        <f>IF($C$3="是",ROUND($A$3*G14/$B$3,2),ROUND($A$3*(G14-AT14)/$B$3,2))</f>
        <v>0</v>
      </c>
      <c r="F14" s="29"/>
      <c r="G14" s="30">
        <f>H14+AC14+AT14</f>
        <v>704.93</v>
      </c>
      <c r="H14" s="17">
        <f>SUMIF(I$12:AB$12,"总值",I14:AB14)</f>
        <v>704.93</v>
      </c>
      <c r="I14" s="1626">
        <v>704.93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101</v>
      </c>
      <c r="AY14" s="1349">
        <f>ROUND($AY$6*AZ14/$AZ$5,2)</f>
        <v>0</v>
      </c>
      <c r="AZ14" s="13">
        <f>BA14+BL14</f>
        <v>704.93</v>
      </c>
      <c r="BA14" s="13">
        <f>SUM(BB14:BK14)</f>
        <v>704.93</v>
      </c>
      <c r="BB14" s="13">
        <f>IF($D14="是",I14-J14,0)</f>
        <v>704.93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201</v>
      </c>
      <c r="D15" s="1625" t="s">
        <v>3380</v>
      </c>
      <c r="E15" s="13">
        <f>IF($C$3="是",ROUND($A$3*G15/$B$3,2),ROUND($A$3*(G15-AT15)/$B$3,2))</f>
        <v>0</v>
      </c>
      <c r="F15" s="29"/>
      <c r="G15" s="30">
        <f>H15+AC15+AT15</f>
        <v>699.26</v>
      </c>
      <c r="H15" s="17">
        <f>SUMIF(I$12:AB$12,"总值",I15:AB15)</f>
        <v>699.26</v>
      </c>
      <c r="I15" s="1626">
        <v>699.26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201</v>
      </c>
      <c r="AY15" s="1349">
        <f>ROUND($AY$6*AZ15/$AZ$5,2)</f>
        <v>0</v>
      </c>
      <c r="AZ15" s="13">
        <f>BA15+BL15</f>
        <v>699.26</v>
      </c>
      <c r="BA15" s="13">
        <f>SUM(BB15:BK15)</f>
        <v>699.26</v>
      </c>
      <c r="BB15" s="13">
        <f>IF($D15="是",I15-J15,0)</f>
        <v>699.26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301</v>
      </c>
      <c r="D16" s="1625" t="s">
        <v>3380</v>
      </c>
      <c r="E16" s="13">
        <f>IF($C$3="是",ROUND($A$3*G16/$B$3,2),ROUND($A$3*(G16-AT16)/$B$3,2))</f>
        <v>0</v>
      </c>
      <c r="F16" s="29"/>
      <c r="G16" s="30">
        <f>H16+AC16+AT16</f>
        <v>699.26</v>
      </c>
      <c r="H16" s="17">
        <f>SUMIF(I$12:AB$12,"总值",I16:AB16)</f>
        <v>699.26</v>
      </c>
      <c r="I16" s="1626">
        <v>699.26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301</v>
      </c>
      <c r="AY16" s="1349">
        <f>ROUND($AY$6*AZ16/$AZ$5,2)</f>
        <v>0</v>
      </c>
      <c r="AZ16" s="13">
        <f>BA16+BL16</f>
        <v>699.26</v>
      </c>
      <c r="BA16" s="13">
        <f>SUM(BB16:BK16)</f>
        <v>699.26</v>
      </c>
      <c r="BB16" s="13">
        <f>IF($D16="是",I16-J16,0)</f>
        <v>699.26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401</v>
      </c>
      <c r="D17" s="1625" t="s">
        <v>3380</v>
      </c>
      <c r="E17" s="13">
        <f>IF($C$3="是",ROUND($A$3*G17/$B$3,2),ROUND($A$3*(G17-AT17)/$B$3,2))</f>
        <v>0</v>
      </c>
      <c r="F17" s="29"/>
      <c r="G17" s="30">
        <f>H17+AC17+AT17</f>
        <v>699.26</v>
      </c>
      <c r="H17" s="17">
        <f>SUMIF(I$12:AB$12,"总值",I17:AB17)</f>
        <v>699.26</v>
      </c>
      <c r="I17" s="1626">
        <v>699.26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401</v>
      </c>
      <c r="AY17" s="1349">
        <f>ROUND($AY$6*AZ17/$AZ$5,2)</f>
        <v>0</v>
      </c>
      <c r="AZ17" s="13">
        <f>BA17+BL17</f>
        <v>699.26</v>
      </c>
      <c r="BA17" s="13">
        <f>SUM(BB17:BK17)</f>
        <v>699.26</v>
      </c>
      <c r="BB17" s="13">
        <f>IF($D17="是",I17-J17,0)</f>
        <v>699.26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501</v>
      </c>
      <c r="D18" s="1625" t="s">
        <v>3380</v>
      </c>
      <c r="E18" s="32">
        <f t="shared" ref="E18:E112" si="7">IF($C$3="是",ROUND($A$3*G18/$B$3,2),ROUND($A$3*(G18-AT18)/$B$3,2))</f>
        <v>0</v>
      </c>
      <c r="F18" s="33"/>
      <c r="G18" s="34">
        <f t="shared" ref="G18:G109" si="8">H18+AC18+AT18</f>
        <v>699.26</v>
      </c>
      <c r="H18" s="35">
        <f t="shared" ref="H18:H109" si="9">SUMIF(I$12:AB$12,"总值",I18:AB18)</f>
        <v>699.26</v>
      </c>
      <c r="I18" s="36">
        <v>699.26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501</v>
      </c>
      <c r="AY18" s="39">
        <f t="shared" ref="AY18:AY109" si="14">ROUND($AY$6*AZ18/$AZ$5,2)</f>
        <v>0</v>
      </c>
      <c r="AZ18" s="32">
        <f t="shared" ref="AZ18:AZ109" si="15">BA18+BL18</f>
        <v>699.26</v>
      </c>
      <c r="BA18" s="32">
        <f t="shared" ref="BA18:BA109" si="16">SUM(BB18:BK18)</f>
        <v>699.26</v>
      </c>
      <c r="BB18" s="32">
        <f t="shared" ref="BB18:BB109" si="17">IF($D18="是",I18-J18,0)</f>
        <v>699.26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601</v>
      </c>
      <c r="D19" s="1625" t="s">
        <v>3380</v>
      </c>
      <c r="E19" s="32">
        <f t="shared" si="7"/>
        <v>0</v>
      </c>
      <c r="F19" s="33"/>
      <c r="G19" s="34">
        <f t="shared" si="8"/>
        <v>699.26</v>
      </c>
      <c r="H19" s="35">
        <f t="shared" si="9"/>
        <v>699.26</v>
      </c>
      <c r="I19" s="36">
        <v>699.26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601</v>
      </c>
      <c r="AY19" s="39">
        <f t="shared" si="14"/>
        <v>0</v>
      </c>
      <c r="AZ19" s="32">
        <f t="shared" si="15"/>
        <v>699.26</v>
      </c>
      <c r="BA19" s="32">
        <f t="shared" si="16"/>
        <v>699.26</v>
      </c>
      <c r="BB19" s="32">
        <f t="shared" si="17"/>
        <v>699.26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701</v>
      </c>
      <c r="D20" s="1625" t="s">
        <v>3380</v>
      </c>
      <c r="E20" s="32">
        <f t="shared" si="7"/>
        <v>0</v>
      </c>
      <c r="F20" s="33"/>
      <c r="G20" s="34">
        <f t="shared" si="8"/>
        <v>699.26</v>
      </c>
      <c r="H20" s="35">
        <f t="shared" si="9"/>
        <v>699.26</v>
      </c>
      <c r="I20" s="36">
        <v>699.26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701</v>
      </c>
      <c r="AY20" s="39">
        <f t="shared" si="14"/>
        <v>0</v>
      </c>
      <c r="AZ20" s="32">
        <f t="shared" si="15"/>
        <v>699.26</v>
      </c>
      <c r="BA20" s="32">
        <f t="shared" si="16"/>
        <v>699.26</v>
      </c>
      <c r="BB20" s="32">
        <f t="shared" si="17"/>
        <v>699.26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801</v>
      </c>
      <c r="D21" s="1625" t="s">
        <v>3380</v>
      </c>
      <c r="E21" s="32">
        <f t="shared" si="7"/>
        <v>0</v>
      </c>
      <c r="F21" s="33"/>
      <c r="G21" s="34">
        <f t="shared" si="8"/>
        <v>699.26</v>
      </c>
      <c r="H21" s="35">
        <f t="shared" si="9"/>
        <v>699.26</v>
      </c>
      <c r="I21" s="36">
        <v>699.26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801</v>
      </c>
      <c r="AY21" s="39">
        <f t="shared" si="14"/>
        <v>0</v>
      </c>
      <c r="AZ21" s="32">
        <f t="shared" si="15"/>
        <v>699.26</v>
      </c>
      <c r="BA21" s="32">
        <f t="shared" si="16"/>
        <v>699.26</v>
      </c>
      <c r="BB21" s="32">
        <f t="shared" si="17"/>
        <v>699.26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901</v>
      </c>
      <c r="D22" s="1625" t="s">
        <v>3380</v>
      </c>
      <c r="E22" s="32">
        <f t="shared" si="7"/>
        <v>0</v>
      </c>
      <c r="F22" s="33"/>
      <c r="G22" s="34">
        <f t="shared" si="8"/>
        <v>699.26</v>
      </c>
      <c r="H22" s="35">
        <f t="shared" si="9"/>
        <v>699.26</v>
      </c>
      <c r="I22" s="36">
        <v>699.26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901</v>
      </c>
      <c r="AY22" s="39">
        <f t="shared" si="14"/>
        <v>0</v>
      </c>
      <c r="AZ22" s="32">
        <f t="shared" si="15"/>
        <v>699.26</v>
      </c>
      <c r="BA22" s="32">
        <f t="shared" si="16"/>
        <v>699.26</v>
      </c>
      <c r="BB22" s="32">
        <f t="shared" si="17"/>
        <v>699.26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1001</v>
      </c>
      <c r="D23" s="1625" t="s">
        <v>3380</v>
      </c>
      <c r="E23" s="32">
        <f t="shared" si="7"/>
        <v>0</v>
      </c>
      <c r="F23" s="33"/>
      <c r="G23" s="34">
        <f t="shared" si="8"/>
        <v>699.26</v>
      </c>
      <c r="H23" s="35">
        <f t="shared" si="9"/>
        <v>699.26</v>
      </c>
      <c r="I23" s="36">
        <v>699.26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1001</v>
      </c>
      <c r="AY23" s="39">
        <f t="shared" si="14"/>
        <v>0</v>
      </c>
      <c r="AZ23" s="32">
        <f t="shared" si="15"/>
        <v>699.26</v>
      </c>
      <c r="BA23" s="32">
        <f t="shared" si="16"/>
        <v>699.26</v>
      </c>
      <c r="BB23" s="32">
        <f t="shared" si="17"/>
        <v>699.26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1101</v>
      </c>
      <c r="D24" s="1625" t="s">
        <v>3380</v>
      </c>
      <c r="E24" s="32">
        <f t="shared" si="7"/>
        <v>0</v>
      </c>
      <c r="F24" s="33"/>
      <c r="G24" s="34">
        <f t="shared" si="8"/>
        <v>699.26</v>
      </c>
      <c r="H24" s="35">
        <f t="shared" si="9"/>
        <v>699.26</v>
      </c>
      <c r="I24" s="36">
        <v>699.26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1101</v>
      </c>
      <c r="AY24" s="39">
        <f t="shared" si="14"/>
        <v>0</v>
      </c>
      <c r="AZ24" s="32">
        <f t="shared" si="15"/>
        <v>699.26</v>
      </c>
      <c r="BA24" s="32">
        <f t="shared" si="16"/>
        <v>699.26</v>
      </c>
      <c r="BB24" s="32">
        <f t="shared" si="17"/>
        <v>699.26</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0</v>
      </c>
      <c r="E3" s="43">
        <f>'数据-基础表'!AZ5</f>
        <v>8188.9200000000019</v>
      </c>
      <c r="F3" s="2659"/>
      <c r="G3" s="1145"/>
      <c r="H3" s="1026" t="s">
        <v>1106</v>
      </c>
      <c r="I3" s="855" t="e">
        <f>ROUND('数据-基础表'!B3/'数据-基础表'!A3,2)</f>
        <v>#DIV/0!</v>
      </c>
      <c r="J3" s="2659"/>
      <c r="K3" s="2659"/>
      <c r="L3" s="2659"/>
      <c r="M3" s="2659"/>
      <c r="N3" s="2661"/>
      <c r="O3" s="2659"/>
      <c r="P3" s="2659"/>
    </row>
    <row r="4" spans="1:16" ht="15">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8188.9200000000019</v>
      </c>
      <c r="F6" s="2659"/>
      <c r="G6" s="2653" t="s">
        <v>1112</v>
      </c>
      <c r="H6" s="1146" t="s">
        <v>1113</v>
      </c>
      <c r="I6" s="2654" t="e">
        <f>ROUND(F31/D31,2)</f>
        <v>#DIV/0!</v>
      </c>
      <c r="J6" s="2659"/>
      <c r="K6" s="2659"/>
      <c r="L6" s="2659"/>
      <c r="M6" s="2659"/>
      <c r="N6" s="2659"/>
      <c r="O6" s="2659"/>
      <c r="P6" s="2659"/>
    </row>
    <row r="7" spans="1:16" ht="15.75" thickBot="1">
      <c r="A7" s="3549"/>
      <c r="B7" s="3550"/>
      <c r="C7" s="3551"/>
      <c r="D7" s="1641" t="s">
        <v>1107</v>
      </c>
      <c r="E7" s="1645" t="s">
        <v>1114</v>
      </c>
      <c r="F7" s="2659"/>
      <c r="G7" s="2655" t="s">
        <v>1115</v>
      </c>
      <c r="H7" s="2656"/>
      <c r="I7" s="2657">
        <v>3</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7697.5300000000016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491.39</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8188.9200000000019</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7697.5300000000016</v>
      </c>
      <c r="F19" s="2795">
        <f>'数据-基础表'!I5</f>
        <v>7697.5300000000016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7697.5300000000016</v>
      </c>
    </row>
    <row r="20" spans="1:19">
      <c r="A20" s="1670"/>
      <c r="B20" s="47" t="s">
        <v>1153</v>
      </c>
      <c r="C20" s="3417" t="s">
        <v>3384</v>
      </c>
      <c r="D20" s="45">
        <f t="shared" ref="D20:D26" si="6">ROUND($D$3*E20/$E$3,2)</f>
        <v>0</v>
      </c>
      <c r="E20" s="53">
        <f t="shared" si="1"/>
        <v>491.39</v>
      </c>
      <c r="F20" s="2795"/>
      <c r="G20" s="2796">
        <f>'数据-基础表'!K5</f>
        <v>491.39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491.39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8188.9200000000019</v>
      </c>
      <c r="F27" s="1140">
        <f>IF(SUM(F19:F26)=E8,SUM(F19:F26),"地上面积有误")</f>
        <v>7697.5300000000016</v>
      </c>
      <c r="G27" s="1142">
        <f>SUM(G19:G26)</f>
        <v>491.39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8188.9200000000019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8188.9200000000019</v>
      </c>
      <c r="F31" s="677">
        <f>F27+F30</f>
        <v>7697.5300000000016</v>
      </c>
      <c r="G31" s="678">
        <f>G27+G30</f>
        <v>491.39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60587</v>
      </c>
      <c r="F6" s="64">
        <f>SUMIF(项目基本情况!C$12:I$12,C6,项目基本情况!C$15:I$15)</f>
        <v>42.59</v>
      </c>
      <c r="G6" s="65">
        <f>IF(ISERROR(ROUND(POWER(1+H6,D6-F6)*(POWER(1+H6,F6)-1)/(POWER(1+H6,D6)-1),3)),0,ROUND(POWER(1+H6,D6-F6)*(POWER(1+H6,F6)-1)/(POWER(1+H6,D6)-1),3))</f>
        <v>0.95799999999999996</v>
      </c>
      <c r="H6" s="732">
        <v>0.05</v>
      </c>
      <c r="I6" s="732">
        <v>5.5E-2</v>
      </c>
      <c r="J6" s="66">
        <v>7.4999999999999997E-2</v>
      </c>
      <c r="K6" s="1030">
        <f>SUMIF('数据-汇总表'!C$19:C$33,A6,'数据-汇总表'!E$19:E$33)</f>
        <v>7697.5300000000016</v>
      </c>
      <c r="L6" s="733">
        <v>4000</v>
      </c>
      <c r="M6" s="67">
        <f t="shared" ref="M6:M14" si="0">ROUND(K6*L6/10000,0)</f>
        <v>3079</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4.8</v>
      </c>
      <c r="V6" s="70">
        <v>2.5000000000000001E-2</v>
      </c>
      <c r="W6" s="70">
        <v>0.1</v>
      </c>
      <c r="X6" s="1040"/>
      <c r="Y6" s="71">
        <f>N6</f>
        <v>0.95</v>
      </c>
      <c r="Z6" s="72"/>
      <c r="AA6" s="66"/>
      <c r="AB6" s="66"/>
      <c r="AC6" s="1040"/>
      <c r="AD6" s="73"/>
      <c r="AE6" s="1041">
        <f ca="1">IF(AN6="",0,SUMIF(INDIRECT("'"&amp;AN6&amp;"'"&amp;"!E:E"),$AE$5,INDIRECT("'"&amp;AN6&amp;"'"&amp;"!F:F")))</f>
        <v>42.59</v>
      </c>
      <c r="AF6" s="1348"/>
      <c r="AG6" s="138">
        <f>IF(AF6="",0,AE6-AF6)</f>
        <v>0</v>
      </c>
      <c r="AH6" s="74"/>
      <c r="AI6" s="76">
        <v>365</v>
      </c>
      <c r="AJ6" s="77"/>
      <c r="AK6" s="78">
        <v>5.0000000000000001E-3</v>
      </c>
      <c r="AL6" s="79">
        <v>1E-3</v>
      </c>
      <c r="AM6" s="80">
        <v>5.0000000000000001E-3</v>
      </c>
      <c r="AN6" s="1715" t="s">
        <v>3391</v>
      </c>
      <c r="AO6" s="52">
        <f ca="1">SUMIF(INDIRECT("'"&amp;AN6&amp;"'"&amp;"!A:A"),"总价",INDIRECT("'"&amp;AN6&amp;"'"&amp;"!B:B"))</f>
        <v>23172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仓储</v>
      </c>
      <c r="B7" s="1713" t="str">
        <f t="shared" ref="B7:B13" si="1">IF(A7=0,"","经营性")</f>
        <v>经营性</v>
      </c>
      <c r="C7" s="1714" t="s">
        <v>3339</v>
      </c>
      <c r="D7" s="858">
        <f>SUMIF(项目基本情况!C$12:I$12,C7,项目基本情况!C$14:I$14)</f>
        <v>50</v>
      </c>
      <c r="E7" s="857">
        <f>IF(B7="","",SUMIF(项目基本情况!C$12:I$12,C7,项目基本情况!C$13:I$13))</f>
        <v>60587</v>
      </c>
      <c r="F7" s="64">
        <f>SUMIF(项目基本情况!C$12:I$12,C7,项目基本情况!C$15:I$15)</f>
        <v>42.59</v>
      </c>
      <c r="G7" s="65">
        <f t="shared" ref="G7:G11" si="2">IF(ISERROR(ROUND(POWER(1+H7,D7-F7)*(POWER(1+H7,F7)-1)/(POWER(1+H7,D7)-1),3)),0,ROUND(POWER(1+H7,D7-F7)*(POWER(1+H7,F7)-1)/(POWER(1+H7,D7)-1),3))</f>
        <v>0.95799999999999996</v>
      </c>
      <c r="H7" s="732">
        <v>0.05</v>
      </c>
      <c r="I7" s="732">
        <v>0.05</v>
      </c>
      <c r="J7" s="66">
        <v>7.4999999999999997E-2</v>
      </c>
      <c r="K7" s="1030">
        <f>SUMIF('数据-汇总表'!C$19:C$33,A7,'数据-汇总表'!E$19:E$33)</f>
        <v>491.39</v>
      </c>
      <c r="L7" s="733">
        <f>L6</f>
        <v>4000</v>
      </c>
      <c r="M7" s="67">
        <f t="shared" si="0"/>
        <v>197</v>
      </c>
      <c r="N7" s="731">
        <f>N6</f>
        <v>0.95</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2</v>
      </c>
      <c r="V7" s="70">
        <v>2.5000000000000001E-2</v>
      </c>
      <c r="W7" s="70">
        <v>0.15</v>
      </c>
      <c r="X7" s="1040"/>
      <c r="Y7" s="71">
        <f>N7</f>
        <v>0.95</v>
      </c>
      <c r="Z7" s="72"/>
      <c r="AA7" s="66"/>
      <c r="AB7" s="66"/>
      <c r="AC7" s="1040"/>
      <c r="AD7" s="73"/>
      <c r="AE7" s="1041">
        <f t="shared" ref="AE7:AE13" ca="1" si="6">IF(AN7="",0,SUMIF(INDIRECT("'"&amp;AN7&amp;"'"&amp;"!E:E"),$AE$5,INDIRECT("'"&amp;AN7&amp;"'"&amp;"!F:F")))</f>
        <v>42.59</v>
      </c>
      <c r="AF7" s="1348"/>
      <c r="AG7" s="138">
        <f t="shared" ref="AG7:AG13" si="7">IF(AF7="",0,AE7-AF7)</f>
        <v>0</v>
      </c>
      <c r="AH7" s="74"/>
      <c r="AI7" s="76">
        <v>365</v>
      </c>
      <c r="AJ7" s="77"/>
      <c r="AK7" s="78">
        <f>AK6</f>
        <v>5.0000000000000001E-3</v>
      </c>
      <c r="AL7" s="79">
        <f>AL6</f>
        <v>1E-3</v>
      </c>
      <c r="AM7" s="80">
        <f>AM6</f>
        <v>5.0000000000000001E-3</v>
      </c>
      <c r="AN7" s="1715" t="s">
        <v>3404</v>
      </c>
      <c r="AO7" s="52">
        <f t="shared" ref="AO7:AO13" ca="1" si="8">SUMIF(INDIRECT("'"&amp;AN7&amp;"'"&amp;"!A:A"),"总价",INDIRECT("'"&amp;AN7&amp;"'"&amp;"!B:B"))</f>
        <v>612.82690000000002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0.95799999999999996</v>
      </c>
      <c r="H16" s="90">
        <f>ROUND(SUMPRODUCT(H6:H13,K6:K13)/SUMPRODUCT((H6:H13&gt;0)*(K6:K13)),3)</f>
        <v>0.05</v>
      </c>
      <c r="I16" s="91"/>
      <c r="J16" s="91"/>
      <c r="K16" s="92">
        <f>SUM(K6:K15)</f>
        <v>8188.9200000000019</v>
      </c>
      <c r="L16" s="93">
        <f>ROUND(M16*10000/SUM(K6:K14),0)</f>
        <v>4001</v>
      </c>
      <c r="M16" s="93">
        <f>SUM(M6:M14)</f>
        <v>3276</v>
      </c>
      <c r="N16" s="94">
        <f>ROUND(SUMPRODUCT(M6:M14,N6:N14)/M16,3)</f>
        <v>0.95</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2286</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9" sqref="L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8188.9200000000019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30004</v>
      </c>
      <c r="C5" s="2512">
        <f ca="1">IF(B5=D14,结果表!H102,ROUND(B5*10000/$B$1,0))</f>
        <v>36640</v>
      </c>
      <c r="D5" s="2512" t="e">
        <f ca="1">ROUND(B5*10000/$B$2,0)</f>
        <v>#DIV/0!</v>
      </c>
      <c r="E5" s="2686"/>
      <c r="F5" s="2687"/>
      <c r="G5" s="2687"/>
      <c r="H5" s="2688"/>
      <c r="I5" s="2688"/>
      <c r="J5" s="2688"/>
      <c r="K5" s="2688"/>
    </row>
    <row r="6" spans="1:11" ht="16.5">
      <c r="A6" s="2512" t="s">
        <v>656</v>
      </c>
      <c r="B6" s="2512">
        <f>SUM(G14:G23)</f>
        <v>0</v>
      </c>
      <c r="C6" s="2512">
        <f ca="1">IF(B6=G14,结果表!H108,ROUND(B6*10000/$B$1,0))</f>
        <v>38286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7697.5300000000016</v>
      </c>
      <c r="C14" s="2518"/>
      <c r="D14" s="2518">
        <f ca="1">结果表!H118</f>
        <v>29471</v>
      </c>
      <c r="E14" s="2518">
        <f ca="1">ROUND(D14*10000/B14,0)</f>
        <v>38286</v>
      </c>
      <c r="F14" s="2518" t="e">
        <f ca="1">ROUND(D14*10000/C14,0)</f>
        <v>#DIV/0!</v>
      </c>
      <c r="G14" s="2518"/>
      <c r="H14" s="2518"/>
      <c r="I14" s="2518"/>
      <c r="J14" s="2687"/>
      <c r="K14" s="2688"/>
    </row>
    <row r="15" spans="1:11" ht="16.5">
      <c r="A15" s="2517" t="s">
        <v>649</v>
      </c>
      <c r="B15" s="2519">
        <f>'结果表(仓储)'!B118</f>
        <v>491.39</v>
      </c>
      <c r="C15" s="2519"/>
      <c r="D15" s="2519">
        <f ca="1">'结果表(仓储)'!H118</f>
        <v>533</v>
      </c>
      <c r="E15" s="2518">
        <f t="shared" ref="E15:E23" ca="1" si="0">ROUND(D15*10000/B15,0)</f>
        <v>10847</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3392</v>
      </c>
      <c r="D4" s="1756" t="s">
        <v>3391</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6</v>
      </c>
      <c r="D14" s="3597">
        <v>4</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4" t="s">
        <v>2131</v>
      </c>
      <c r="F18" s="3585"/>
      <c r="G18" s="3585"/>
      <c r="H18" s="3585"/>
      <c r="I18" s="3585"/>
      <c r="K18" s="302" t="s">
        <v>1289</v>
      </c>
      <c r="L18" s="302">
        <f>IF(C1="",'数据-汇总表'!E3,SUMIF(项目类型,C1,'数据-汇总表'!E17:E26)+SUMIF(项目类型,C1,'数据-汇总表'!I17:I26))</f>
        <v>7697.5300000000016</v>
      </c>
      <c r="M18" s="302">
        <f>IF(C1="",'数据-汇总表'!E3,SUMIF(项目类型,C1,'数据-汇总表'!E17:E26))</f>
        <v>7697.5300000000016</v>
      </c>
    </row>
    <row r="19" spans="1:36" ht="15">
      <c r="A19" s="1761" t="s">
        <v>1290</v>
      </c>
      <c r="B19" s="1762" t="s">
        <v>1291</v>
      </c>
      <c r="C19" s="134">
        <f ca="1">SUMIF(INDIRECT("'"&amp;C4&amp;"'"&amp;"!A:A"),结果表!B19,INDIRECT("'"&amp;C4&amp;"'"&amp;"!B:B"))</f>
        <v>33670</v>
      </c>
      <c r="D19" s="135">
        <f ca="1">SUMIF(INDIRECT("'"&amp;D4&amp;"'"&amp;"!A:A"),结果表!B19,INDIRECT("'"&amp;D4&amp;"'"&amp;"!B:B"))</f>
        <v>23172</v>
      </c>
      <c r="E19" s="1761" t="s">
        <v>1292</v>
      </c>
      <c r="F19" s="1762" t="s">
        <v>1291</v>
      </c>
      <c r="G19" s="136">
        <f ca="1">ROUND(C19*$C$18+D19*$D$18,0)</f>
        <v>29471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43741</v>
      </c>
      <c r="D20" s="138">
        <f ca="1">SUMIF(INDIRECT("'"&amp;D4&amp;"'"&amp;"!A:A"),结果表!B20,INDIRECT("'"&amp;D4&amp;"'"&amp;"!B:B"))</f>
        <v>30103</v>
      </c>
      <c r="E20" s="1764"/>
      <c r="F20" s="1026" t="s">
        <v>1295</v>
      </c>
      <c r="G20" s="139">
        <f ca="1">ROUND(C20*$C$18+D20*$D$18,0)</f>
        <v>38286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0.45304678059727266</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29471</v>
      </c>
      <c r="D32" s="1775" t="s">
        <v>3406</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5" t="s">
        <v>1326</v>
      </c>
      <c r="B45" s="3566"/>
      <c r="C45" s="3567"/>
      <c r="D45" s="155">
        <f ca="1">ROUND(H101*F45,0)</f>
        <v>29471</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6"/>
      <c r="I46" s="159"/>
      <c r="J46" s="2523">
        <v>1</v>
      </c>
      <c r="K46" s="3624" t="s">
        <v>1331</v>
      </c>
      <c r="L46" s="3624"/>
      <c r="M46" s="3644"/>
      <c r="N46" s="3644"/>
      <c r="O46" s="3644"/>
    </row>
    <row r="47" spans="1:15" ht="12" customHeight="1">
      <c r="A47" s="160" t="s">
        <v>1332</v>
      </c>
      <c r="B47" s="161"/>
      <c r="C47" s="162"/>
      <c r="D47" s="1087" t="s">
        <v>1333</v>
      </c>
      <c r="E47" s="302" t="s">
        <v>1334</v>
      </c>
      <c r="F47" s="163" t="s">
        <v>1335</v>
      </c>
      <c r="G47" s="2546" t="s">
        <v>1336</v>
      </c>
      <c r="H47" s="2547"/>
      <c r="I47" s="159"/>
      <c r="J47" s="2523">
        <v>2</v>
      </c>
      <c r="K47" s="3624" t="s">
        <v>1337</v>
      </c>
      <c r="L47" s="3624"/>
      <c r="M47" s="3645">
        <f>'数据-取费表'!B2</f>
        <v>45039</v>
      </c>
      <c r="N47" s="3645"/>
      <c r="O47" s="3645"/>
    </row>
    <row r="48" spans="1:15" ht="25.5">
      <c r="A48" s="3593" t="s">
        <v>1338</v>
      </c>
      <c r="B48" s="3576"/>
      <c r="C48" s="357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4" t="s">
        <v>1340</v>
      </c>
      <c r="L48" s="3624"/>
      <c r="M48" s="3646">
        <f ca="1">H101</f>
        <v>29471</v>
      </c>
      <c r="N48" s="3646"/>
      <c r="O48" s="3646"/>
    </row>
    <row r="49" spans="1:35" ht="25.5" customHeight="1">
      <c r="A49" s="2333" t="s">
        <v>1341</v>
      </c>
      <c r="B49" s="3560" t="s">
        <v>1342</v>
      </c>
      <c r="C49" s="3560"/>
      <c r="D49" s="1590">
        <v>0</v>
      </c>
      <c r="E49" s="324" t="s">
        <v>1343</v>
      </c>
      <c r="F49" s="2424" t="s">
        <v>28</v>
      </c>
      <c r="G49" s="3630"/>
      <c r="H49" s="2310" t="s">
        <v>2134</v>
      </c>
      <c r="I49" s="2311"/>
      <c r="J49" s="2523">
        <v>4</v>
      </c>
      <c r="K49" s="3624" t="str">
        <f>IF(项目基本情况!E8="房地产抵押价值","房地产抵押价值","抵押担保权已注销时的房地产抵押价值")</f>
        <v>房地产抵押价值</v>
      </c>
      <c r="L49" s="3624"/>
      <c r="M49" s="3646">
        <f ca="1">IF(项目基本情况!E8="房地产抵押价值",H107,H109)</f>
        <v>29471</v>
      </c>
      <c r="N49" s="3646"/>
      <c r="O49" s="3646"/>
    </row>
    <row r="50" spans="1:35" ht="25.5" customHeight="1">
      <c r="A50" s="2551"/>
      <c r="B50" s="3560" t="s">
        <v>1344</v>
      </c>
      <c r="C50" s="3560"/>
      <c r="D50" s="2552"/>
      <c r="E50" s="332"/>
      <c r="F50" s="2424"/>
      <c r="G50" s="3631"/>
      <c r="H50" s="2312" t="s">
        <v>2135</v>
      </c>
      <c r="I50" s="2311"/>
      <c r="J50" s="3643" t="s">
        <v>1345</v>
      </c>
      <c r="K50" s="3643"/>
      <c r="L50" s="3643"/>
      <c r="M50" s="3643"/>
      <c r="N50" s="3643"/>
      <c r="O50" s="3643"/>
    </row>
    <row r="51" spans="1:35" ht="20.45" customHeight="1">
      <c r="A51" s="2553"/>
      <c r="B51" s="3560" t="s">
        <v>1346</v>
      </c>
      <c r="C51" s="3560"/>
      <c r="D51" s="1087"/>
      <c r="E51" s="327"/>
      <c r="F51" s="2424"/>
      <c r="G51" s="3632"/>
      <c r="H51" s="2312" t="s">
        <v>2136</v>
      </c>
      <c r="I51" s="2311"/>
      <c r="J51" s="2524" t="s">
        <v>1347</v>
      </c>
      <c r="K51" s="3624" t="s">
        <v>1348</v>
      </c>
      <c r="L51" s="3624"/>
      <c r="M51" s="2524" t="s">
        <v>1349</v>
      </c>
      <c r="N51" s="2524" t="s">
        <v>1350</v>
      </c>
      <c r="O51" s="2524" t="s">
        <v>1351</v>
      </c>
    </row>
    <row r="52" spans="1:35" ht="24" customHeight="1">
      <c r="A52" s="2335" t="s">
        <v>1352</v>
      </c>
      <c r="B52" s="3560" t="s">
        <v>1353</v>
      </c>
      <c r="C52" s="3560"/>
      <c r="D52" s="1087">
        <f ca="1">ROUND(D45*'数据-取费表'!B41/(1+'数据-取费表'!C42),0)</f>
        <v>1572</v>
      </c>
      <c r="E52" s="2334" t="s">
        <v>1354</v>
      </c>
      <c r="F52" s="2554">
        <f>'数据-取费表'!B41</f>
        <v>5.6000000000000001E-2</v>
      </c>
      <c r="G52" s="2555"/>
      <c r="H52" s="2544"/>
      <c r="I52" s="1807"/>
      <c r="J52" s="2523">
        <v>1</v>
      </c>
      <c r="K52" s="3625" t="s">
        <v>1355</v>
      </c>
      <c r="L52" s="3625"/>
      <c r="M52" s="2525" t="b">
        <f>D48</f>
        <v>0</v>
      </c>
      <c r="N52" s="2523" t="str">
        <f>E48</f>
        <v>销售额×税（费）率</v>
      </c>
      <c r="O52" s="2526">
        <f>F48</f>
        <v>5.6000000000000001E-2</v>
      </c>
    </row>
    <row r="53" spans="1:35" ht="12" customHeight="1">
      <c r="A53" s="2335" t="s">
        <v>1356</v>
      </c>
      <c r="B53" s="3586" t="s">
        <v>2291</v>
      </c>
      <c r="C53" s="3587"/>
      <c r="D53" s="1087">
        <f ca="1">ROUND(D45*'数据-取费表'!B41/(1+'数据-取费表'!C42),0)</f>
        <v>1572</v>
      </c>
      <c r="E53" s="2334" t="s">
        <v>1354</v>
      </c>
      <c r="F53" s="2554">
        <f>'数据-取费表'!B41</f>
        <v>5.6000000000000001E-2</v>
      </c>
      <c r="G53" s="2555"/>
      <c r="H53" s="2544"/>
      <c r="I53" s="1807"/>
      <c r="J53" s="2523">
        <v>2</v>
      </c>
      <c r="K53" s="3625" t="s">
        <v>1357</v>
      </c>
      <c r="L53" s="3625"/>
      <c r="M53" s="2525">
        <f t="shared" ref="M53:O54" ca="1" si="0">D55</f>
        <v>15</v>
      </c>
      <c r="N53" s="2523" t="str">
        <f t="shared" si="0"/>
        <v>销售额×税（费）率</v>
      </c>
      <c r="O53" s="2526" t="str">
        <f t="shared" si="0"/>
        <v>免征</v>
      </c>
    </row>
    <row r="54" spans="1:35" ht="12" customHeight="1">
      <c r="A54" s="2335" t="s">
        <v>1358</v>
      </c>
      <c r="B54" s="3586" t="s">
        <v>2292</v>
      </c>
      <c r="C54" s="3587"/>
      <c r="D54" s="1087">
        <f ca="1">C68</f>
        <v>1572</v>
      </c>
      <c r="E54" s="327" t="s">
        <v>1359</v>
      </c>
      <c r="F54" s="2554">
        <f>'数据-取费表'!B41</f>
        <v>5.6000000000000001E-2</v>
      </c>
      <c r="G54" s="2555"/>
      <c r="H54" s="2556"/>
      <c r="I54" s="1807"/>
      <c r="J54" s="2523">
        <v>3</v>
      </c>
      <c r="K54" s="3625" t="s">
        <v>1360</v>
      </c>
      <c r="L54" s="3625"/>
      <c r="M54" s="2525">
        <f t="shared" ca="1" si="0"/>
        <v>16681</v>
      </c>
      <c r="N54" s="2523" t="str">
        <f t="shared" si="0"/>
        <v>增值额×税（费）率</v>
      </c>
      <c r="O54" s="2527" t="str">
        <f t="shared" si="0"/>
        <v>免征</v>
      </c>
    </row>
    <row r="55" spans="1:35" ht="24" customHeight="1">
      <c r="A55" s="3575" t="s">
        <v>1361</v>
      </c>
      <c r="B55" s="3576"/>
      <c r="C55" s="3576"/>
      <c r="D55" s="2324">
        <f ca="1">IF(H55="个人住宅",0,ROUND(D45*I55,0))</f>
        <v>15</v>
      </c>
      <c r="E55" s="2334" t="s">
        <v>1362</v>
      </c>
      <c r="F55" s="2554" t="str">
        <f>IF(H55="正常",I55,"免征")</f>
        <v>免征</v>
      </c>
      <c r="G55" s="2555"/>
      <c r="H55" s="2550"/>
      <c r="I55" s="165">
        <f>'数据-取费表'!B49</f>
        <v>5.0000000000000001E-4</v>
      </c>
      <c r="J55" s="2523">
        <f>IF(H59="非个人房产","",4)</f>
        <v>4</v>
      </c>
      <c r="K55" s="3625" t="str">
        <f>IF(H59="非个人房产","——","个人所得税")</f>
        <v>个人所得税</v>
      </c>
      <c r="L55" s="3625"/>
      <c r="M55" s="2528">
        <f ca="1">D59</f>
        <v>281</v>
      </c>
      <c r="N55" s="2040" t="str">
        <f>E59</f>
        <v>差额计税</v>
      </c>
      <c r="O55" s="2529">
        <f>F59</f>
        <v>0.01</v>
      </c>
    </row>
    <row r="56" spans="1:35" ht="24.75">
      <c r="A56" s="3575" t="s">
        <v>1363</v>
      </c>
      <c r="B56" s="3576"/>
      <c r="C56" s="3576"/>
      <c r="D56" s="2324">
        <f ca="1">IF(H56="个人住宅",D57,D58)</f>
        <v>16681</v>
      </c>
      <c r="E56" s="2334" t="s">
        <v>1364</v>
      </c>
      <c r="F56" s="2554" t="str">
        <f>IF(H56="正常",F58,"免征")</f>
        <v>免征</v>
      </c>
      <c r="G56" s="2557" t="s">
        <v>1365</v>
      </c>
      <c r="H56" s="2558"/>
      <c r="I56" s="1808"/>
      <c r="J56" s="2523" t="str">
        <f>IF(项目基本情况!K6="上海银行",IF(J55="",4,J55+1),"")</f>
        <v/>
      </c>
      <c r="K56" s="3648" t="str">
        <f>IF(项目基本情况!K6="上海银行","其他处置费用","")</f>
        <v/>
      </c>
      <c r="L56" s="3649"/>
      <c r="M56" s="2525" t="str">
        <f>IF(项目基本情况!K6="上海银行",M69,"")</f>
        <v/>
      </c>
      <c r="N56" s="3648" t="str">
        <f>IF(项目基本情况!K6="上海银行","包含处置中涉及的律师、诉讼、拍卖、评估等费用","")</f>
        <v/>
      </c>
      <c r="O56" s="3651"/>
    </row>
    <row r="57" spans="1:35" ht="12.75">
      <c r="A57" s="2335" t="s">
        <v>1341</v>
      </c>
      <c r="B57" s="3586" t="s">
        <v>1366</v>
      </c>
      <c r="C57" s="3587"/>
      <c r="D57" s="1590">
        <v>0</v>
      </c>
      <c r="E57" s="324" t="s">
        <v>1343</v>
      </c>
      <c r="F57" s="302"/>
      <c r="G57" s="2555"/>
      <c r="H57" s="2559"/>
      <c r="I57" s="1808"/>
      <c r="J57" s="3625">
        <f>IF(AND(J55="",J56=""),4,IF(项目基本情况!K6="上海银行",结果表!J56+1,结果表!J55+1))</f>
        <v>5</v>
      </c>
      <c r="K57" s="3625" t="s">
        <v>1367</v>
      </c>
      <c r="L57" s="2530" t="s">
        <v>1368</v>
      </c>
      <c r="M57" s="2531"/>
      <c r="N57" s="2532">
        <f ca="1">SUMIF(M52:M56,"&lt;9e307")</f>
        <v>16977</v>
      </c>
      <c r="O57" s="2533"/>
      <c r="P57" s="2690">
        <f ca="1">N57/M49</f>
        <v>0.57605781955142343</v>
      </c>
    </row>
    <row r="58" spans="1:35" ht="24.75">
      <c r="A58" s="2335" t="s">
        <v>1352</v>
      </c>
      <c r="B58" s="3586" t="s">
        <v>1369</v>
      </c>
      <c r="C58" s="3560"/>
      <c r="D58" s="2324">
        <f ca="1">IF(H58="转让取得",C81,C97)</f>
        <v>16681</v>
      </c>
      <c r="E58" s="2334" t="s">
        <v>1364</v>
      </c>
      <c r="F58" s="302" t="s">
        <v>28</v>
      </c>
      <c r="G58" s="2555"/>
      <c r="H58" s="2558"/>
      <c r="I58" s="1808"/>
      <c r="J58" s="3625"/>
      <c r="K58" s="3625"/>
      <c r="L58" s="2530" t="s">
        <v>1370</v>
      </c>
      <c r="M58" s="2534"/>
      <c r="N58" s="2535" t="str">
        <f ca="1">NUMBERSTRING(INT(N57*10000),2)&amp;"元整"</f>
        <v>壹亿陆仟玖佰柒拾柒万元整</v>
      </c>
      <c r="O58" s="2536"/>
    </row>
    <row r="59" spans="1:35" ht="24.75" thickBot="1">
      <c r="A59" s="3628" t="s">
        <v>1371</v>
      </c>
      <c r="B59" s="3629"/>
      <c r="C59" s="3629"/>
      <c r="D59" s="2560">
        <f ca="1">IF(H59="非个人房产","——",IF(H59="个人住宅（满五唯一有凭证）",0,IF(H59="个人其他（无凭证）",ROUND(D45*F59,0),ROUND(C67*F59,0))))</f>
        <v>281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6">
        <f>J57+1</f>
        <v>6</v>
      </c>
      <c r="K59" s="3625" t="s">
        <v>1372</v>
      </c>
      <c r="L59" s="2523" t="s">
        <v>1368</v>
      </c>
      <c r="M59" s="2537"/>
      <c r="N59" s="2538">
        <f ca="1">M49-N57</f>
        <v>12494</v>
      </c>
      <c r="O59" s="2539"/>
    </row>
    <row r="60" spans="1:35" ht="12" customHeight="1">
      <c r="A60" s="1809"/>
      <c r="B60" s="1747"/>
      <c r="C60" s="1747"/>
      <c r="D60" s="1747"/>
      <c r="E60" s="1578"/>
      <c r="F60" s="1808"/>
      <c r="G60" s="1808"/>
      <c r="H60" s="1810"/>
      <c r="I60" s="129"/>
      <c r="J60" s="3627"/>
      <c r="K60" s="3625"/>
      <c r="L60" s="2530" t="s">
        <v>1370</v>
      </c>
      <c r="M60" s="2534"/>
      <c r="N60" s="2535" t="str">
        <f ca="1">NUMBERSTRING(INT(N59*10000),2)&amp;"元整"</f>
        <v>壹亿贰仟肆佰玖拾肆万元整</v>
      </c>
      <c r="O60" s="2536"/>
    </row>
    <row r="61" spans="1:35" ht="13.5" thickBot="1">
      <c r="A61" s="3573" t="s">
        <v>1373</v>
      </c>
      <c r="B61" s="3573"/>
      <c r="C61" s="3573"/>
      <c r="D61" s="3573"/>
      <c r="E61" s="3573"/>
      <c r="F61" s="1808"/>
      <c r="G61" s="1808"/>
      <c r="H61" s="1810"/>
      <c r="I61" s="129"/>
      <c r="J61" s="2523">
        <f>J59+1</f>
        <v>7</v>
      </c>
      <c r="K61" s="3625" t="s">
        <v>1374</v>
      </c>
      <c r="L61" s="3625"/>
      <c r="M61" s="2540"/>
      <c r="N61" s="2541">
        <f ca="1">ROUND(N59*10000/'数据-汇总表'!E3,0)</f>
        <v>15257</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28068</v>
      </c>
      <c r="D63" s="167"/>
      <c r="E63" s="168"/>
      <c r="F63" s="1808"/>
      <c r="G63" s="1808"/>
      <c r="H63" s="1810"/>
      <c r="I63" s="129"/>
      <c r="J63" s="3650" t="s">
        <v>1379</v>
      </c>
      <c r="K63" s="1332" t="s">
        <v>1380</v>
      </c>
      <c r="L63" s="1332">
        <f ca="1">IF(M49&gt;10000,M49*0.5%,IF(AND(M49&gt;1000,M49&lt;=10000),M49*1%,IF(AND(M49&gt;100,M49&lt;=1000),M49*3%,IF(AND(M49&gt;10,M49&lt;=100),M49*5%,M49*8%))))</f>
        <v>147.35499999999999</v>
      </c>
      <c r="M63" s="302">
        <f ca="1">ROUND(L63,1)</f>
        <v>147.4</v>
      </c>
      <c r="N63" s="2543"/>
      <c r="Z63" s="1752"/>
      <c r="AI63" s="1753"/>
    </row>
    <row r="64" spans="1:35" ht="14.25" customHeight="1">
      <c r="A64" s="169" t="s">
        <v>325</v>
      </c>
      <c r="B64" s="170" t="s">
        <v>1381</v>
      </c>
      <c r="C64" s="2565">
        <f ca="1">D45</f>
        <v>29471</v>
      </c>
      <c r="D64" s="170" t="s">
        <v>26</v>
      </c>
      <c r="E64" s="172"/>
      <c r="F64" s="1808"/>
      <c r="G64" s="1808"/>
      <c r="H64" s="1810"/>
      <c r="I64" s="129"/>
      <c r="J64" s="3650"/>
      <c r="K64" s="1332" t="s">
        <v>1382</v>
      </c>
      <c r="L64" s="1332">
        <f ca="1">IF(M49&gt;2000,M49*0.5%,IF(AND(M49&gt;1000,M49&lt;=2000),M49*0.6%,IF(AND(M49&gt;500,M49&lt;=1000),M49*0.7%,IF(AND(M49&gt;200,M49&lt;=500),M49*0.8%,IF(AND(M49&gt;100,M49&lt;=200),M49*0.9%,IF(AND(M49&gt;50,M49&lt;=100),M49*1%,IF(AND(M49&gt;20,M49&lt;=50),M49*1.5%,IF(AND(M49&gt;10,M49&lt;=20),M49*2%,IF(AND(M49&gt;1,M49&lt;=10),M49*2.5%)))))))))</f>
        <v>147.35499999999999</v>
      </c>
      <c r="M64" s="302">
        <f t="shared" ref="M64:M65" ca="1" si="1">ROUND(L64,1)</f>
        <v>147.4</v>
      </c>
      <c r="N64" s="2544" t="s">
        <v>1383</v>
      </c>
      <c r="Z64" s="1752"/>
      <c r="AI64" s="1753"/>
    </row>
    <row r="65" spans="1:35" ht="14.25" customHeight="1">
      <c r="A65" s="169" t="s">
        <v>326</v>
      </c>
      <c r="B65" s="170" t="s">
        <v>1384</v>
      </c>
      <c r="C65" s="2566"/>
      <c r="D65" s="170"/>
      <c r="E65" s="172"/>
      <c r="F65" s="1808"/>
      <c r="G65" s="1808"/>
      <c r="H65" s="1810"/>
      <c r="I65" s="129"/>
      <c r="J65" s="3650"/>
      <c r="K65" s="1332" t="s">
        <v>1385</v>
      </c>
      <c r="L65" s="1332">
        <f ca="1">IF(M49&gt;1000,M49*0.1%,IF(AND(M49&gt;500,M49&lt;=1000),M49*0.5%,IF(AND(M49&gt;50,M49&lt;=500),M49*1%,IF(AND(M49&gt;1,M49&lt;=50),M49*1.5%))))</f>
        <v>29.471</v>
      </c>
      <c r="M65" s="302">
        <f t="shared" ca="1" si="1"/>
        <v>29.5</v>
      </c>
      <c r="N65" s="2544" t="s">
        <v>1383</v>
      </c>
      <c r="Z65" s="1752"/>
      <c r="AI65" s="1753"/>
    </row>
    <row r="66" spans="1:35" ht="14.25" customHeight="1">
      <c r="A66" s="173" t="s">
        <v>327</v>
      </c>
      <c r="B66" s="174" t="s">
        <v>1386</v>
      </c>
      <c r="C66" s="2567"/>
      <c r="D66" s="174" t="s">
        <v>26</v>
      </c>
      <c r="E66" s="1338" t="s">
        <v>671</v>
      </c>
      <c r="F66" s="1808"/>
      <c r="G66" s="1808"/>
      <c r="H66" s="1810"/>
      <c r="I66" s="129"/>
      <c r="J66" s="3650"/>
      <c r="K66" s="1332" t="s">
        <v>1387</v>
      </c>
      <c r="L66" s="1332">
        <f ca="1">M49*0.5%</f>
        <v>147.35499999999999</v>
      </c>
      <c r="M66" s="302">
        <f ca="1">IF(L66&gt;0.5,0.5,ROUND(L66,0))</f>
        <v>0.5</v>
      </c>
      <c r="N66" s="2544" t="s">
        <v>1388</v>
      </c>
      <c r="Z66" s="1752"/>
      <c r="AI66" s="1753"/>
    </row>
    <row r="67" spans="1:35" ht="14.25" customHeight="1">
      <c r="A67" s="173" t="s">
        <v>328</v>
      </c>
      <c r="B67" s="174" t="s">
        <v>1389</v>
      </c>
      <c r="C67" s="2568">
        <f ca="1">C63-C66</f>
        <v>28068</v>
      </c>
      <c r="D67" s="170" t="s">
        <v>26</v>
      </c>
      <c r="E67" s="172"/>
      <c r="F67" s="1808"/>
      <c r="G67" s="1808"/>
      <c r="H67" s="1810"/>
      <c r="I67" s="129"/>
      <c r="J67" s="3650"/>
      <c r="K67" s="1332" t="s">
        <v>1390</v>
      </c>
      <c r="L67" s="1332">
        <f ca="1">IF(M49&gt;=10000,(8.25+(M49-10000)*0.01%),IF(AND(M49&gt;=8000,M49&lt;10000),(7.85+(M49-8000)*0.02%),IF(AND(M49&gt;=5000,M49&lt;8000),(6.65+(M49-5000)*0.04%),IF(AND(M49&gt;=2000,M49&lt;5000),(4.25+(PM49-2000)*0.08%),IF(AND(M49&gt;=1000,M49&lt;2000),(2.75+(M49-1000)*0.15%),IF(AND(M49&gt;=100,M49&lt;1000),(0.5+(M49-100)*0.25%),IF(AND(M49&gt;0,M49&lt;100),M49*0.5%)))))))</f>
        <v>10.197100000000001</v>
      </c>
      <c r="M67" s="302">
        <f ca="1">ROUND(L67*0.9,1)</f>
        <v>9.1999999999999993</v>
      </c>
      <c r="N67" s="2543"/>
      <c r="Z67" s="1752"/>
      <c r="AI67" s="1753"/>
    </row>
    <row r="68" spans="1:35" ht="14.25" customHeight="1" thickBot="1">
      <c r="A68" s="176" t="s">
        <v>329</v>
      </c>
      <c r="B68" s="177" t="s">
        <v>1391</v>
      </c>
      <c r="C68" s="2569">
        <f ca="1">IF(C67&lt;=0,0,ROUND(C67*D68,0))</f>
        <v>1572</v>
      </c>
      <c r="D68" s="2570">
        <f>'数据-取费表'!B41</f>
        <v>5.6000000000000001E-2</v>
      </c>
      <c r="E68" s="178"/>
      <c r="F68" s="1808"/>
      <c r="G68" s="1808"/>
      <c r="H68" s="1810"/>
      <c r="I68" s="129"/>
      <c r="J68" s="3650"/>
      <c r="K68" s="1332" t="s">
        <v>1392</v>
      </c>
      <c r="L68" s="1332">
        <f ca="1">IF(M49&gt;10000,M49*0.5%,IF(AND(M49&gt;5000,M49&lt;=10000),M49*1%,IF(AND(M49&gt;1000,M49&lt;=5000),M49*2%,IF(AND(M49&gt;200,M49&lt;=1000),M49*3%,M49*5%))))</f>
        <v>147.35499999999999</v>
      </c>
      <c r="M68" s="302">
        <f ca="1">ROUND(L68,1)</f>
        <v>147.4</v>
      </c>
      <c r="N68" s="2543"/>
      <c r="Z68" s="1752"/>
      <c r="AI68" s="1753"/>
    </row>
    <row r="69" spans="1:35" s="1772" customFormat="1" ht="16.5" customHeight="1">
      <c r="A69" s="1811"/>
      <c r="B69" s="1812"/>
      <c r="C69" s="1813"/>
      <c r="D69" s="1814"/>
      <c r="E69" s="1815"/>
      <c r="F69" s="1578"/>
      <c r="G69" s="1578"/>
      <c r="H69" s="1577"/>
      <c r="I69" s="1747"/>
      <c r="J69" s="3650"/>
      <c r="K69" s="1332" t="s">
        <v>1393</v>
      </c>
      <c r="L69" s="1332"/>
      <c r="M69" s="302">
        <f ca="1">ROUND(SUM(M63:M68),0)</f>
        <v>481</v>
      </c>
      <c r="N69" s="2545">
        <f ca="1">M69/M49</f>
        <v>1.6321129245699163E-2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28068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168</v>
      </c>
      <c r="D78" s="2577">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27900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16681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28068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2" t="s">
        <v>2129</v>
      </c>
      <c r="H90" s="36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0" t="s">
        <v>1422</v>
      </c>
      <c r="F92" s="3571"/>
      <c r="G92" s="3571"/>
      <c r="H92" s="358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168</v>
      </c>
      <c r="D93" s="2577">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27900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166.07142857142858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16681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5" t="str">
        <f>C4</f>
        <v>比较法-办公</v>
      </c>
      <c r="D101" s="2586" t="str">
        <f>D4</f>
        <v>收益法</v>
      </c>
      <c r="E101" s="3647" t="s">
        <v>1431</v>
      </c>
      <c r="F101" s="3604"/>
      <c r="G101" s="1827" t="s">
        <v>1432</v>
      </c>
      <c r="H101" s="2595">
        <f ca="1">H118</f>
        <v>29471</v>
      </c>
      <c r="I101" s="129"/>
    </row>
    <row r="102" spans="1:35" ht="18.75" customHeight="1">
      <c r="A102" s="3606" t="s">
        <v>1433</v>
      </c>
      <c r="B102" s="2584" t="s">
        <v>1432</v>
      </c>
      <c r="C102" s="2585">
        <f ca="1">IF(D32="楼面单价",ROUND(C19,0),C19)</f>
        <v>33670</v>
      </c>
      <c r="D102" s="2586">
        <f ca="1">IF(D32="楼面单价",ROUND(D19,0),D19)</f>
        <v>23172</v>
      </c>
      <c r="E102" s="3647"/>
      <c r="F102" s="3604"/>
      <c r="G102" s="1827" t="s">
        <v>1434</v>
      </c>
      <c r="H102" s="2555">
        <f ca="1">I118</f>
        <v>38286</v>
      </c>
      <c r="I102" s="129"/>
    </row>
    <row r="103" spans="1:35" ht="42.75" customHeight="1">
      <c r="A103" s="3606"/>
      <c r="B103" s="2584" t="s">
        <v>1434</v>
      </c>
      <c r="C103" s="2587">
        <f ca="1">C20</f>
        <v>43741</v>
      </c>
      <c r="D103" s="2588">
        <f ca="1">D20</f>
        <v>30103</v>
      </c>
      <c r="E103" s="3641" t="s">
        <v>1435</v>
      </c>
      <c r="F103" s="3642"/>
      <c r="G103" s="1828" t="s">
        <v>1436</v>
      </c>
      <c r="H103" s="2595">
        <f>IF(D36="正常操作",H104+H105+H106,H105+H106)</f>
        <v>0</v>
      </c>
      <c r="I103" s="129"/>
    </row>
    <row r="104" spans="1:35" ht="18.75" customHeight="1">
      <c r="A104" s="3606" t="s">
        <v>1437</v>
      </c>
      <c r="B104" s="2589" t="s">
        <v>1432</v>
      </c>
      <c r="C104" s="2590">
        <f ca="1">H118</f>
        <v>29471</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f ca="1">I118</f>
        <v>38286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604"/>
      <c r="G107" s="1827" t="s">
        <v>1432</v>
      </c>
      <c r="H107" s="2595">
        <f ca="1">IF(E107="——","——",H101-H103)</f>
        <v>29471</v>
      </c>
      <c r="I107" s="129"/>
    </row>
    <row r="108" spans="1:35" ht="18.75" customHeight="1">
      <c r="A108" s="129"/>
      <c r="B108" s="129"/>
      <c r="C108" s="129"/>
      <c r="D108" s="129"/>
      <c r="E108" s="3603"/>
      <c r="F108" s="3604"/>
      <c r="G108" s="1827" t="s">
        <v>1434</v>
      </c>
      <c r="H108" s="2555">
        <f ca="1">IF(H107=H101,H102,ROUND(H107*10000/'数据-汇总表'!E3,0))</f>
        <v>38286</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8" t="str">
        <f>IF(E109="——","——",H101-H105-H106)</f>
        <v>——</v>
      </c>
      <c r="I109" s="129"/>
    </row>
    <row r="110" spans="1:35" ht="18.75" customHeight="1">
      <c r="A110" s="129"/>
      <c r="B110" s="129"/>
      <c r="C110" s="129"/>
      <c r="D110" s="129"/>
      <c r="E110" s="3603"/>
      <c r="F110" s="3604"/>
      <c r="G110" s="1827" t="s">
        <v>1434</v>
      </c>
      <c r="H110" s="2555"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5" t="str">
        <f>IF(E111="——","——",N59)</f>
        <v>——</v>
      </c>
      <c r="I111" s="129"/>
    </row>
    <row r="112" spans="1:35" ht="18.75" customHeight="1" thickBot="1">
      <c r="A112" s="129"/>
      <c r="B112" s="129"/>
      <c r="C112" s="129"/>
      <c r="D112" s="129"/>
      <c r="E112" s="3636"/>
      <c r="F112" s="3637"/>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7697.5300000000016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29471</v>
      </c>
      <c r="I118" s="2329">
        <f ca="1">ROUND(IF(D32="楼面单价",C32,H118*10000/B118),0)</f>
        <v>38286</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贰亿玖仟肆佰柒拾壹万元整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29471</v>
      </c>
      <c r="E122" s="3639"/>
      <c r="F122" s="3639"/>
      <c r="G122" s="3639"/>
      <c r="H122" s="3639"/>
      <c r="I122" s="3640"/>
      <c r="AA122" s="725"/>
    </row>
    <row r="123" spans="1:27" ht="18.75" customHeight="1">
      <c r="A123" s="3574" t="s">
        <v>1452</v>
      </c>
      <c r="B123" s="3574"/>
      <c r="C123" s="3574"/>
      <c r="D123" s="3614" t="str">
        <f ca="1">NUMBERSTRING(INT(D122*10000),2)&amp;"元整"</f>
        <v>贰亿玖仟肆佰柒拾壹万元整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C49" sqref="C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33670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43741</v>
      </c>
      <c r="C3" s="354" t="s">
        <v>1768</v>
      </c>
      <c r="D3" s="353">
        <f>IF(D1="",'数据-汇总表'!E3,SUMIF('数据-汇总表'!$C19:$C33,D1,'数据-汇总表'!$E19:$E33))</f>
        <v>7697.5300000000016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676" t="s">
        <v>1775</v>
      </c>
      <c r="Q4" s="3677"/>
      <c r="R4" s="3682" t="s">
        <v>1771</v>
      </c>
      <c r="S4" s="3683"/>
      <c r="T4" s="3682" t="s">
        <v>1772</v>
      </c>
      <c r="U4" s="3683"/>
      <c r="V4" s="3688" t="s">
        <v>1773</v>
      </c>
      <c r="W4" s="3688"/>
      <c r="X4" s="1958"/>
      <c r="Y4" s="3682" t="s">
        <v>1775</v>
      </c>
      <c r="Z4" s="3683"/>
      <c r="AA4" s="3701" t="s">
        <v>1771</v>
      </c>
      <c r="AB4" s="3701" t="s">
        <v>1772</v>
      </c>
      <c r="AC4" s="3669" t="s">
        <v>1773</v>
      </c>
    </row>
    <row r="5" spans="1:29" ht="15">
      <c r="A5" s="358"/>
      <c r="B5" s="359"/>
      <c r="C5" s="3698" t="s">
        <v>1673</v>
      </c>
      <c r="D5" s="3693"/>
      <c r="E5" s="3704" t="s">
        <v>3407</v>
      </c>
      <c r="F5" s="3705"/>
      <c r="G5" s="3692" t="s">
        <v>3408</v>
      </c>
      <c r="H5" s="3693"/>
      <c r="I5" s="3692" t="s">
        <v>3409</v>
      </c>
      <c r="J5" s="3693"/>
      <c r="K5" s="559"/>
      <c r="L5" s="2715"/>
      <c r="M5" s="2716"/>
      <c r="N5" s="2716"/>
      <c r="O5" s="2716"/>
      <c r="P5" s="3678"/>
      <c r="Q5" s="3679"/>
      <c r="R5" s="3684"/>
      <c r="S5" s="3685"/>
      <c r="T5" s="3684"/>
      <c r="U5" s="3685"/>
      <c r="V5" s="3689"/>
      <c r="W5" s="3689"/>
      <c r="X5" s="1355"/>
      <c r="Y5" s="3684"/>
      <c r="Z5" s="3685"/>
      <c r="AA5" s="3702"/>
      <c r="AB5" s="3702"/>
      <c r="AC5" s="3670"/>
    </row>
    <row r="6" spans="1:29" ht="15.75" thickBot="1">
      <c r="A6" s="360"/>
      <c r="B6" s="361"/>
      <c r="C6" s="3690" t="s">
        <v>1677</v>
      </c>
      <c r="D6" s="3691"/>
      <c r="E6" s="3699" t="s">
        <v>1677</v>
      </c>
      <c r="F6" s="3700"/>
      <c r="G6" s="3690" t="s">
        <v>1677</v>
      </c>
      <c r="H6" s="3691"/>
      <c r="I6" s="3690" t="s">
        <v>1677</v>
      </c>
      <c r="J6" s="3691"/>
      <c r="K6" s="559" t="s">
        <v>1678</v>
      </c>
      <c r="L6" s="2715"/>
      <c r="M6" s="2716"/>
      <c r="N6" s="2716"/>
      <c r="O6" s="2716"/>
      <c r="P6" s="3680"/>
      <c r="Q6" s="3681"/>
      <c r="R6" s="3684"/>
      <c r="S6" s="3685"/>
      <c r="T6" s="3686"/>
      <c r="U6" s="3687"/>
      <c r="V6" s="3689"/>
      <c r="W6" s="3689"/>
      <c r="X6" s="1355"/>
      <c r="Y6" s="3686"/>
      <c r="Z6" s="3687"/>
      <c r="AA6" s="3703"/>
      <c r="AB6" s="3703"/>
      <c r="AC6" s="3671"/>
    </row>
    <row r="7" spans="1:29" s="108" customFormat="1" ht="15.75" thickBot="1">
      <c r="A7" s="362" t="s">
        <v>1679</v>
      </c>
      <c r="B7" s="363"/>
      <c r="C7" s="364">
        <f>'数据-取费表'!B2</f>
        <v>45039</v>
      </c>
      <c r="D7" s="365">
        <v>100</v>
      </c>
      <c r="E7" s="366">
        <f>C7</f>
        <v>45039</v>
      </c>
      <c r="F7" s="367">
        <f>SUMIF(59:59,YEAR(E7)&amp;"-"&amp;MONTH(E7),60:60)</f>
        <v>100</v>
      </c>
      <c r="G7" s="366">
        <f>C7</f>
        <v>45039</v>
      </c>
      <c r="H7" s="365">
        <f>SUMIF(59:59,YEAR(G7)&amp;"-"&amp;MONTH(G7),60:60)</f>
        <v>100</v>
      </c>
      <c r="I7" s="366">
        <f>C7</f>
        <v>45039</v>
      </c>
      <c r="J7" s="365">
        <f>SUMIF(59:59,YEAR(I7)&amp;"-"&amp;MONTH(I7),60:60)</f>
        <v>100</v>
      </c>
      <c r="K7" s="560"/>
      <c r="L7" s="2717"/>
      <c r="M7" s="2718"/>
      <c r="N7" s="2718"/>
      <c r="O7" s="2718"/>
      <c r="P7" s="3694" t="s">
        <v>1680</v>
      </c>
      <c r="Q7" s="3697"/>
      <c r="R7" s="701" t="s">
        <v>14</v>
      </c>
      <c r="S7" s="702">
        <f t="shared" ref="S7:S15" si="0">F7</f>
        <v>100</v>
      </c>
      <c r="T7" s="701" t="s">
        <v>14</v>
      </c>
      <c r="U7" s="702">
        <f t="shared" ref="U7:U15" si="1">H7</f>
        <v>100</v>
      </c>
      <c r="V7" s="701" t="s">
        <v>14</v>
      </c>
      <c r="W7" s="702">
        <f t="shared" ref="W7:W15" si="2">J7</f>
        <v>100</v>
      </c>
      <c r="X7" s="703"/>
      <c r="Y7" s="3696" t="s">
        <v>1680</v>
      </c>
      <c r="Z7" s="3695"/>
      <c r="AA7" s="704">
        <f>D7/F7</f>
        <v>1</v>
      </c>
      <c r="AB7" s="704">
        <f>D7/H7</f>
        <v>1</v>
      </c>
      <c r="AC7" s="1959">
        <f>D7/J7</f>
        <v>1</v>
      </c>
    </row>
    <row r="8" spans="1:29" s="108" customFormat="1" ht="15.75" thickBot="1">
      <c r="A8" s="362" t="s">
        <v>1681</v>
      </c>
      <c r="B8" s="363"/>
      <c r="C8" s="368" t="s">
        <v>3410</v>
      </c>
      <c r="D8" s="365">
        <v>100</v>
      </c>
      <c r="E8" s="368" t="s">
        <v>3410</v>
      </c>
      <c r="F8" s="367">
        <f>SUMIF(62:62,E8,63:63)-SUMIF(62:62,C8,63:63)+100</f>
        <v>100</v>
      </c>
      <c r="G8" s="368" t="s">
        <v>3410</v>
      </c>
      <c r="H8" s="365">
        <f>SUMIF(62:62,G8,63:63)-SUMIF(62:62,C8,63:63)+100</f>
        <v>100</v>
      </c>
      <c r="I8" s="368" t="s">
        <v>3410</v>
      </c>
      <c r="J8" s="365">
        <f>SUMIF(62:62,I8,63:63)-SUMIF(62:62,C8,63:63)+100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6" t="s">
        <v>1683</v>
      </c>
      <c r="Z8" s="3695"/>
      <c r="AA8" s="704">
        <f t="shared" ref="AA8:AA47" si="3">D8/F8</f>
        <v>1</v>
      </c>
      <c r="AB8" s="704">
        <f t="shared" ref="AB8:AB47" si="4">D8/H8</f>
        <v>1</v>
      </c>
      <c r="AC8" s="1959">
        <f t="shared" ref="AC8:AC47" si="5">D8/J8</f>
        <v>1</v>
      </c>
    </row>
    <row r="9" spans="1:29" s="108" customFormat="1">
      <c r="A9" s="369" t="s">
        <v>1684</v>
      </c>
      <c r="B9" s="63" t="s">
        <v>1685</v>
      </c>
      <c r="C9" s="3467"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4"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42.59</v>
      </c>
      <c r="D10" s="127">
        <v>100</v>
      </c>
      <c r="E10" s="3434">
        <v>50</v>
      </c>
      <c r="F10" s="127">
        <f>SUMIF(66:66,E10,67:67)-SUMIF(66:66,C10,67:67)+100</f>
        <v>100</v>
      </c>
      <c r="G10" s="3435">
        <v>50</v>
      </c>
      <c r="H10" s="127">
        <f>SUMIF(66:66,G10,67:67)-SUMIF(66:66,C10,67:67)+100</f>
        <v>100</v>
      </c>
      <c r="I10" s="3434">
        <v>50</v>
      </c>
      <c r="J10" s="127">
        <f>SUMIF(66:66,I10,67:67)-SUMIF(66:66,C10,67:67)+100</f>
        <v>100</v>
      </c>
      <c r="K10" s="560"/>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4"/>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4"/>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4"/>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4"/>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105</v>
      </c>
      <c r="G15" s="393"/>
      <c r="H15" s="392">
        <f>SUMIF(77:77,G16,78:78)-SUMIF(77:77,C16,78:78)+100</f>
        <v>105</v>
      </c>
      <c r="I15" s="393"/>
      <c r="J15" s="392">
        <f>SUMIF(77:77,I16,78:78)-SUMIF(77:77,C16,78:78)+100</f>
        <v>100</v>
      </c>
      <c r="K15" s="563">
        <v>5</v>
      </c>
      <c r="L15" s="2722"/>
      <c r="M15" s="2716"/>
      <c r="N15" s="2716"/>
      <c r="O15" s="2716"/>
      <c r="P15" s="3660" t="s">
        <v>1691</v>
      </c>
      <c r="Q15" s="1352" t="str">
        <f t="shared" si="6"/>
        <v>办公集聚程度</v>
      </c>
      <c r="R15" s="705" t="s">
        <v>14</v>
      </c>
      <c r="S15" s="706">
        <f t="shared" si="0"/>
        <v>105</v>
      </c>
      <c r="T15" s="705" t="s">
        <v>14</v>
      </c>
      <c r="U15" s="706">
        <f t="shared" si="1"/>
        <v>105</v>
      </c>
      <c r="V15" s="705" t="s">
        <v>14</v>
      </c>
      <c r="W15" s="706">
        <f t="shared" si="2"/>
        <v>100</v>
      </c>
      <c r="X15" s="1355"/>
      <c r="Y15" s="3662" t="s">
        <v>1691</v>
      </c>
      <c r="Z15" s="1356" t="str">
        <f t="shared" si="7"/>
        <v>办公集聚程度</v>
      </c>
      <c r="AA15" s="1353">
        <f t="shared" si="3"/>
        <v>0.95238095238095233</v>
      </c>
      <c r="AB15" s="1353">
        <f t="shared" si="4"/>
        <v>0.95238095238095233</v>
      </c>
      <c r="AC15" s="1962">
        <f t="shared" si="5"/>
        <v>1</v>
      </c>
    </row>
    <row r="16" spans="1:29" ht="15">
      <c r="A16" s="379"/>
      <c r="B16" s="578"/>
      <c r="C16" s="1904" t="s">
        <v>3398</v>
      </c>
      <c r="D16" s="399"/>
      <c r="E16" s="398" t="s">
        <v>3399</v>
      </c>
      <c r="F16" s="399"/>
      <c r="G16" s="398" t="s">
        <v>3399</v>
      </c>
      <c r="H16" s="401"/>
      <c r="I16" s="398" t="s">
        <v>3398</v>
      </c>
      <c r="J16" s="399"/>
      <c r="K16" s="564"/>
      <c r="L16" s="2722"/>
      <c r="M16" s="2716"/>
      <c r="N16" s="2716"/>
      <c r="O16" s="2716"/>
      <c r="P16" s="3661"/>
      <c r="Q16" s="1352"/>
      <c r="R16" s="705"/>
      <c r="S16" s="706"/>
      <c r="T16" s="705"/>
      <c r="U16" s="706"/>
      <c r="V16" s="705"/>
      <c r="W16" s="706"/>
      <c r="X16" s="1355"/>
      <c r="Y16" s="366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105</v>
      </c>
      <c r="G17" s="403"/>
      <c r="H17" s="406">
        <f>SUMIF(79:79,G18,80:80)-SUMIF(79:79,C18,80:80)+100</f>
        <v>105</v>
      </c>
      <c r="I17" s="403"/>
      <c r="J17" s="406">
        <f>SUMIF(79:79,I18,80:80)-SUMIF(79:79,C18,80:80)+100</f>
        <v>100</v>
      </c>
      <c r="K17" s="563">
        <v>5</v>
      </c>
      <c r="L17" s="2722"/>
      <c r="M17" s="2716"/>
      <c r="N17" s="2716"/>
      <c r="O17" s="2716"/>
      <c r="P17" s="3661"/>
      <c r="Q17" s="1352" t="str">
        <f>B17</f>
        <v>交通便捷度</v>
      </c>
      <c r="R17" s="705" t="s">
        <v>14</v>
      </c>
      <c r="S17" s="706">
        <f>F17</f>
        <v>105</v>
      </c>
      <c r="T17" s="705" t="s">
        <v>14</v>
      </c>
      <c r="U17" s="706">
        <f>H17</f>
        <v>105</v>
      </c>
      <c r="V17" s="705" t="s">
        <v>14</v>
      </c>
      <c r="W17" s="706">
        <f>J17</f>
        <v>100</v>
      </c>
      <c r="X17" s="1355"/>
      <c r="Y17" s="3663"/>
      <c r="Z17" s="1356" t="str">
        <f>Q17</f>
        <v>交通便捷度</v>
      </c>
      <c r="AA17" s="1353">
        <f t="shared" si="3"/>
        <v>0.95238095238095233</v>
      </c>
      <c r="AB17" s="1353">
        <f t="shared" si="4"/>
        <v>0.95238095238095233</v>
      </c>
      <c r="AC17" s="1962">
        <f t="shared" si="5"/>
        <v>1</v>
      </c>
    </row>
    <row r="18" spans="1:29" ht="15">
      <c r="A18" s="379"/>
      <c r="B18" s="580"/>
      <c r="C18" s="1964" t="s">
        <v>3398</v>
      </c>
      <c r="D18" s="401"/>
      <c r="E18" s="1902" t="s">
        <v>3399</v>
      </c>
      <c r="F18" s="401"/>
      <c r="G18" s="1902" t="s">
        <v>3399</v>
      </c>
      <c r="H18" s="399"/>
      <c r="I18" s="1903" t="s">
        <v>3398</v>
      </c>
      <c r="J18" s="399"/>
      <c r="K18" s="564"/>
      <c r="L18" s="2722"/>
      <c r="M18" s="2716"/>
      <c r="N18" s="2716"/>
      <c r="O18" s="2716"/>
      <c r="P18" s="3661"/>
      <c r="Q18" s="1352"/>
      <c r="R18" s="705"/>
      <c r="S18" s="706"/>
      <c r="T18" s="705"/>
      <c r="U18" s="706"/>
      <c r="V18" s="705"/>
      <c r="W18" s="706"/>
      <c r="X18" s="1355"/>
      <c r="Y18" s="366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61"/>
      <c r="Q20" s="1352"/>
      <c r="R20" s="705"/>
      <c r="S20" s="706"/>
      <c r="T20" s="705"/>
      <c r="U20" s="706"/>
      <c r="V20" s="705"/>
      <c r="W20" s="706"/>
      <c r="X20" s="1355"/>
      <c r="Y20" s="366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61"/>
      <c r="Q22" s="1352"/>
      <c r="R22" s="705"/>
      <c r="S22" s="706"/>
      <c r="T22" s="705"/>
      <c r="U22" s="706"/>
      <c r="V22" s="705"/>
      <c r="W22" s="706"/>
      <c r="X22" s="1355"/>
      <c r="Y22" s="366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2">
        <f t="shared" si="5"/>
        <v>1</v>
      </c>
    </row>
    <row r="24" spans="1:29" ht="15.75" thickBot="1">
      <c r="A24" s="379"/>
      <c r="B24" s="581"/>
      <c r="C24" s="1904" t="s">
        <v>3399</v>
      </c>
      <c r="D24" s="399"/>
      <c r="E24" s="1904" t="s">
        <v>3399</v>
      </c>
      <c r="F24" s="399"/>
      <c r="G24" s="1904" t="s">
        <v>3399</v>
      </c>
      <c r="H24" s="399"/>
      <c r="I24" s="1904" t="s">
        <v>3399</v>
      </c>
      <c r="J24" s="399"/>
      <c r="K24" s="564"/>
      <c r="L24" s="2722"/>
      <c r="M24" s="2716"/>
      <c r="N24" s="2716"/>
      <c r="O24" s="2716"/>
      <c r="P24" s="3661"/>
      <c r="Q24" s="1352"/>
      <c r="R24" s="705"/>
      <c r="S24" s="706"/>
      <c r="T24" s="705"/>
      <c r="U24" s="706"/>
      <c r="V24" s="705"/>
      <c r="W24" s="706"/>
      <c r="X24" s="1355"/>
      <c r="Y24" s="3663"/>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61"/>
      <c r="Q26" s="1352"/>
      <c r="R26" s="705"/>
      <c r="S26" s="706"/>
      <c r="T26" s="705"/>
      <c r="U26" s="706"/>
      <c r="V26" s="705"/>
      <c r="W26" s="706"/>
      <c r="X26" s="1355"/>
      <c r="Y26" s="3663"/>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64" t="s">
        <v>1696</v>
      </c>
      <c r="Q33" s="1352" t="str">
        <f t="shared" si="11"/>
        <v>建筑类型</v>
      </c>
      <c r="R33" s="705" t="s">
        <v>14</v>
      </c>
      <c r="S33" s="706">
        <f t="shared" si="12"/>
        <v>100</v>
      </c>
      <c r="T33" s="705" t="s">
        <v>14</v>
      </c>
      <c r="U33" s="706">
        <f t="shared" si="13"/>
        <v>100</v>
      </c>
      <c r="V33" s="705" t="s">
        <v>14</v>
      </c>
      <c r="W33" s="706">
        <f t="shared" si="14"/>
        <v>100</v>
      </c>
      <c r="X33" s="1355"/>
      <c r="Y33" s="3667" t="s">
        <v>1696</v>
      </c>
      <c r="Z33" s="1356" t="str">
        <f t="shared" si="15"/>
        <v>建筑类型</v>
      </c>
      <c r="AA33" s="1353">
        <f t="shared" si="3"/>
        <v>1</v>
      </c>
      <c r="AB33" s="1353">
        <f t="shared" si="4"/>
        <v>1</v>
      </c>
      <c r="AC33" s="1962">
        <f t="shared" si="5"/>
        <v>1</v>
      </c>
    </row>
    <row r="34" spans="1:29" s="422" customFormat="1" ht="15">
      <c r="A34" s="419"/>
      <c r="B34" s="375" t="s">
        <v>1697</v>
      </c>
      <c r="C34" s="420">
        <v>156477</v>
      </c>
      <c r="D34" s="127">
        <v>100</v>
      </c>
      <c r="E34" s="381">
        <v>220000</v>
      </c>
      <c r="F34" s="376">
        <f>LOOKUP(E34,104:104,105:105)-LOOKUP(C34,104:104,105:105)+100</f>
        <v>101</v>
      </c>
      <c r="G34" s="380">
        <v>156683</v>
      </c>
      <c r="H34" s="127">
        <f>LOOKUP(G34,104:104,105:105)-LOOKUP(C34,104:104,105:105)+100</f>
        <v>100</v>
      </c>
      <c r="I34" s="380">
        <v>156477</v>
      </c>
      <c r="J34" s="127">
        <f>LOOKUP(I34,104:104,105:105)-LOOKUP(C34,104:104,105:105)+100</f>
        <v>100</v>
      </c>
      <c r="K34" s="562"/>
      <c r="L34" s="2721"/>
      <c r="M34" s="2723"/>
      <c r="N34" s="2723"/>
      <c r="O34" s="2723"/>
      <c r="P34" s="3665"/>
      <c r="Q34" s="707" t="str">
        <f t="shared" si="11"/>
        <v>项目建筑规模</v>
      </c>
      <c r="R34" s="708" t="s">
        <v>14</v>
      </c>
      <c r="S34" s="709">
        <f t="shared" si="12"/>
        <v>101</v>
      </c>
      <c r="T34" s="708" t="s">
        <v>14</v>
      </c>
      <c r="U34" s="709">
        <f t="shared" si="13"/>
        <v>100</v>
      </c>
      <c r="V34" s="708" t="s">
        <v>14</v>
      </c>
      <c r="W34" s="709">
        <f t="shared" si="14"/>
        <v>100</v>
      </c>
      <c r="X34" s="710"/>
      <c r="Y34" s="3667"/>
      <c r="Z34" s="711" t="str">
        <f t="shared" si="15"/>
        <v>项目建筑规模</v>
      </c>
      <c r="AA34" s="1353">
        <f t="shared" si="3"/>
        <v>0.99009900990099009</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1</v>
      </c>
      <c r="L35" s="2722"/>
      <c r="M35" s="2716"/>
      <c r="N35" s="2716"/>
      <c r="O35" s="2716"/>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2">
        <f t="shared" si="5"/>
        <v>1</v>
      </c>
    </row>
    <row r="37" spans="1:29" ht="15">
      <c r="A37" s="423"/>
      <c r="B37" s="375" t="s">
        <v>1786</v>
      </c>
      <c r="C37" s="425">
        <f>'数据-取费表'!N6</f>
        <v>0.95</v>
      </c>
      <c r="D37" s="386">
        <v>100</v>
      </c>
      <c r="E37" s="425">
        <v>0.95</v>
      </c>
      <c r="F37" s="412">
        <f>LOOKUP(E37,111:111,112:112)-LOOKUP(C37,111:111,112:112)+100</f>
        <v>100</v>
      </c>
      <c r="G37" s="425">
        <v>0.95</v>
      </c>
      <c r="H37" s="412">
        <f>LOOKUP(G37,111:111,112:112)-LOOKUP(C37,111:111,112:112)+100</f>
        <v>100</v>
      </c>
      <c r="I37" s="425">
        <v>0.95</v>
      </c>
      <c r="J37" s="386">
        <f>LOOKUP(I37,111:111,112:112)-LOOKUP(C37,111:111,112:112)+100</f>
        <v>100</v>
      </c>
      <c r="K37" s="561">
        <v>1</v>
      </c>
      <c r="L37" s="2722"/>
      <c r="M37" s="2716"/>
      <c r="N37" s="2716"/>
      <c r="O37" s="2716"/>
      <c r="P37" s="3665"/>
      <c r="Q37" s="1352" t="str">
        <f t="shared" si="11"/>
        <v>成新度</v>
      </c>
      <c r="R37" s="705" t="s">
        <v>14</v>
      </c>
      <c r="S37" s="706">
        <f t="shared" si="12"/>
        <v>100</v>
      </c>
      <c r="T37" s="705" t="s">
        <v>14</v>
      </c>
      <c r="U37" s="706">
        <f t="shared" si="13"/>
        <v>100</v>
      </c>
      <c r="V37" s="705" t="s">
        <v>14</v>
      </c>
      <c r="W37" s="706">
        <f t="shared" si="14"/>
        <v>100</v>
      </c>
      <c r="X37" s="1355"/>
      <c r="Y37" s="366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2"/>
      <c r="M39" s="2716"/>
      <c r="N39" s="2716"/>
      <c r="O39" s="2716"/>
      <c r="P39" s="3665" t="s">
        <v>1696</v>
      </c>
      <c r="Q39" s="1352" t="str">
        <f t="shared" si="11"/>
        <v>物业管理</v>
      </c>
      <c r="R39" s="705" t="s">
        <v>14</v>
      </c>
      <c r="S39" s="706">
        <f t="shared" si="12"/>
        <v>100</v>
      </c>
      <c r="T39" s="705" t="s">
        <v>14</v>
      </c>
      <c r="U39" s="706">
        <f t="shared" si="13"/>
        <v>100</v>
      </c>
      <c r="V39" s="705" t="s">
        <v>14</v>
      </c>
      <c r="W39" s="706">
        <f t="shared" si="14"/>
        <v>100</v>
      </c>
      <c r="X39" s="1355"/>
      <c r="Y39" s="366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3420</v>
      </c>
      <c r="F43" s="412">
        <f>SUMIF(123:123,E43,124:124)-SUMIF(123:123,C43,124:124)+100</f>
        <v>98.5</v>
      </c>
      <c r="G43" s="411" t="s">
        <v>3420</v>
      </c>
      <c r="H43" s="386">
        <f>SUMIF(123:123,G43,124:124)-SUMIF(123:123,C43,124:124)+100</f>
        <v>98.5</v>
      </c>
      <c r="I43" s="411" t="s">
        <v>3420</v>
      </c>
      <c r="J43" s="386">
        <f>SUMIF(123:123,I43,124:124)-SUMIF(123:123,C43,124:124)+100</f>
        <v>98.5</v>
      </c>
      <c r="K43" s="561">
        <v>0.5</v>
      </c>
      <c r="L43" s="2722"/>
      <c r="M43" s="2716"/>
      <c r="N43" s="2716"/>
      <c r="O43" s="2716"/>
      <c r="P43" s="3665"/>
      <c r="Q43" s="1352" t="str">
        <f t="shared" si="11"/>
        <v>内部装修</v>
      </c>
      <c r="R43" s="705" t="s">
        <v>14</v>
      </c>
      <c r="S43" s="706">
        <f t="shared" si="12"/>
        <v>98.5</v>
      </c>
      <c r="T43" s="705" t="s">
        <v>14</v>
      </c>
      <c r="U43" s="706">
        <f t="shared" si="13"/>
        <v>98.5</v>
      </c>
      <c r="V43" s="705" t="s">
        <v>14</v>
      </c>
      <c r="W43" s="706">
        <f t="shared" si="14"/>
        <v>98.5</v>
      </c>
      <c r="X43" s="1355"/>
      <c r="Y43" s="3667"/>
      <c r="Z43" s="1356" t="str">
        <f t="shared" si="15"/>
        <v>内部装修</v>
      </c>
      <c r="AA43" s="1353">
        <f t="shared" si="3"/>
        <v>1.015228426395939</v>
      </c>
      <c r="AB43" s="1353">
        <f t="shared" si="4"/>
        <v>1.015228426395939</v>
      </c>
      <c r="AC43" s="1962">
        <f t="shared" si="5"/>
        <v>1.015228426395939</v>
      </c>
    </row>
    <row r="44" spans="1:29" ht="15.75" thickBot="1">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22"/>
      <c r="M44" s="2716"/>
      <c r="N44" s="2716"/>
      <c r="O44" s="2716"/>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2">
        <f t="shared" si="5"/>
        <v>1</v>
      </c>
    </row>
    <row r="48" spans="1:29" ht="15">
      <c r="A48" s="430" t="s">
        <v>1708</v>
      </c>
      <c r="B48" s="431"/>
      <c r="C48" s="1154" t="s">
        <v>0</v>
      </c>
      <c r="D48" s="1155"/>
      <c r="E48" s="1156">
        <v>50000</v>
      </c>
      <c r="F48" s="1157"/>
      <c r="G48" s="1158">
        <v>50000</v>
      </c>
      <c r="H48" s="1159"/>
      <c r="I48" s="1156">
        <v>39000</v>
      </c>
      <c r="J48" s="436"/>
      <c r="K48" s="714"/>
      <c r="L48" s="2724"/>
      <c r="M48" s="2716"/>
      <c r="N48" s="2716"/>
      <c r="O48" s="2716"/>
      <c r="P48" s="3654" t="str">
        <f>A48</f>
        <v>成交单价（元/平方米）</v>
      </c>
      <c r="Q48" s="3655"/>
      <c r="R48" s="3656">
        <f>E48</f>
        <v>50000</v>
      </c>
      <c r="S48" s="3656"/>
      <c r="T48" s="3656">
        <f>G48</f>
        <v>50000</v>
      </c>
      <c r="U48" s="3656"/>
      <c r="V48" s="3656">
        <f>I48</f>
        <v>39000</v>
      </c>
      <c r="W48" s="3656"/>
      <c r="X48" s="397"/>
      <c r="Y48" s="712"/>
      <c r="Z48" s="397"/>
      <c r="AA48" s="397"/>
      <c r="AB48" s="397"/>
      <c r="AC48" s="578"/>
    </row>
    <row r="49" spans="1:29" ht="15.75" thickBot="1">
      <c r="A49" s="437" t="s">
        <v>1793</v>
      </c>
      <c r="B49" s="438"/>
      <c r="C49" s="1160">
        <f>R50</f>
        <v>43741</v>
      </c>
      <c r="D49" s="2317" t="s">
        <v>2138</v>
      </c>
      <c r="E49" s="1161">
        <f>R49</f>
        <v>45586</v>
      </c>
      <c r="F49" s="2318"/>
      <c r="G49" s="1160">
        <f>T49</f>
        <v>46042</v>
      </c>
      <c r="H49" s="2318"/>
      <c r="I49" s="1161">
        <f>V49</f>
        <v>39594</v>
      </c>
      <c r="J49" s="2318"/>
      <c r="K49" s="2320">
        <f>F49+H49+J49</f>
        <v>0</v>
      </c>
      <c r="L49" s="2724"/>
      <c r="M49" s="2716"/>
      <c r="N49" s="2716"/>
      <c r="O49" s="2716"/>
      <c r="P49" s="3654" t="str">
        <f>A49</f>
        <v>比较价值（元/平方米）</v>
      </c>
      <c r="Q49" s="3655"/>
      <c r="R49" s="3656">
        <f>IF(F1="售价",ROUND(PRODUCT(R48,AA7:AA47),0),ROUND(PRODUCT(R48,AA7:AA47),1))</f>
        <v>45586</v>
      </c>
      <c r="S49" s="3656"/>
      <c r="T49" s="3656">
        <f>IF(F1="售价",ROUND(PRODUCT(T48,AB7:AB47),0),ROUND(PRODUCT(T48,AB7:AB47),1))</f>
        <v>46042</v>
      </c>
      <c r="U49" s="3656"/>
      <c r="V49" s="3656">
        <f>IF(F1="售价",ROUND(PRODUCT(V48,AC7:AC47),0),ROUND(PRODUCT(V48,AC7:AC47),1))</f>
        <v>39594</v>
      </c>
      <c r="W49" s="3656"/>
      <c r="X49" s="397"/>
      <c r="Y49" s="397"/>
      <c r="Z49" s="397"/>
      <c r="AA49" s="397"/>
      <c r="AB49" s="397"/>
      <c r="AC49" s="578"/>
    </row>
    <row r="50" spans="1:29" ht="15.75" thickBot="1">
      <c r="A50" s="441" t="s">
        <v>1794</v>
      </c>
      <c r="B50" s="442"/>
      <c r="C50" s="1163">
        <f>R50</f>
        <v>43741</v>
      </c>
      <c r="D50" s="1163"/>
      <c r="E50" s="1163"/>
      <c r="F50" s="1163"/>
      <c r="G50" s="1163"/>
      <c r="H50" s="1163"/>
      <c r="I50" s="1163"/>
      <c r="J50" s="443"/>
      <c r="K50" s="715"/>
      <c r="L50" s="2724"/>
      <c r="M50" s="2716"/>
      <c r="N50" s="2716"/>
      <c r="O50" s="2716"/>
      <c r="P50" s="3657" t="str">
        <f>A50</f>
        <v>估价对象XX用房的比较价值（楼面单价，元/平方米）</v>
      </c>
      <c r="Q50" s="3658"/>
      <c r="R50" s="3659">
        <f>IF(F1="售价",ROUND(IF(D49="简单平均",AVERAGE(R49:V49),R49*F49+T49*H49+V49*J49),0),ROUND(IF(D49="简单平均",AVERAGE(R49:V49),R49*F49+T49*H49+V49*J49),1))</f>
        <v>43741</v>
      </c>
      <c r="S50" s="3659"/>
      <c r="T50" s="3659"/>
      <c r="U50" s="3659"/>
      <c r="V50" s="3659"/>
      <c r="W50" s="365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9.68279735006361E-2</v>
      </c>
      <c r="F53" s="449" t="str">
        <f>IF(OR(E53&gt;=0.3,E53&lt;=-0.3),"超过30%","")</f>
        <v/>
      </c>
      <c r="G53" s="448">
        <f>IF(G48&lt;G49,G49/G48-1,G48/G49-1)</f>
        <v>8.596498848877121E-2</v>
      </c>
      <c r="H53" s="449" t="str">
        <f>IF(OR(G53&gt;=0.3,G53&lt;=-0.3),"超过30%","")</f>
        <v/>
      </c>
      <c r="I53" s="448">
        <f>IF(I48&lt;I49,I49/I48-1,I48/I49-1)</f>
        <v>1.5230769230769159E-2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1.0003071118325879E-2</v>
      </c>
      <c r="F54" s="449" t="str">
        <f>IF(OR(E54&gt;=0.2,E54&lt;=-0.2),"超过20%","")</f>
        <v/>
      </c>
      <c r="G54" s="448">
        <f>IF(G49&lt;I49,I49/G49-1,G49/I49-1)</f>
        <v>0.16285295751881601</v>
      </c>
      <c r="H54" s="449" t="str">
        <f>IF(OR(G54&gt;=0.2,G54&lt;=-0.2),"超过20%","")</f>
        <v/>
      </c>
      <c r="I54" s="448">
        <f>IF(I49&lt;E49,E49/I49-1,I49/E49-1)</f>
        <v>0.15133606101934638</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0.28205128205128216</v>
      </c>
      <c r="H55" s="449" t="str">
        <f>IF(OR(G55&gt;=0.3,G55&lt;=-0.3),"超过30%","")</f>
        <v/>
      </c>
      <c r="I55" s="448">
        <f>IF(I48&lt;E48,E48/I48-1,I48/E48-1)</f>
        <v>0.28205128205128216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95</v>
      </c>
      <c r="E80" s="493">
        <f>D80-$K17</f>
        <v>90</v>
      </c>
      <c r="F80" s="493">
        <f>E80-$K17</f>
        <v>85</v>
      </c>
      <c r="G80" s="493">
        <f>F80-$K17</f>
        <v>80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8"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0(含)-200000</v>
      </c>
      <c r="D103" s="527" t="str">
        <f t="shared" ref="D103:L103" si="23">D104&amp;"(含)"&amp;"-"&amp;E104</f>
        <v>200000(含)-400000</v>
      </c>
      <c r="E103" s="527" t="str">
        <f t="shared" si="23"/>
        <v>400000(含)-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200000</v>
      </c>
      <c r="E104" s="544">
        <v>400000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101</v>
      </c>
      <c r="E105" s="485">
        <v>102</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9"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9" t="s">
        <v>3419</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9" t="s">
        <v>3417</v>
      </c>
      <c r="D123" s="3469" t="s">
        <v>3422</v>
      </c>
      <c r="E123" s="3469" t="s">
        <v>3423</v>
      </c>
      <c r="F123" s="3470" t="s">
        <v>3421</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99.5</v>
      </c>
      <c r="E124" s="493">
        <f t="shared" si="30"/>
        <v>99</v>
      </c>
      <c r="F124" s="493">
        <f t="shared" si="30"/>
        <v>98.5</v>
      </c>
      <c r="G124" s="493">
        <f t="shared" si="30"/>
        <v>98</v>
      </c>
      <c r="H124" s="493">
        <f t="shared" si="30"/>
        <v>97.5</v>
      </c>
      <c r="I124" s="493">
        <f t="shared" si="30"/>
        <v>97</v>
      </c>
      <c r="J124" s="493">
        <f t="shared" si="30"/>
        <v>96.5</v>
      </c>
      <c r="K124" s="493">
        <f t="shared" si="30"/>
        <v>96</v>
      </c>
      <c r="L124" s="493">
        <f t="shared" si="30"/>
        <v>95.5</v>
      </c>
      <c r="M124" s="494">
        <f t="shared" si="30"/>
        <v>95</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42.59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23172</v>
      </c>
      <c r="C2" s="1387" t="s">
        <v>805</v>
      </c>
      <c r="D2" s="1387"/>
      <c r="E2" s="1388"/>
      <c r="F2" s="1389"/>
      <c r="G2" s="2706"/>
      <c r="H2" s="2695"/>
      <c r="I2" s="2695"/>
      <c r="J2" s="2695"/>
      <c r="K2" s="2696"/>
      <c r="L2" s="2695"/>
      <c r="M2" s="2695"/>
    </row>
    <row r="3" spans="1:37" ht="18" customHeight="1" thickBot="1">
      <c r="A3" s="1390" t="s">
        <v>806</v>
      </c>
      <c r="B3" s="1391">
        <f ca="1">IF(ISERROR(B2*10000/F43),0,ROUND(B2*10000/F43,0))</f>
        <v>30103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1216</v>
      </c>
      <c r="D5" s="1364" t="s">
        <v>693</v>
      </c>
      <c r="E5" s="1071"/>
      <c r="F5" s="1072"/>
      <c r="G5" s="1384"/>
      <c r="H5" s="299">
        <v>1</v>
      </c>
      <c r="I5" s="300" t="s">
        <v>692</v>
      </c>
      <c r="J5" s="1070">
        <f ca="1">J6+J10+J12</f>
        <v>0</v>
      </c>
      <c r="K5" s="1364" t="s">
        <v>693</v>
      </c>
      <c r="L5" s="1071"/>
      <c r="M5" s="1072"/>
    </row>
    <row r="6" spans="1:37" ht="18" customHeight="1">
      <c r="A6" s="1069" t="s">
        <v>398</v>
      </c>
      <c r="B6" s="3708" t="s">
        <v>694</v>
      </c>
      <c r="C6" s="1074">
        <f ca="1">ROUND(F6*F8*F7*(1-F9)/10000,0)</f>
        <v>1214</v>
      </c>
      <c r="D6" s="155" t="s">
        <v>2109</v>
      </c>
      <c r="E6" s="302" t="s">
        <v>696</v>
      </c>
      <c r="F6" s="303">
        <f ca="1">INDIRECT("'数据-取费表'!u"&amp;$G$1)</f>
        <v>4.8</v>
      </c>
      <c r="G6" s="1384"/>
      <c r="H6" s="1069" t="s">
        <v>398</v>
      </c>
      <c r="I6" s="3708" t="s">
        <v>694</v>
      </c>
      <c r="J6" s="301">
        <f ca="1">ROUND(M6*M8*M7*(1-M9)/10000,0)</f>
        <v>0</v>
      </c>
      <c r="K6" s="155" t="s">
        <v>2108</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7697.5300000000016</v>
      </c>
      <c r="G7" s="1384"/>
      <c r="H7" s="304"/>
      <c r="I7" s="3709"/>
      <c r="J7" s="306"/>
      <c r="K7" s="307"/>
      <c r="L7" s="302" t="s">
        <v>697</v>
      </c>
      <c r="M7" s="303">
        <f ca="1">F7</f>
        <v>7697.5300000000016</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4217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3079</v>
      </c>
      <c r="D14" s="1345" t="s">
        <v>708</v>
      </c>
      <c r="E14" s="1342"/>
      <c r="F14" s="319"/>
      <c r="G14" s="1384"/>
      <c r="H14" s="982" t="s">
        <v>398</v>
      </c>
      <c r="I14" s="302" t="s">
        <v>709</v>
      </c>
      <c r="J14" s="21">
        <f ca="1">C29</f>
        <v>4439</v>
      </c>
      <c r="K14" s="12"/>
      <c r="L14" s="807"/>
      <c r="M14" s="808"/>
    </row>
    <row r="15" spans="1:37" s="1397" customFormat="1" ht="18" customHeight="1" thickBot="1">
      <c r="A15" s="982" t="s">
        <v>399</v>
      </c>
      <c r="B15" s="302" t="s">
        <v>710</v>
      </c>
      <c r="C15" s="21">
        <f ca="1">ROUND(C14*F15,0)</f>
        <v>92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1088"/>
      <c r="M16" s="1072"/>
    </row>
    <row r="17" spans="1:37" s="1397" customFormat="1" ht="18" customHeight="1">
      <c r="A17" s="982" t="s">
        <v>681</v>
      </c>
      <c r="B17" s="302" t="s">
        <v>716</v>
      </c>
      <c r="C17" s="21">
        <f ca="1">ROUND(F17*(F43+INDIRECT("'数据-取费表'!S"&amp;$G$1))/10000,0)</f>
        <v>154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67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v>
      </c>
      <c r="K25" s="1095" t="s">
        <v>753</v>
      </c>
      <c r="L25" s="1096"/>
      <c r="M25" s="1097"/>
    </row>
    <row r="26" spans="1:37">
      <c r="A26" s="982" t="s">
        <v>397</v>
      </c>
      <c r="B26" s="302" t="s">
        <v>754</v>
      </c>
      <c r="C26" s="21">
        <f ca="1">ROUND((C19+C20)*F26,0)</f>
        <v>516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4439</v>
      </c>
      <c r="D29" s="1092"/>
      <c r="E29" s="1090"/>
      <c r="F29" s="1093"/>
      <c r="G29" s="1396"/>
      <c r="H29" s="334" t="s">
        <v>396</v>
      </c>
      <c r="I29" s="335" t="s">
        <v>768</v>
      </c>
      <c r="J29" s="336">
        <f ca="1">ROUND(J26/(1+F40)^F41,0)</f>
        <v>0</v>
      </c>
      <c r="K29" s="337" t="s">
        <v>769</v>
      </c>
      <c r="L29" s="338"/>
      <c r="M29" s="339">
        <f ca="1">INDIRECT("'数据-取费表'!k"&amp;$G$1)</f>
        <v>7697.5300000000016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203.49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64.75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138.74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22.2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4.22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6.08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980</v>
      </c>
      <c r="D39" s="1095" t="s">
        <v>773</v>
      </c>
      <c r="E39" s="1096"/>
      <c r="F39" s="1097"/>
      <c r="G39" s="1384"/>
      <c r="H39" s="2700">
        <f ca="1">C39/C5</f>
        <v>0.80592105263157898</v>
      </c>
      <c r="I39" s="1398"/>
      <c r="J39" s="1399"/>
      <c r="K39" s="2704"/>
      <c r="L39" s="2700"/>
      <c r="M39" s="2700"/>
    </row>
    <row r="40" spans="1:18" ht="18" customHeight="1">
      <c r="A40" s="299" t="s">
        <v>395</v>
      </c>
      <c r="B40" s="300" t="s">
        <v>774</v>
      </c>
      <c r="C40" s="301">
        <f ca="1">ROUND(C39*(1-((1+F42)/(1+F40))^F41)/(F40-F42),0)</f>
        <v>23105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30016</v>
      </c>
      <c r="D43" s="337" t="s">
        <v>777</v>
      </c>
      <c r="E43" s="338" t="s">
        <v>778</v>
      </c>
      <c r="F43" s="339">
        <f ca="1">INDIRECT("'数据-取费表'!k"&amp;$G$1)</f>
        <v>7697.5300000000016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-23529</v>
      </c>
      <c r="D46" s="1406" t="str">
        <f>C2</f>
        <v>万元</v>
      </c>
      <c r="E46" s="1400"/>
      <c r="F46" s="1400"/>
      <c r="I46" s="1407" t="s">
        <v>810</v>
      </c>
      <c r="J46" s="1408"/>
      <c r="K46" s="1409"/>
      <c r="L46" s="1410">
        <f ca="1">IF(M47="住宅",0,IF(L48&gt;J51,L60,J60))</f>
        <v>67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23105</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42.59</v>
      </c>
      <c r="O48" s="1418" t="s">
        <v>404</v>
      </c>
      <c r="P48" s="1419" t="s">
        <v>821</v>
      </c>
      <c r="Q48" s="1420">
        <f ca="1">J60</f>
        <v>67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4439</v>
      </c>
      <c r="R49" s="1420" t="s">
        <v>818</v>
      </c>
    </row>
    <row r="50" spans="1:18" s="1384" customFormat="1" ht="13.5" thickBot="1">
      <c r="A50" s="976"/>
      <c r="B50" s="979"/>
      <c r="C50" s="1118"/>
      <c r="D50" s="953"/>
      <c r="E50" s="1056" t="s">
        <v>697</v>
      </c>
      <c r="F50" s="1057">
        <f ca="1">F7</f>
        <v>7697.5300000000016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12452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42.59</v>
      </c>
      <c r="K53" s="3706" t="s">
        <v>837</v>
      </c>
      <c r="L53" s="3707"/>
      <c r="O53" s="1418" t="s">
        <v>409</v>
      </c>
      <c r="P53" s="1419" t="s">
        <v>838</v>
      </c>
      <c r="Q53" s="1420">
        <f ca="1">Q47+Q48</f>
        <v>23172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25.5" thickTop="1" thickBot="1">
      <c r="A56" s="957">
        <v>2</v>
      </c>
      <c r="B56" s="958" t="s">
        <v>704</v>
      </c>
      <c r="C56" s="232">
        <f ca="1">C13</f>
        <v>4217</v>
      </c>
      <c r="D56" s="1447"/>
      <c r="E56" s="1448"/>
      <c r="F56" s="1440"/>
      <c r="I56" s="1449" t="s">
        <v>842</v>
      </c>
      <c r="J56" s="1450" t="s">
        <v>3390</v>
      </c>
      <c r="K56" s="1421" t="s">
        <v>843</v>
      </c>
      <c r="L56" s="1424" t="str">
        <f ca="1">IF(L48&lt;J51,"——",L48-J53)</f>
        <v>——</v>
      </c>
      <c r="O56" s="1418" t="s">
        <v>403</v>
      </c>
      <c r="P56" s="1419" t="s">
        <v>817</v>
      </c>
      <c r="Q56" s="1420">
        <f ca="1">C40+J29</f>
        <v>23105</v>
      </c>
      <c r="R56" s="1420" t="s">
        <v>818</v>
      </c>
    </row>
    <row r="57" spans="1:18" s="1384" customFormat="1" ht="24.75" thickBot="1">
      <c r="A57" s="1451"/>
      <c r="B57" s="950" t="s">
        <v>767</v>
      </c>
      <c r="C57" s="238">
        <f ca="1">C29</f>
        <v>4439</v>
      </c>
      <c r="D57" s="1452"/>
      <c r="E57" s="1453"/>
      <c r="F57" s="1454"/>
      <c r="I57" s="1455" t="s">
        <v>844</v>
      </c>
      <c r="J57" s="1456">
        <f ca="1">IF(OR(M47="住宅",J51&lt;L48,J56="是"),"——",J51-L48)</f>
        <v>14.409999999999997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23105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4.22</v>
      </c>
      <c r="D65" s="964" t="s">
        <v>743</v>
      </c>
      <c r="E65" s="950" t="s">
        <v>744</v>
      </c>
      <c r="F65" s="330">
        <f t="shared" ca="1" si="0"/>
        <v>1E-3</v>
      </c>
      <c r="I65" s="1462" t="s">
        <v>867</v>
      </c>
      <c r="J65" s="1463">
        <v>40</v>
      </c>
      <c r="K65" s="1463">
        <v>30</v>
      </c>
      <c r="L65" s="1463">
        <v>50</v>
      </c>
      <c r="M65" s="1465">
        <v>0.02</v>
      </c>
      <c r="O65" s="1418" t="s">
        <v>403</v>
      </c>
      <c r="P65" s="1419" t="s">
        <v>868</v>
      </c>
      <c r="Q65" s="1420">
        <f ca="1">C40+J29</f>
        <v>23105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12452</v>
      </c>
      <c r="R67" s="1420" t="s">
        <v>870</v>
      </c>
    </row>
    <row r="68" spans="1:18" s="1384" customFormat="1" ht="16.5" thickBot="1">
      <c r="A68" s="947" t="s">
        <v>395</v>
      </c>
      <c r="B68" s="948" t="s">
        <v>774</v>
      </c>
      <c r="C68" s="301">
        <f ca="1">ROUND(C67*(1-((1+F70)/(1+F68))^F69)/(F68-F70),0)</f>
        <v>-424</v>
      </c>
      <c r="D68" s="965" t="s">
        <v>758</v>
      </c>
      <c r="E68" s="950" t="s">
        <v>759</v>
      </c>
      <c r="F68" s="312">
        <f ca="1">F40</f>
        <v>5.5E-2</v>
      </c>
      <c r="O68" s="1428" t="s">
        <v>406</v>
      </c>
      <c r="P68" s="1467" t="s">
        <v>871</v>
      </c>
      <c r="Q68" s="1420">
        <f ca="1">ROUND(Q69-Q70*Q71,0)</f>
        <v>664</v>
      </c>
      <c r="R68" s="1420" t="s">
        <v>414</v>
      </c>
    </row>
    <row r="69" spans="1:18" s="1384" customFormat="1" ht="13.5" thickBot="1">
      <c r="A69" s="951"/>
      <c r="B69" s="952"/>
      <c r="C69" s="306"/>
      <c r="D69" s="970" t="s">
        <v>762</v>
      </c>
      <c r="E69" s="950" t="s">
        <v>763</v>
      </c>
      <c r="F69" s="333">
        <f ca="1">F41</f>
        <v>42.59</v>
      </c>
      <c r="O69" s="1428" t="s">
        <v>411</v>
      </c>
      <c r="P69" s="1467" t="s">
        <v>872</v>
      </c>
      <c r="Q69" s="1420">
        <f ca="1">C39</f>
        <v>980</v>
      </c>
      <c r="R69" s="1420" t="s">
        <v>818</v>
      </c>
    </row>
    <row r="70" spans="1:18" s="1384" customFormat="1" ht="13.5" thickBot="1">
      <c r="A70" s="954"/>
      <c r="B70" s="955"/>
      <c r="C70" s="310"/>
      <c r="D70" s="966"/>
      <c r="E70" s="950" t="s">
        <v>766</v>
      </c>
      <c r="F70" s="1054"/>
      <c r="O70" s="1428" t="s">
        <v>412</v>
      </c>
      <c r="P70" s="1467" t="s">
        <v>873</v>
      </c>
      <c r="Q70" s="1420">
        <f ca="1">C13</f>
        <v>4217</v>
      </c>
      <c r="R70" s="1420" t="s">
        <v>818</v>
      </c>
    </row>
    <row r="71" spans="1:18" s="1384" customFormat="1" ht="13.5" thickBot="1">
      <c r="A71" s="971" t="s">
        <v>396</v>
      </c>
      <c r="B71" s="972" t="s">
        <v>776</v>
      </c>
      <c r="C71" s="336">
        <f ca="1">ROUND(C68*10000/F71,0)</f>
        <v>-551</v>
      </c>
      <c r="D71" s="973" t="s">
        <v>777</v>
      </c>
      <c r="E71" s="974" t="s">
        <v>778</v>
      </c>
      <c r="F71" s="339">
        <f ca="1">F43</f>
        <v>7697.5300000000016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316</v>
      </c>
      <c r="D75" s="1384"/>
      <c r="E75" s="1384"/>
      <c r="F75" s="1384"/>
      <c r="K75" s="1402"/>
      <c r="L75" s="1384"/>
      <c r="O75" s="1418" t="s">
        <v>409</v>
      </c>
      <c r="P75" s="1419" t="s">
        <v>838</v>
      </c>
      <c r="Q75" s="1420">
        <f ca="1">Q65+Q66</f>
        <v>23105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0.67799999999999994</v>
      </c>
    </row>
    <row r="80" spans="1:18">
      <c r="B80" s="340" t="s">
        <v>800</v>
      </c>
      <c r="C80" s="274">
        <f ca="1">ROUND(C75/C39,3)</f>
        <v>0.32200000000000001</v>
      </c>
    </row>
    <row r="81" spans="2:3">
      <c r="B81" s="270" t="s">
        <v>801</v>
      </c>
      <c r="C81" s="238"/>
    </row>
    <row r="82" spans="2:3">
      <c r="B82" s="273" t="s">
        <v>802</v>
      </c>
      <c r="C82" s="275">
        <f ca="1">1-C83</f>
        <v>0.81699999999999995</v>
      </c>
    </row>
    <row r="83" spans="2:3">
      <c r="B83" s="273" t="s">
        <v>803</v>
      </c>
      <c r="C83" s="274">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76" sqref="B76"/>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3339</v>
      </c>
      <c r="D1" s="1747"/>
      <c r="E1" s="1747"/>
      <c r="F1" s="1749" t="s">
        <v>1263</v>
      </c>
      <c r="G1" s="1561" t="s">
        <v>3424</v>
      </c>
      <c r="H1" s="1750" t="str">
        <f>IF(G1="现房","——","估价对象范围")</f>
        <v>——</v>
      </c>
      <c r="I1" s="1751"/>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3405</v>
      </c>
      <c r="D4" s="1756" t="s">
        <v>3404</v>
      </c>
      <c r="E4" s="3600" t="s">
        <v>1267</v>
      </c>
      <c r="F4" s="3601"/>
      <c r="G4" s="3601"/>
      <c r="H4" s="3601"/>
      <c r="I4" s="3602"/>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4</v>
      </c>
      <c r="D14" s="3597">
        <v>6</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4" t="s">
        <v>2131</v>
      </c>
      <c r="F18" s="3585"/>
      <c r="G18" s="3585"/>
      <c r="H18" s="3585"/>
      <c r="I18" s="3585"/>
      <c r="K18" s="302" t="s">
        <v>1289</v>
      </c>
      <c r="L18" s="302">
        <f>IF(C1="",'数据-汇总表'!E3,SUMIF(项目类型,C1,'数据-汇总表'!E17:E26)+SUMIF(项目类型,C1,'数据-汇总表'!I17:I26))</f>
        <v>491.39</v>
      </c>
      <c r="M18" s="302">
        <f>IF(C1="",'数据-汇总表'!E3,SUMIF(项目类型,C1,'数据-汇总表'!E17:E26))</f>
        <v>491.39</v>
      </c>
    </row>
    <row r="19" spans="1:36" ht="15">
      <c r="A19" s="1761" t="s">
        <v>1290</v>
      </c>
      <c r="B19" s="1762" t="s">
        <v>1291</v>
      </c>
      <c r="C19" s="134">
        <f ca="1">SUMIF(INDIRECT("'"&amp;C4&amp;"'"&amp;"!A:A"),'结果表(仓储)'!B19,INDIRECT("'"&amp;C4&amp;"'"&amp;"!B:B"))</f>
        <v>413.6748</v>
      </c>
      <c r="D19" s="135">
        <f ca="1">SUMIF(INDIRECT("'"&amp;D4&amp;"'"&amp;"!A:A"),'结果表(仓储)'!B19,INDIRECT("'"&amp;D4&amp;"'"&amp;"!B:B"))</f>
        <v>612.82690000000002</v>
      </c>
      <c r="E19" s="1761" t="s">
        <v>1292</v>
      </c>
      <c r="F19" s="1762" t="s">
        <v>1291</v>
      </c>
      <c r="G19" s="136">
        <f ca="1">ROUND(C19*$C$18+D19*$D$18,0)</f>
        <v>533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SUMIF(INDIRECT("'"&amp;C4&amp;"'"&amp;"!A:A"),'结果表(仓储)'!B20,INDIRECT("'"&amp;C4&amp;"'"&amp;"!B:B"))</f>
        <v>8418</v>
      </c>
      <c r="D20" s="138">
        <f ca="1">SUMIF(INDIRECT("'"&amp;D4&amp;"'"&amp;"!A:A"),'结果表(仓储)'!B20,INDIRECT("'"&amp;D4&amp;"'"&amp;"!B:B"))</f>
        <v>12471</v>
      </c>
      <c r="E20" s="1764"/>
      <c r="F20" s="1026" t="s">
        <v>1295</v>
      </c>
      <c r="G20" s="139">
        <f ca="1">ROUND(C20*$C$18+D20*$D$18,0)</f>
        <v>10850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0.48142188018221077</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533</v>
      </c>
      <c r="D32" s="1775" t="s">
        <v>3406</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5" t="s">
        <v>1326</v>
      </c>
      <c r="B45" s="3566"/>
      <c r="C45" s="3567"/>
      <c r="D45" s="155">
        <f ca="1">ROUND(H101*F45,0)</f>
        <v>533</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6"/>
      <c r="I46" s="159"/>
      <c r="J46" s="3455">
        <v>1</v>
      </c>
      <c r="K46" s="3624" t="s">
        <v>1331</v>
      </c>
      <c r="L46" s="3624"/>
      <c r="M46" s="3644"/>
      <c r="N46" s="3644"/>
      <c r="O46" s="3644"/>
    </row>
    <row r="47" spans="1:15" ht="12" customHeight="1">
      <c r="A47" s="160" t="s">
        <v>1332</v>
      </c>
      <c r="B47" s="161"/>
      <c r="C47" s="162"/>
      <c r="D47" s="1087" t="s">
        <v>1333</v>
      </c>
      <c r="E47" s="302" t="s">
        <v>1334</v>
      </c>
      <c r="F47" s="163" t="s">
        <v>1335</v>
      </c>
      <c r="G47" s="2546" t="s">
        <v>1336</v>
      </c>
      <c r="H47" s="2547"/>
      <c r="I47" s="159"/>
      <c r="J47" s="3455">
        <v>2</v>
      </c>
      <c r="K47" s="3624" t="s">
        <v>1337</v>
      </c>
      <c r="L47" s="3624"/>
      <c r="M47" s="3645">
        <f>'数据-取费表'!B2</f>
        <v>45039</v>
      </c>
      <c r="N47" s="3645"/>
      <c r="O47" s="3645"/>
    </row>
    <row r="48" spans="1:15" ht="25.5">
      <c r="A48" s="3593" t="s">
        <v>1338</v>
      </c>
      <c r="B48" s="3576"/>
      <c r="C48" s="3576"/>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624" t="s">
        <v>1340</v>
      </c>
      <c r="L48" s="3624"/>
      <c r="M48" s="3646">
        <f ca="1">H101</f>
        <v>533</v>
      </c>
      <c r="N48" s="3646"/>
      <c r="O48" s="3646"/>
    </row>
    <row r="49" spans="1:35" ht="25.5" customHeight="1">
      <c r="A49" s="3464" t="s">
        <v>1341</v>
      </c>
      <c r="B49" s="3560" t="s">
        <v>1342</v>
      </c>
      <c r="C49" s="3560"/>
      <c r="D49" s="1590">
        <v>0</v>
      </c>
      <c r="E49" s="324" t="s">
        <v>1343</v>
      </c>
      <c r="F49" s="3450" t="s">
        <v>28</v>
      </c>
      <c r="G49" s="3630"/>
      <c r="H49" s="2310" t="s">
        <v>2134</v>
      </c>
      <c r="I49" s="2311"/>
      <c r="J49" s="3455">
        <v>4</v>
      </c>
      <c r="K49" s="3624" t="str">
        <f>IF(项目基本情况!E8="房地产抵押价值","房地产抵押价值","抵押担保权已注销时的房地产抵押价值")</f>
        <v>房地产抵押价值</v>
      </c>
      <c r="L49" s="3624"/>
      <c r="M49" s="3646">
        <f ca="1">IF(项目基本情况!E8="房地产抵押价值",H107,H109)</f>
        <v>533</v>
      </c>
      <c r="N49" s="3646"/>
      <c r="O49" s="3646"/>
    </row>
    <row r="50" spans="1:35" ht="25.5" customHeight="1">
      <c r="A50" s="2551"/>
      <c r="B50" s="3560" t="s">
        <v>1344</v>
      </c>
      <c r="C50" s="3560"/>
      <c r="D50" s="2552"/>
      <c r="E50" s="332"/>
      <c r="F50" s="3450"/>
      <c r="G50" s="3631"/>
      <c r="H50" s="2312" t="s">
        <v>2135</v>
      </c>
      <c r="I50" s="2311"/>
      <c r="J50" s="3643" t="s">
        <v>1345</v>
      </c>
      <c r="K50" s="3643"/>
      <c r="L50" s="3643"/>
      <c r="M50" s="3643"/>
      <c r="N50" s="3643"/>
      <c r="O50" s="3643"/>
    </row>
    <row r="51" spans="1:35" ht="20.45" customHeight="1">
      <c r="A51" s="2553"/>
      <c r="B51" s="3560" t="s">
        <v>1346</v>
      </c>
      <c r="C51" s="3560"/>
      <c r="D51" s="1087"/>
      <c r="E51" s="327"/>
      <c r="F51" s="3450"/>
      <c r="G51" s="3632"/>
      <c r="H51" s="2312" t="s">
        <v>2136</v>
      </c>
      <c r="I51" s="2311"/>
      <c r="J51" s="3451" t="s">
        <v>1347</v>
      </c>
      <c r="K51" s="3624" t="s">
        <v>1348</v>
      </c>
      <c r="L51" s="3624"/>
      <c r="M51" s="3451" t="s">
        <v>1349</v>
      </c>
      <c r="N51" s="3451" t="s">
        <v>1350</v>
      </c>
      <c r="O51" s="3451" t="s">
        <v>1351</v>
      </c>
    </row>
    <row r="52" spans="1:35" ht="24" customHeight="1">
      <c r="A52" s="3466" t="s">
        <v>1352</v>
      </c>
      <c r="B52" s="3560" t="s">
        <v>1353</v>
      </c>
      <c r="C52" s="3560"/>
      <c r="D52" s="1087">
        <f ca="1">ROUND(D45*'数据-取费表'!B41/(1+'数据-取费表'!C42),0)</f>
        <v>28</v>
      </c>
      <c r="E52" s="3465" t="s">
        <v>1354</v>
      </c>
      <c r="F52" s="2554">
        <f>'数据-取费表'!B41</f>
        <v>5.6000000000000001E-2</v>
      </c>
      <c r="G52" s="2555"/>
      <c r="H52" s="2544"/>
      <c r="I52" s="1807"/>
      <c r="J52" s="3455">
        <v>1</v>
      </c>
      <c r="K52" s="3625" t="s">
        <v>1355</v>
      </c>
      <c r="L52" s="3625"/>
      <c r="M52" s="2525" t="b">
        <f>D48</f>
        <v>0</v>
      </c>
      <c r="N52" s="3455" t="str">
        <f>E48</f>
        <v>销售额×税（费）率</v>
      </c>
      <c r="O52" s="2526">
        <f>F48</f>
        <v>5.6000000000000001E-2</v>
      </c>
    </row>
    <row r="53" spans="1:35" ht="12" customHeight="1">
      <c r="A53" s="3466" t="s">
        <v>1356</v>
      </c>
      <c r="B53" s="3586" t="s">
        <v>2291</v>
      </c>
      <c r="C53" s="3587"/>
      <c r="D53" s="1087">
        <f ca="1">ROUND(D45*'数据-取费表'!B41/(1+'数据-取费表'!C42),0)</f>
        <v>28</v>
      </c>
      <c r="E53" s="3465" t="s">
        <v>1354</v>
      </c>
      <c r="F53" s="2554">
        <f>'数据-取费表'!B41</f>
        <v>5.6000000000000001E-2</v>
      </c>
      <c r="G53" s="2555"/>
      <c r="H53" s="2544"/>
      <c r="I53" s="1807"/>
      <c r="J53" s="3455">
        <v>2</v>
      </c>
      <c r="K53" s="3625" t="s">
        <v>1357</v>
      </c>
      <c r="L53" s="3625"/>
      <c r="M53" s="2525">
        <f t="shared" ref="M53:O54" ca="1" si="0">D55</f>
        <v>0</v>
      </c>
      <c r="N53" s="3455" t="str">
        <f t="shared" si="0"/>
        <v>销售额×税（费）率</v>
      </c>
      <c r="O53" s="2526" t="str">
        <f t="shared" si="0"/>
        <v>免征</v>
      </c>
    </row>
    <row r="54" spans="1:35" ht="12" customHeight="1">
      <c r="A54" s="3466" t="s">
        <v>1358</v>
      </c>
      <c r="B54" s="3586" t="s">
        <v>2292</v>
      </c>
      <c r="C54" s="3587"/>
      <c r="D54" s="1087">
        <f ca="1">C68</f>
        <v>28</v>
      </c>
      <c r="E54" s="327" t="s">
        <v>1359</v>
      </c>
      <c r="F54" s="2554">
        <f>'数据-取费表'!B41</f>
        <v>5.6000000000000001E-2</v>
      </c>
      <c r="G54" s="2555"/>
      <c r="H54" s="2556"/>
      <c r="I54" s="1807"/>
      <c r="J54" s="3455">
        <v>3</v>
      </c>
      <c r="K54" s="3625" t="s">
        <v>1360</v>
      </c>
      <c r="L54" s="3625"/>
      <c r="M54" s="2525">
        <f t="shared" ca="1" si="0"/>
        <v>302</v>
      </c>
      <c r="N54" s="3455" t="str">
        <f t="shared" si="0"/>
        <v>增值额×税（费）率</v>
      </c>
      <c r="O54" s="2527" t="str">
        <f t="shared" si="0"/>
        <v>免征</v>
      </c>
    </row>
    <row r="55" spans="1:35" ht="24" customHeight="1">
      <c r="A55" s="3575" t="s">
        <v>1361</v>
      </c>
      <c r="B55" s="3576"/>
      <c r="C55" s="3576"/>
      <c r="D55" s="3452">
        <f ca="1">IF(H55="个人住宅",0,ROUND(D45*I55,0))</f>
        <v>0</v>
      </c>
      <c r="E55" s="3465" t="s">
        <v>1362</v>
      </c>
      <c r="F55" s="2554" t="str">
        <f>IF(H55="正常",I55,"免征")</f>
        <v>免征</v>
      </c>
      <c r="G55" s="2555"/>
      <c r="H55" s="2550"/>
      <c r="I55" s="165">
        <f>'数据-取费表'!B49</f>
        <v>5.0000000000000001E-4</v>
      </c>
      <c r="J55" s="3455">
        <f>IF(H59="非个人房产","",4)</f>
        <v>4</v>
      </c>
      <c r="K55" s="3625" t="str">
        <f>IF(H59="非个人房产","——","个人所得税")</f>
        <v>个人所得税</v>
      </c>
      <c r="L55" s="3625"/>
      <c r="M55" s="2528">
        <f ca="1">D59</f>
        <v>5</v>
      </c>
      <c r="N55" s="3456" t="str">
        <f>E59</f>
        <v>差额计税</v>
      </c>
      <c r="O55" s="2529">
        <f>F59</f>
        <v>0.01</v>
      </c>
    </row>
    <row r="56" spans="1:35" ht="24.75">
      <c r="A56" s="3575" t="s">
        <v>1363</v>
      </c>
      <c r="B56" s="3576"/>
      <c r="C56" s="3576"/>
      <c r="D56" s="3452">
        <f ca="1">IF(H56="个人住宅",D57,D58)</f>
        <v>302</v>
      </c>
      <c r="E56" s="3465" t="s">
        <v>1364</v>
      </c>
      <c r="F56" s="2554" t="str">
        <f>IF(H56="正常",F58,"免征")</f>
        <v>免征</v>
      </c>
      <c r="G56" s="2557" t="s">
        <v>1365</v>
      </c>
      <c r="H56" s="2558"/>
      <c r="I56" s="1808"/>
      <c r="J56" s="3455" t="str">
        <f>IF(项目基本情况!K6="上海银行",IF(J55="",4,J55+1),"")</f>
        <v/>
      </c>
      <c r="K56" s="3648" t="str">
        <f>IF(项目基本情况!K6="上海银行","其他处置费用","")</f>
        <v/>
      </c>
      <c r="L56" s="3649"/>
      <c r="M56" s="2525" t="str">
        <f>IF(项目基本情况!K6="上海银行",M69,"")</f>
        <v/>
      </c>
      <c r="N56" s="3648" t="str">
        <f>IF(项目基本情况!K6="上海银行","包含处置中涉及的律师、诉讼、拍卖、评估等费用","")</f>
        <v/>
      </c>
      <c r="O56" s="3651"/>
    </row>
    <row r="57" spans="1:35" ht="12.75">
      <c r="A57" s="3466" t="s">
        <v>1341</v>
      </c>
      <c r="B57" s="3586" t="s">
        <v>1366</v>
      </c>
      <c r="C57" s="3587"/>
      <c r="D57" s="1590">
        <v>0</v>
      </c>
      <c r="E57" s="324" t="s">
        <v>1343</v>
      </c>
      <c r="F57" s="302"/>
      <c r="G57" s="2555"/>
      <c r="H57" s="2559"/>
      <c r="I57" s="1808"/>
      <c r="J57" s="3625">
        <f>IF(AND(J55="",J56=""),4,IF(项目基本情况!K6="上海银行",'结果表(仓储)'!J56+1,'结果表(仓储)'!J55+1))</f>
        <v>5</v>
      </c>
      <c r="K57" s="3625" t="s">
        <v>1367</v>
      </c>
      <c r="L57" s="2530" t="s">
        <v>1368</v>
      </c>
      <c r="M57" s="2531"/>
      <c r="N57" s="2532">
        <f ca="1">SUMIF(M52:M56,"&lt;9e307")</f>
        <v>307</v>
      </c>
      <c r="O57" s="2533"/>
      <c r="P57" s="2690">
        <f ca="1">N57/M49</f>
        <v>0.57598499061913699</v>
      </c>
    </row>
    <row r="58" spans="1:35" ht="24.75">
      <c r="A58" s="3466" t="s">
        <v>1352</v>
      </c>
      <c r="B58" s="3586" t="s">
        <v>1369</v>
      </c>
      <c r="C58" s="3560"/>
      <c r="D58" s="3452">
        <f ca="1">IF(H58="转让取得",C81,C97)</f>
        <v>302</v>
      </c>
      <c r="E58" s="3465" t="s">
        <v>1364</v>
      </c>
      <c r="F58" s="302" t="s">
        <v>28</v>
      </c>
      <c r="G58" s="2555"/>
      <c r="H58" s="2558"/>
      <c r="I58" s="1808"/>
      <c r="J58" s="3625"/>
      <c r="K58" s="3625"/>
      <c r="L58" s="2530" t="s">
        <v>1370</v>
      </c>
      <c r="M58" s="2534"/>
      <c r="N58" s="2535" t="str">
        <f ca="1">NUMBERSTRING(INT(N57*10000),2)&amp;"元整"</f>
        <v>叁佰零柒万元整</v>
      </c>
      <c r="O58" s="2536"/>
    </row>
    <row r="59" spans="1:35" ht="24.75" thickBot="1">
      <c r="A59" s="3628" t="s">
        <v>1371</v>
      </c>
      <c r="B59" s="3629"/>
      <c r="C59" s="3629"/>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6">
        <f>J57+1</f>
        <v>6</v>
      </c>
      <c r="K59" s="3625" t="s">
        <v>1372</v>
      </c>
      <c r="L59" s="3455" t="s">
        <v>1368</v>
      </c>
      <c r="M59" s="2537"/>
      <c r="N59" s="2538">
        <f ca="1">M49-N57</f>
        <v>226</v>
      </c>
      <c r="O59" s="2539"/>
    </row>
    <row r="60" spans="1:35" ht="12" customHeight="1">
      <c r="A60" s="1809"/>
      <c r="B60" s="1747"/>
      <c r="C60" s="1747"/>
      <c r="D60" s="1747"/>
      <c r="E60" s="1578"/>
      <c r="F60" s="1808"/>
      <c r="G60" s="1808"/>
      <c r="H60" s="1810"/>
      <c r="I60" s="129"/>
      <c r="J60" s="3627"/>
      <c r="K60" s="3625"/>
      <c r="L60" s="2530" t="s">
        <v>1370</v>
      </c>
      <c r="M60" s="2534"/>
      <c r="N60" s="2535" t="str">
        <f ca="1">NUMBERSTRING(INT(N59*10000),2)&amp;"元整"</f>
        <v>贰佰贰拾陆万元整</v>
      </c>
      <c r="O60" s="2536"/>
    </row>
    <row r="61" spans="1:35" ht="13.5" thickBot="1">
      <c r="A61" s="3573" t="s">
        <v>1373</v>
      </c>
      <c r="B61" s="3573"/>
      <c r="C61" s="3573"/>
      <c r="D61" s="3573"/>
      <c r="E61" s="3573"/>
      <c r="F61" s="1808"/>
      <c r="G61" s="1808"/>
      <c r="H61" s="1810"/>
      <c r="I61" s="129"/>
      <c r="J61" s="3455">
        <f>J59+1</f>
        <v>7</v>
      </c>
      <c r="K61" s="3625" t="s">
        <v>1374</v>
      </c>
      <c r="L61" s="3625"/>
      <c r="M61" s="2540"/>
      <c r="N61" s="2541">
        <f ca="1">ROUND(N59*10000/'数据-汇总表'!E3,0)</f>
        <v>276</v>
      </c>
      <c r="O61" s="2542"/>
    </row>
    <row r="62" spans="1:35" ht="12.75">
      <c r="A62" s="3591" t="s">
        <v>1375</v>
      </c>
      <c r="B62" s="3592"/>
      <c r="C62" s="3460"/>
      <c r="D62" s="3460" t="s">
        <v>1376</v>
      </c>
      <c r="E62" s="166" t="s">
        <v>1377</v>
      </c>
      <c r="F62" s="1808"/>
      <c r="G62" s="1808"/>
      <c r="H62" s="1810"/>
      <c r="I62" s="129"/>
    </row>
    <row r="63" spans="1:35" ht="12.75">
      <c r="A63" s="173" t="s">
        <v>330</v>
      </c>
      <c r="B63" s="167" t="s">
        <v>1378</v>
      </c>
      <c r="C63" s="2564">
        <f ca="1">ROUND((C64+C65)/(1+'数据-取费表'!C42),0)</f>
        <v>508</v>
      </c>
      <c r="D63" s="167"/>
      <c r="E63" s="168"/>
      <c r="F63" s="1808"/>
      <c r="G63" s="1808"/>
      <c r="H63" s="1810"/>
      <c r="I63" s="129"/>
      <c r="J63" s="3650" t="s">
        <v>1379</v>
      </c>
      <c r="K63" s="3453" t="s">
        <v>1380</v>
      </c>
      <c r="L63" s="3453">
        <f ca="1">IF(M49&gt;10000,M49*0.5%,IF(AND(M49&gt;1000,M49&lt;=10000),M49*1%,IF(AND(M49&gt;100,M49&lt;=1000),M49*3%,IF(AND(M49&gt;10,M49&lt;=100),M49*5%,M49*8%))))</f>
        <v>15.99</v>
      </c>
      <c r="M63" s="302">
        <f ca="1">ROUND(L63,1)</f>
        <v>16</v>
      </c>
      <c r="N63" s="2543"/>
      <c r="Z63" s="1752"/>
      <c r="AI63" s="1753"/>
    </row>
    <row r="64" spans="1:35" ht="14.25" customHeight="1">
      <c r="A64" s="169" t="s">
        <v>325</v>
      </c>
      <c r="B64" s="170" t="s">
        <v>1381</v>
      </c>
      <c r="C64" s="2565">
        <f ca="1">D45</f>
        <v>533</v>
      </c>
      <c r="D64" s="170" t="s">
        <v>26</v>
      </c>
      <c r="E64" s="172"/>
      <c r="F64" s="1808"/>
      <c r="G64" s="1808"/>
      <c r="H64" s="1810"/>
      <c r="I64" s="129"/>
      <c r="J64" s="3650"/>
      <c r="K64" s="3453" t="s">
        <v>1382</v>
      </c>
      <c r="L64" s="3453">
        <f ca="1">IF(M49&gt;2000,M49*0.5%,IF(AND(M49&gt;1000,M49&lt;=2000),M49*0.6%,IF(AND(M49&gt;500,M49&lt;=1000),M49*0.7%,IF(AND(M49&gt;200,M49&lt;=500),M49*0.8%,IF(AND(M49&gt;100,M49&lt;=200),M49*0.9%,IF(AND(M49&gt;50,M49&lt;=100),M49*1%,IF(AND(M49&gt;20,M49&lt;=50),M49*1.5%,IF(AND(M49&gt;10,M49&lt;=20),M49*2%,IF(AND(M49&gt;1,M49&lt;=10),M49*2.5%)))))))))</f>
        <v>3.7309999999999994</v>
      </c>
      <c r="M64" s="302">
        <f t="shared" ref="M64:M65" ca="1" si="1">ROUND(L64,1)</f>
        <v>3.7</v>
      </c>
      <c r="N64" s="2544" t="s">
        <v>1383</v>
      </c>
      <c r="Z64" s="1752"/>
      <c r="AI64" s="1753"/>
    </row>
    <row r="65" spans="1:35" ht="14.25" customHeight="1">
      <c r="A65" s="169" t="s">
        <v>326</v>
      </c>
      <c r="B65" s="170" t="s">
        <v>1384</v>
      </c>
      <c r="C65" s="2566"/>
      <c r="D65" s="170"/>
      <c r="E65" s="172"/>
      <c r="F65" s="1808"/>
      <c r="G65" s="1808"/>
      <c r="H65" s="1810"/>
      <c r="I65" s="129"/>
      <c r="J65" s="3650"/>
      <c r="K65" s="3453" t="s">
        <v>1385</v>
      </c>
      <c r="L65" s="3453">
        <f ca="1">IF(M49&gt;1000,M49*0.1%,IF(AND(M49&gt;500,M49&lt;=1000),M49*0.5%,IF(AND(M49&gt;50,M49&lt;=500),M49*1%,IF(AND(M49&gt;1,M49&lt;=50),M49*1.5%))))</f>
        <v>2.665</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650"/>
      <c r="K66" s="3453" t="s">
        <v>1387</v>
      </c>
      <c r="L66" s="3453">
        <f ca="1">M49*0.5%</f>
        <v>2.665</v>
      </c>
      <c r="M66" s="302">
        <f ca="1">IF(L66&gt;0.5,0.5,ROUND(L66,0))</f>
        <v>0.5</v>
      </c>
      <c r="N66" s="2544" t="s">
        <v>1388</v>
      </c>
      <c r="Z66" s="1752"/>
      <c r="AI66" s="1753"/>
    </row>
    <row r="67" spans="1:35" ht="14.25" customHeight="1">
      <c r="A67" s="173" t="s">
        <v>328</v>
      </c>
      <c r="B67" s="174" t="s">
        <v>1389</v>
      </c>
      <c r="C67" s="2568">
        <f ca="1">C63-C66</f>
        <v>508</v>
      </c>
      <c r="D67" s="170" t="s">
        <v>26</v>
      </c>
      <c r="E67" s="172"/>
      <c r="F67" s="1808"/>
      <c r="G67" s="1808"/>
      <c r="H67" s="1810"/>
      <c r="I67" s="129"/>
      <c r="J67" s="3650"/>
      <c r="K67" s="3453" t="s">
        <v>1390</v>
      </c>
      <c r="L67" s="3453">
        <f ca="1">IF(M49&gt;=10000,(8.25+(M49-10000)*0.01%),IF(AND(M49&gt;=8000,M49&lt;10000),(7.85+(M49-8000)*0.02%),IF(AND(M49&gt;=5000,M49&lt;8000),(6.65+(M49-5000)*0.04%),IF(AND(M49&gt;=2000,M49&lt;5000),(4.25+(PM49-2000)*0.08%),IF(AND(M49&gt;=1000,M49&lt;2000),(2.75+(M49-1000)*0.15%),IF(AND(M49&gt;=100,M49&lt;1000),(0.5+(M49-100)*0.25%),IF(AND(M49&gt;0,M49&lt;100),M49*0.5%)))))))</f>
        <v>1.5825</v>
      </c>
      <c r="M67" s="302">
        <f ca="1">ROUND(L67*0.9,1)</f>
        <v>1.4</v>
      </c>
      <c r="N67" s="2543"/>
      <c r="Z67" s="1752"/>
      <c r="AI67" s="1753"/>
    </row>
    <row r="68" spans="1:35" ht="14.25" customHeight="1" thickBot="1">
      <c r="A68" s="176" t="s">
        <v>329</v>
      </c>
      <c r="B68" s="177" t="s">
        <v>1391</v>
      </c>
      <c r="C68" s="2569">
        <f ca="1">IF(C67&lt;=0,0,ROUND(C67*D68,0))</f>
        <v>28</v>
      </c>
      <c r="D68" s="2570">
        <f>'数据-取费表'!B41</f>
        <v>5.6000000000000001E-2</v>
      </c>
      <c r="E68" s="178"/>
      <c r="F68" s="1808"/>
      <c r="G68" s="1808"/>
      <c r="H68" s="1810"/>
      <c r="I68" s="129"/>
      <c r="J68" s="3650"/>
      <c r="K68" s="3453" t="s">
        <v>1392</v>
      </c>
      <c r="L68" s="3453">
        <f ca="1">IF(M49&gt;10000,M49*0.5%,IF(AND(M49&gt;5000,M49&lt;=10000),M49*1%,IF(AND(M49&gt;1000,M49&lt;=5000),M49*2%,IF(AND(M49&gt;200,M49&lt;=1000),M49*3%,M49*5%))))</f>
        <v>15.99</v>
      </c>
      <c r="M68" s="302">
        <f ca="1">ROUND(L68,1)</f>
        <v>16</v>
      </c>
      <c r="N68" s="2543"/>
      <c r="Z68" s="1752"/>
      <c r="AI68" s="1753"/>
    </row>
    <row r="69" spans="1:35" s="1772" customFormat="1" ht="16.5" customHeight="1">
      <c r="A69" s="1811"/>
      <c r="B69" s="1812"/>
      <c r="C69" s="1813"/>
      <c r="D69" s="1814"/>
      <c r="E69" s="1815"/>
      <c r="F69" s="1578"/>
      <c r="G69" s="1578"/>
      <c r="H69" s="1577"/>
      <c r="I69" s="1747"/>
      <c r="J69" s="3650"/>
      <c r="K69" s="3453" t="s">
        <v>1393</v>
      </c>
      <c r="L69" s="3453"/>
      <c r="M69" s="302">
        <f ca="1">ROUND(SUM(M63:M68),0)</f>
        <v>40</v>
      </c>
      <c r="N69" s="2545">
        <f ca="1">M69/M49</f>
        <v>7.5046904315197005E-2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508</v>
      </c>
      <c r="D72" s="170" t="s">
        <v>26</v>
      </c>
      <c r="E72" s="3462"/>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3462"/>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505</v>
      </c>
      <c r="D79" s="170" t="s">
        <v>26</v>
      </c>
      <c r="E79" s="3462"/>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168.33333333333334</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302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508</v>
      </c>
      <c r="D85" s="170" t="s">
        <v>26</v>
      </c>
      <c r="E85" s="3462"/>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3462"/>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8"/>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8"/>
      <c r="G90" s="3652" t="s">
        <v>2129</v>
      </c>
      <c r="H90" s="36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0" t="s">
        <v>1422</v>
      </c>
      <c r="F92" s="3571"/>
      <c r="G92" s="3571"/>
      <c r="H92" s="358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505</v>
      </c>
      <c r="D95" s="170" t="s">
        <v>26</v>
      </c>
      <c r="E95" s="3462"/>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168.33333333333334</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302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5" t="str">
        <f>C4</f>
        <v>成本法 (元)</v>
      </c>
      <c r="D101" s="2586" t="str">
        <f>D4</f>
        <v>收益法 (元)</v>
      </c>
      <c r="E101" s="3647" t="s">
        <v>1431</v>
      </c>
      <c r="F101" s="3604"/>
      <c r="G101" s="1827" t="s">
        <v>1432</v>
      </c>
      <c r="H101" s="2595">
        <f ca="1">H118</f>
        <v>533</v>
      </c>
      <c r="I101" s="129"/>
    </row>
    <row r="102" spans="1:35" ht="18.75" customHeight="1">
      <c r="A102" s="3606" t="s">
        <v>1433</v>
      </c>
      <c r="B102" s="2584" t="s">
        <v>1432</v>
      </c>
      <c r="C102" s="2585">
        <f ca="1">IF(D32="楼面单价",ROUND(C19,0),C19)</f>
        <v>413.6748</v>
      </c>
      <c r="D102" s="2586">
        <f ca="1">IF(D32="楼面单价",ROUND(D19,0),D19)</f>
        <v>612.82690000000002</v>
      </c>
      <c r="E102" s="3647"/>
      <c r="F102" s="3604"/>
      <c r="G102" s="1827" t="s">
        <v>1434</v>
      </c>
      <c r="H102" s="2555">
        <f ca="1">I118</f>
        <v>10847</v>
      </c>
      <c r="I102" s="129"/>
    </row>
    <row r="103" spans="1:35" ht="42.75" customHeight="1">
      <c r="A103" s="3606"/>
      <c r="B103" s="2584" t="s">
        <v>1434</v>
      </c>
      <c r="C103" s="2587">
        <f ca="1">C20</f>
        <v>8418</v>
      </c>
      <c r="D103" s="2588">
        <f ca="1">D20</f>
        <v>12471</v>
      </c>
      <c r="E103" s="3641" t="s">
        <v>1435</v>
      </c>
      <c r="F103" s="3642"/>
      <c r="G103" s="1828" t="s">
        <v>1436</v>
      </c>
      <c r="H103" s="2595">
        <f>IF(D36="正常操作",H104+H105+H106,H105+H106)</f>
        <v>0</v>
      </c>
      <c r="I103" s="129"/>
    </row>
    <row r="104" spans="1:35" ht="18.75" customHeight="1">
      <c r="A104" s="3606" t="s">
        <v>1437</v>
      </c>
      <c r="B104" s="2589" t="s">
        <v>1432</v>
      </c>
      <c r="C104" s="2590">
        <f ca="1">H118</f>
        <v>533</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f ca="1">I118</f>
        <v>10847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604"/>
      <c r="G107" s="1827" t="s">
        <v>1432</v>
      </c>
      <c r="H107" s="2595">
        <f ca="1">IF(E107="——","——",H101-H103)</f>
        <v>533</v>
      </c>
      <c r="I107" s="129"/>
    </row>
    <row r="108" spans="1:35" ht="18.75" customHeight="1">
      <c r="A108" s="129"/>
      <c r="B108" s="129"/>
      <c r="C108" s="129"/>
      <c r="D108" s="129"/>
      <c r="E108" s="3603"/>
      <c r="F108" s="3604"/>
      <c r="G108" s="1827" t="s">
        <v>1434</v>
      </c>
      <c r="H108" s="2555">
        <f ca="1">IF(H107=H101,H102,ROUND(H107*10000/'数据-汇总表'!E3,0))</f>
        <v>10847</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8" t="str">
        <f>IF(E109="——","——",H101-H105-H106)</f>
        <v>——</v>
      </c>
      <c r="I109" s="129"/>
    </row>
    <row r="110" spans="1:35" ht="18.75" customHeight="1">
      <c r="A110" s="129"/>
      <c r="B110" s="129"/>
      <c r="C110" s="129"/>
      <c r="D110" s="129"/>
      <c r="E110" s="3603"/>
      <c r="F110" s="3604"/>
      <c r="G110" s="1827" t="s">
        <v>1434</v>
      </c>
      <c r="H110" s="2555"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5" t="str">
        <f>IF(E111="——","——",N59)</f>
        <v>——</v>
      </c>
      <c r="I111" s="129"/>
    </row>
    <row r="112" spans="1:35" ht="18.75" customHeight="1" thickBot="1">
      <c r="A112" s="129"/>
      <c r="B112" s="129"/>
      <c r="C112" s="129"/>
      <c r="D112" s="129"/>
      <c r="E112" s="3636"/>
      <c r="F112" s="3637"/>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3454" t="s">
        <v>1449</v>
      </c>
      <c r="E117" s="3454" t="s">
        <v>1450</v>
      </c>
      <c r="F117" s="3454" t="s">
        <v>1449</v>
      </c>
      <c r="G117" s="3454" t="s">
        <v>1451</v>
      </c>
      <c r="H117" s="3454" t="s">
        <v>1449</v>
      </c>
      <c r="I117" s="3454" t="s">
        <v>1451</v>
      </c>
    </row>
    <row r="118" spans="1:27" ht="24.75" customHeight="1">
      <c r="A118" s="2600" t="str">
        <f>项目基本情况!S2</f>
        <v>北京市房地产</v>
      </c>
      <c r="B118" s="3454">
        <f>M18</f>
        <v>491.39</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533</v>
      </c>
      <c r="I118" s="3454">
        <f ca="1">ROUND(IF(D32="楼面单价",C32,H118*10000/B118),0)</f>
        <v>10847</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伍佰叁拾叁万元整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533</v>
      </c>
      <c r="E122" s="3639"/>
      <c r="F122" s="3639"/>
      <c r="G122" s="3639"/>
      <c r="H122" s="3639"/>
      <c r="I122" s="3640"/>
      <c r="AA122" s="725"/>
    </row>
    <row r="123" spans="1:27" ht="18.75" customHeight="1">
      <c r="A123" s="3574" t="s">
        <v>1452</v>
      </c>
      <c r="B123" s="3574"/>
      <c r="C123" s="3574"/>
      <c r="D123" s="3614" t="str">
        <f ca="1">NUMBERSTRING(INT(D122*10000),2)&amp;"元整"</f>
        <v>伍佰叁拾叁万元整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9" sqref="G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3339</v>
      </c>
      <c r="C1" s="198"/>
      <c r="D1" s="198"/>
      <c r="E1" s="198"/>
      <c r="F1" s="198"/>
      <c r="G1" s="1126">
        <f>MATCH(B1,'数据-取费表'!A6:A16,0)+5</f>
        <v>7</v>
      </c>
    </row>
    <row r="2" spans="1:9" s="200" customFormat="1" ht="18" customHeight="1">
      <c r="A2" s="201" t="s">
        <v>1462</v>
      </c>
      <c r="B2" s="202">
        <f ca="1">IF(D2="——",C52,C52-E2)</f>
        <v>414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134</v>
      </c>
      <c r="D5" s="211" t="s">
        <v>1469</v>
      </c>
      <c r="E5" s="212" t="s">
        <v>1470</v>
      </c>
      <c r="F5" s="212" t="s">
        <v>1471</v>
      </c>
      <c r="G5" s="213"/>
    </row>
    <row r="6" spans="1:9" s="214" customFormat="1" ht="13.5" customHeight="1">
      <c r="A6" s="778" t="s">
        <v>1472</v>
      </c>
      <c r="B6" s="215" t="s">
        <v>1473</v>
      </c>
      <c r="C6" s="216">
        <f>基准地价修正!B2</f>
        <v>120</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3403</v>
      </c>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491.39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491.39</v>
      </c>
      <c r="E19" s="211">
        <f>'数据-取费表'!B31</f>
        <v>200</v>
      </c>
      <c r="F19" s="231"/>
      <c r="G19" s="1856" t="s">
        <v>3402</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7</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197</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v>
      </c>
      <c r="D37" s="217">
        <f ca="1">D19</f>
        <v>491.39</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711" t="s">
        <v>1544</v>
      </c>
    </row>
    <row r="43" spans="1:7" ht="13.5" customHeight="1">
      <c r="A43" s="780" t="s">
        <v>347</v>
      </c>
      <c r="B43" s="215" t="s">
        <v>1545</v>
      </c>
      <c r="C43" s="238">
        <f ca="1">ROUND(IF('数据-取费表'!B22&lt;=1,C39*F22*'数据-取费表'!B21/2,C39*(POWER((1+F22),'数据-取费表'!B21/2)-1)),0)</f>
        <v>0</v>
      </c>
      <c r="D43" s="238"/>
      <c r="E43" s="238"/>
      <c r="F43" s="239"/>
      <c r="G43" s="3712"/>
    </row>
    <row r="44" spans="1:7" ht="13.5" customHeight="1">
      <c r="A44" s="780" t="s">
        <v>348</v>
      </c>
      <c r="B44" s="215" t="s">
        <v>1546</v>
      </c>
      <c r="C44" s="238">
        <f ca="1">ROUND(IF('数据-取费表'!B22&lt;=1,C40*F22*'数据-取费表'!B21/2,C40*(POWER((1+F22),'数据-取费表'!B21/2)-1)),4)</f>
        <v>8.0000000000000004E-4</v>
      </c>
      <c r="D44" s="238"/>
      <c r="E44" s="238"/>
      <c r="F44" s="239"/>
      <c r="G44" s="3713"/>
    </row>
    <row r="45" spans="1:7" s="214" customFormat="1" ht="13.5" customHeight="1">
      <c r="A45" s="255" t="s">
        <v>1547</v>
      </c>
      <c r="B45" s="244" t="s">
        <v>1513</v>
      </c>
      <c r="C45" s="245">
        <f ca="1">C46</f>
        <v>11</v>
      </c>
      <c r="D45" s="235">
        <f ca="1">C47</f>
        <v>1E-3</v>
      </c>
      <c r="E45" s="236" t="s">
        <v>1539</v>
      </c>
      <c r="F45" s="246">
        <f ca="1">F27</f>
        <v>0.05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259</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246</v>
      </c>
      <c r="D51" s="232"/>
      <c r="E51" s="232"/>
      <c r="F51" s="264"/>
      <c r="G51" s="234" t="s">
        <v>1560</v>
      </c>
    </row>
    <row r="52" spans="1:7" s="208" customFormat="1" ht="16.5" thickBot="1">
      <c r="A52" s="265" t="s">
        <v>1561</v>
      </c>
      <c r="B52" s="266"/>
      <c r="C52" s="267">
        <f ca="1">C31+C51</f>
        <v>414</v>
      </c>
      <c r="D52" s="266"/>
      <c r="E52" s="266"/>
      <c r="F52" s="266"/>
      <c r="G52" s="268"/>
    </row>
    <row r="55" spans="1:7" ht="15">
      <c r="B55" s="270" t="s">
        <v>1562</v>
      </c>
      <c r="C55" s="271"/>
    </row>
    <row r="56" spans="1:7">
      <c r="B56" s="273" t="s">
        <v>802</v>
      </c>
      <c r="C56" s="275">
        <f ca="1">1-C57</f>
        <v>0.40600000000000003</v>
      </c>
    </row>
    <row r="57" spans="1:7">
      <c r="B57" s="273" t="s">
        <v>803</v>
      </c>
      <c r="C57" s="274">
        <f ca="1">ROUND(C51/C52,3)</f>
        <v>0.59399999999999997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3339</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413.6748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1339915.28</v>
      </c>
      <c r="D5" s="211" t="s">
        <v>1469</v>
      </c>
      <c r="E5" s="212" t="s">
        <v>1470</v>
      </c>
      <c r="F5" s="212" t="s">
        <v>1471</v>
      </c>
      <c r="G5" s="213"/>
    </row>
    <row r="6" spans="1:8" s="214" customFormat="1" ht="13.5" customHeight="1">
      <c r="A6" s="778" t="s">
        <v>1472</v>
      </c>
      <c r="B6" s="215" t="s">
        <v>1473</v>
      </c>
      <c r="C6" s="216">
        <f>基准地价修正!C41*基准地价修正!D41</f>
        <v>1204888.28</v>
      </c>
      <c r="D6" s="217"/>
      <c r="E6" s="218"/>
      <c r="F6" s="218"/>
      <c r="G6" s="219"/>
    </row>
    <row r="7" spans="1:8" s="214" customFormat="1" ht="13.5" customHeight="1">
      <c r="A7" s="778" t="s">
        <v>1474</v>
      </c>
      <c r="B7" s="215" t="s">
        <v>1475</v>
      </c>
      <c r="C7" s="220">
        <f>ROUND(C6*F7,0)</f>
        <v>36749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98278</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98278</v>
      </c>
      <c r="D10" s="845">
        <f ca="1">IF(B1="",'数据-汇总表'!E6,IF(INDIRECT("'数据-取费表'!c"&amp;$G$1)="住宅",INDIRECT("'数据-取费表'!s"&amp;$G$1),INDIRECT("'数据-取费表'!k"&amp;$G$1)+INDIRECT("'数据-取费表'!s"&amp;$G$1)))</f>
        <v>491.39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491.39</v>
      </c>
      <c r="E19" s="211">
        <f>'数据-取费表'!B31</f>
        <v>200</v>
      </c>
      <c r="F19" s="231"/>
      <c r="G19" s="1856" t="s">
        <v>3402</v>
      </c>
    </row>
    <row r="20" spans="1:7" s="214" customFormat="1" ht="13.5" customHeight="1">
      <c r="A20" s="255" t="s">
        <v>1574</v>
      </c>
      <c r="B20" s="210" t="s">
        <v>1575</v>
      </c>
      <c r="C20" s="232">
        <f ca="1">ROUND((C5+C19)*F20,0)</f>
        <v>26798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114633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113521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1112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68336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68336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1675513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2152288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1965560</v>
      </c>
      <c r="D34" s="217"/>
      <c r="E34" s="220"/>
      <c r="F34" s="257"/>
      <c r="G34" s="219"/>
    </row>
    <row r="35" spans="1:7" ht="13.5" customHeight="1">
      <c r="A35" s="780" t="s">
        <v>351</v>
      </c>
      <c r="B35" s="215" t="s">
        <v>1527</v>
      </c>
      <c r="C35" s="220">
        <f ca="1">ROUND(C34*F35,0)</f>
        <v>58967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98278</v>
      </c>
      <c r="D37" s="217">
        <f ca="1">D19</f>
        <v>491.39</v>
      </c>
      <c r="E37" s="249">
        <f>'数据-取费表'!B35</f>
        <v>200</v>
      </c>
      <c r="F37" s="259"/>
      <c r="G37" s="261"/>
    </row>
    <row r="38" spans="1:7" ht="13.5" customHeight="1">
      <c r="A38" s="780" t="s">
        <v>354</v>
      </c>
      <c r="B38" s="215" t="s">
        <v>1533</v>
      </c>
      <c r="C38" s="220">
        <f ca="1">ROUND(C34*F38,0)</f>
        <v>29483</v>
      </c>
      <c r="D38" s="220"/>
      <c r="E38" s="220"/>
      <c r="F38" s="259">
        <f>'数据-取费表'!B36</f>
        <v>1.4999999999999999E-2</v>
      </c>
      <c r="G38" s="219" t="s">
        <v>1528</v>
      </c>
    </row>
    <row r="39" spans="1:7" s="214" customFormat="1" ht="13.5" customHeight="1">
      <c r="A39" s="255" t="s">
        <v>1534</v>
      </c>
      <c r="B39" s="210" t="s">
        <v>1535</v>
      </c>
      <c r="C39" s="232">
        <f ca="1">ROUND(C33*F20,0)</f>
        <v>43046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91106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89320</v>
      </c>
      <c r="D42" s="238"/>
      <c r="E42" s="238"/>
      <c r="F42" s="239"/>
      <c r="G42" s="3711" t="s">
        <v>1591</v>
      </c>
    </row>
    <row r="43" spans="1:7" ht="13.5" customHeight="1">
      <c r="A43" s="780" t="s">
        <v>347</v>
      </c>
      <c r="B43" s="215" t="s">
        <v>1545</v>
      </c>
      <c r="C43" s="238">
        <f ca="1">ROUND(IF('数据-取费表'!B22&lt;=1,C39*F22*'数据-取费表'!B20/2,C39*(POWER((1+F22),'数据-取费表'!B20/2)-1)),0)</f>
        <v>1786</v>
      </c>
      <c r="D43" s="238"/>
      <c r="E43" s="238"/>
      <c r="F43" s="239"/>
      <c r="G43" s="3712"/>
    </row>
    <row r="44" spans="1:7" ht="13.5" customHeight="1">
      <c r="A44" s="780" t="s">
        <v>348</v>
      </c>
      <c r="B44" s="215" t="s">
        <v>1546</v>
      </c>
      <c r="C44" s="238">
        <f ca="1">ROUND(IF('数据-取费表'!B22&lt;=1,C40*F22*'数据-取费表'!B20/2,C40*(POWER((1+F22),'数据-取费表'!B20/2)-1)),4)</f>
        <v>8.0000000000000004E-4</v>
      </c>
      <c r="D44" s="238"/>
      <c r="E44" s="238"/>
      <c r="F44" s="239"/>
      <c r="G44" s="3713"/>
    </row>
    <row r="45" spans="1:7" s="214" customFormat="1" ht="13.5" customHeight="1">
      <c r="A45" s="255" t="s">
        <v>1547</v>
      </c>
      <c r="B45" s="244" t="s">
        <v>1513</v>
      </c>
      <c r="C45" s="245">
        <f ca="1">C46</f>
        <v>109767</v>
      </c>
      <c r="D45" s="235">
        <f ca="1">C47</f>
        <v>1E-3</v>
      </c>
      <c r="E45" s="236" t="s">
        <v>1539</v>
      </c>
      <c r="F45" s="246">
        <f ca="1">F27</f>
        <v>0.05</v>
      </c>
      <c r="G45" s="247" t="s">
        <v>1548</v>
      </c>
    </row>
    <row r="46" spans="1:7" s="214" customFormat="1" ht="13.5" customHeight="1">
      <c r="A46" s="780" t="s">
        <v>346</v>
      </c>
      <c r="B46" s="248" t="s">
        <v>1549</v>
      </c>
      <c r="C46" s="249">
        <f ca="1">ROUND((C33+C39)*F27,0)</f>
        <v>109767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2590774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2461235</v>
      </c>
      <c r="D51" s="232"/>
      <c r="E51" s="232"/>
      <c r="F51" s="264"/>
      <c r="G51" s="234" t="s">
        <v>1560</v>
      </c>
    </row>
    <row r="52" spans="1:7" s="208" customFormat="1" ht="16.5" thickBot="1">
      <c r="A52" s="265" t="s">
        <v>1561</v>
      </c>
      <c r="B52" s="266"/>
      <c r="C52" s="267">
        <f ca="1">C31+C51</f>
        <v>4136748</v>
      </c>
      <c r="D52" s="266"/>
      <c r="E52" s="266"/>
      <c r="F52" s="266"/>
      <c r="G52" s="268"/>
    </row>
    <row r="55" spans="1:7" ht="15">
      <c r="B55" s="270" t="s">
        <v>1562</v>
      </c>
      <c r="C55" s="271"/>
    </row>
    <row r="56" spans="1:7">
      <c r="B56" s="273" t="s">
        <v>802</v>
      </c>
      <c r="C56" s="275">
        <f ca="1">1-C57</f>
        <v>0.40500000000000003</v>
      </c>
    </row>
    <row r="57" spans="1:7">
      <c r="B57" s="273" t="s">
        <v>803</v>
      </c>
      <c r="C57" s="274">
        <f ca="1">ROUND(C51/C52,3)</f>
        <v>0.59499999999999997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-185</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8188.9200000000019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8188.9200000000019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164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164</v>
      </c>
      <c r="D20" s="846">
        <f ca="1">IF(C1="",'数据-汇总表'!E6,IF(INDIRECT("'数据-取费表'!c"&amp;$K$1)="住宅",INDIRECT("'数据-取费表'!s"&amp;$K$1),INDIRECT("'数据-取费表'!k"&amp;$K$1)+INDIRECT("'数据-取费表'!s"&amp;$K$1)))</f>
        <v>8188.9200000000019</v>
      </c>
      <c r="E20" s="21">
        <f>'数据-取费表'!B28</f>
        <v>200</v>
      </c>
      <c r="F20" s="804"/>
      <c r="G20" s="12"/>
      <c r="H20" s="809"/>
      <c r="I20" s="809"/>
      <c r="J20" s="809"/>
      <c r="K20" s="810"/>
    </row>
    <row r="21" spans="1:33" s="803" customFormat="1" ht="13.5" customHeight="1">
      <c r="A21" s="790" t="s">
        <v>357</v>
      </c>
      <c r="B21" s="813" t="s">
        <v>1628</v>
      </c>
      <c r="C21" s="814">
        <f ca="1">C16+C17+C18</f>
        <v>164</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23</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-185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3339</v>
      </c>
      <c r="D1" s="1362" t="s">
        <v>43</v>
      </c>
      <c r="E1" s="1363" t="s">
        <v>678</v>
      </c>
      <c r="F1" s="1062">
        <f ca="1">J53</f>
        <v>42.59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612.82690000000002</v>
      </c>
      <c r="C2" s="1387" t="s">
        <v>879</v>
      </c>
      <c r="D2" s="1471">
        <f ca="1">C40+J29+L46</f>
        <v>6128269</v>
      </c>
      <c r="E2" s="1388" t="s">
        <v>880</v>
      </c>
      <c r="F2" s="1389"/>
      <c r="G2" s="2706"/>
      <c r="H2" s="2695"/>
      <c r="I2" s="2695"/>
      <c r="J2" s="2695"/>
      <c r="K2" s="2696"/>
      <c r="L2" s="2695"/>
      <c r="M2" s="2695"/>
    </row>
    <row r="3" spans="1:37" ht="18" customHeight="1" thickBot="1">
      <c r="A3" s="1390" t="s">
        <v>881</v>
      </c>
      <c r="B3" s="1391">
        <f ca="1">IF(ISERROR(D2/F43),0,ROUND(D2/F43,0))</f>
        <v>12471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305288</v>
      </c>
      <c r="D5" s="1364" t="s">
        <v>889</v>
      </c>
      <c r="E5" s="1071"/>
      <c r="F5" s="1072"/>
      <c r="G5" s="1384"/>
      <c r="H5" s="299">
        <v>1</v>
      </c>
      <c r="I5" s="300" t="s">
        <v>888</v>
      </c>
      <c r="J5" s="1070">
        <f ca="1">J6+J10+J12</f>
        <v>0</v>
      </c>
      <c r="K5" s="1364" t="s">
        <v>889</v>
      </c>
      <c r="L5" s="1071"/>
      <c r="M5" s="1072"/>
    </row>
    <row r="6" spans="1:37" ht="18" customHeight="1">
      <c r="A6" s="1069" t="s">
        <v>398</v>
      </c>
      <c r="B6" s="3708" t="s">
        <v>694</v>
      </c>
      <c r="C6" s="1074">
        <f ca="1">ROUND(F6*F8*F7*(1-F9),0)</f>
        <v>304907</v>
      </c>
      <c r="D6" s="155" t="s">
        <v>2106</v>
      </c>
      <c r="E6" s="302" t="s">
        <v>696</v>
      </c>
      <c r="F6" s="303">
        <f ca="1">INDIRECT("'数据-取费表'!u"&amp;$G$1)</f>
        <v>2</v>
      </c>
      <c r="G6" s="1384"/>
      <c r="H6" s="1069" t="s">
        <v>398</v>
      </c>
      <c r="I6" s="3708" t="s">
        <v>694</v>
      </c>
      <c r="J6" s="301">
        <f ca="1">ROUND(M6*M8*M7*(1-M9),0)</f>
        <v>0</v>
      </c>
      <c r="K6" s="1376" t="s">
        <v>2107</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491.39</v>
      </c>
      <c r="G7" s="1384"/>
      <c r="H7" s="304"/>
      <c r="I7" s="3709"/>
      <c r="J7" s="306"/>
      <c r="K7" s="307"/>
      <c r="L7" s="302" t="s">
        <v>697</v>
      </c>
      <c r="M7" s="303">
        <f ca="1">F7</f>
        <v>491.39</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0.15</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381</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2461235</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1965560</v>
      </c>
      <c r="D14" s="1345" t="s">
        <v>708</v>
      </c>
      <c r="E14" s="1342"/>
      <c r="F14" s="319"/>
      <c r="G14" s="1384"/>
      <c r="H14" s="982" t="s">
        <v>398</v>
      </c>
      <c r="I14" s="302" t="s">
        <v>709</v>
      </c>
      <c r="J14" s="21">
        <f ca="1">C29</f>
        <v>2590774</v>
      </c>
      <c r="K14" s="12"/>
      <c r="L14" s="807"/>
      <c r="M14" s="808"/>
    </row>
    <row r="15" spans="1:37" s="1397" customFormat="1" ht="18" customHeight="1" thickBot="1">
      <c r="A15" s="982" t="s">
        <v>399</v>
      </c>
      <c r="B15" s="302" t="s">
        <v>710</v>
      </c>
      <c r="C15" s="21">
        <f ca="1">ROUND(C14*F15,0)</f>
        <v>58967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12954</v>
      </c>
      <c r="K16" s="1087" t="s">
        <v>715</v>
      </c>
      <c r="L16" s="1088"/>
      <c r="M16" s="1072"/>
    </row>
    <row r="17" spans="1:37" s="1397" customFormat="1" ht="18" customHeight="1">
      <c r="A17" s="982" t="s">
        <v>681</v>
      </c>
      <c r="B17" s="302" t="s">
        <v>716</v>
      </c>
      <c r="C17" s="21">
        <f ca="1">ROUND(F17*(F43+INDIRECT("'数据-取费表'!S"&amp;$G$1)),0)</f>
        <v>98278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29483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2152288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43046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12954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91106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-12954</v>
      </c>
      <c r="K25" s="1095" t="s">
        <v>753</v>
      </c>
      <c r="L25" s="1096"/>
      <c r="M25" s="1097"/>
    </row>
    <row r="26" spans="1:37" ht="18" customHeight="1">
      <c r="A26" s="982" t="s">
        <v>397</v>
      </c>
      <c r="B26" s="302" t="s">
        <v>754</v>
      </c>
      <c r="C26" s="21">
        <f ca="1">ROUND((C19+C20)*F26,0)</f>
        <v>109767</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2590774</v>
      </c>
      <c r="D29" s="1092"/>
      <c r="E29" s="1090"/>
      <c r="F29" s="1093"/>
      <c r="G29" s="1396"/>
      <c r="H29" s="334" t="s">
        <v>396</v>
      </c>
      <c r="I29" s="335" t="s">
        <v>768</v>
      </c>
      <c r="J29" s="336">
        <f ca="1">ROUND(J26/(1+F40)^F41,0)</f>
        <v>0</v>
      </c>
      <c r="K29" s="337" t="s">
        <v>769</v>
      </c>
      <c r="L29" s="338"/>
      <c r="M29" s="339">
        <f ca="1">INDIRECT("'数据-取费表'!k"&amp;$G$1)</f>
        <v>491.39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68050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51109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16262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34847</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12954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2461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1526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237238</v>
      </c>
      <c r="D39" s="1095" t="s">
        <v>773</v>
      </c>
      <c r="E39" s="1096"/>
      <c r="F39" s="1097"/>
      <c r="G39" s="1384"/>
      <c r="H39" s="2700">
        <f ca="1">C39/C5</f>
        <v>0.77709572600298737</v>
      </c>
      <c r="I39" s="1398"/>
      <c r="J39" s="1399"/>
      <c r="K39" s="2704"/>
      <c r="L39" s="2700"/>
      <c r="M39" s="2700"/>
    </row>
    <row r="40" spans="1:18" ht="18" customHeight="1">
      <c r="A40" s="299" t="s">
        <v>395</v>
      </c>
      <c r="B40" s="300" t="s">
        <v>774</v>
      </c>
      <c r="C40" s="301">
        <f ca="1">ROUND(C39*(1-((1+F42)/(1+F40))^F41)/(F40-F42),0)</f>
        <v>6089187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12392</v>
      </c>
      <c r="D43" s="337" t="s">
        <v>777</v>
      </c>
      <c r="E43" s="338" t="s">
        <v>778</v>
      </c>
      <c r="F43" s="339">
        <f ca="1">INDIRECT("'数据-取费表'!k"&amp;$G$1)</f>
        <v>491.39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-635.88930000000005</v>
      </c>
      <c r="D45" s="3432" t="s">
        <v>3358</v>
      </c>
      <c r="E45" s="1400"/>
      <c r="F45" s="1400"/>
      <c r="O45" s="1403" t="s">
        <v>808</v>
      </c>
      <c r="P45" s="1461"/>
      <c r="Q45" s="1461"/>
      <c r="R45" s="1461"/>
    </row>
    <row r="46" spans="1:18" s="1384" customFormat="1" ht="13.5" thickBot="1">
      <c r="A46" s="1404" t="s">
        <v>809</v>
      </c>
      <c r="C46" s="1405">
        <f ca="1">ROUND(C45,0)</f>
        <v>-636</v>
      </c>
      <c r="D46" s="1406" t="str">
        <f>C2</f>
        <v>万元</v>
      </c>
      <c r="I46" s="1407" t="s">
        <v>810</v>
      </c>
      <c r="J46" s="1408"/>
      <c r="K46" s="1409"/>
      <c r="L46" s="1410">
        <f ca="1">IF(M47="住宅",0,IF(L48&gt;J51,L60,J60))</f>
        <v>39082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6089187</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42.59</v>
      </c>
      <c r="O48" s="1418" t="s">
        <v>404</v>
      </c>
      <c r="P48" s="1419" t="s">
        <v>821</v>
      </c>
      <c r="Q48" s="1420">
        <f ca="1">J60</f>
        <v>39082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2590774</v>
      </c>
      <c r="R49" s="1420" t="s">
        <v>818</v>
      </c>
    </row>
    <row r="50" spans="1:18" s="1384" customFormat="1" ht="13.5" thickBot="1">
      <c r="A50" s="976"/>
      <c r="B50" s="979"/>
      <c r="C50" s="980"/>
      <c r="D50" s="953"/>
      <c r="E50" s="1056" t="s">
        <v>697</v>
      </c>
      <c r="F50" s="1057">
        <f ca="1">F7</f>
        <v>491.39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987655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42.59</v>
      </c>
      <c r="K53" s="3706" t="s">
        <v>837</v>
      </c>
      <c r="L53" s="3707"/>
      <c r="O53" s="1418" t="s">
        <v>409</v>
      </c>
      <c r="P53" s="1419" t="s">
        <v>838</v>
      </c>
      <c r="Q53" s="1420">
        <f ca="1">Q47+Q48</f>
        <v>6128269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2461235</v>
      </c>
      <c r="D56" s="1447"/>
      <c r="E56" s="1448"/>
      <c r="F56" s="1440"/>
      <c r="I56" s="1449" t="s">
        <v>842</v>
      </c>
      <c r="J56" s="1450" t="s">
        <v>3390</v>
      </c>
      <c r="K56" s="1421" t="s">
        <v>843</v>
      </c>
      <c r="L56" s="1424" t="str">
        <f ca="1">IF(L48&lt;J51,"——",L48-J51)</f>
        <v>——</v>
      </c>
      <c r="O56" s="1418" t="s">
        <v>403</v>
      </c>
      <c r="P56" s="1419" t="s">
        <v>817</v>
      </c>
      <c r="Q56" s="1420">
        <f ca="1">C40+J29</f>
        <v>6089187</v>
      </c>
      <c r="R56" s="1420" t="s">
        <v>818</v>
      </c>
    </row>
    <row r="57" spans="1:18" s="1384" customFormat="1" ht="24.75" thickBot="1">
      <c r="A57" s="1451"/>
      <c r="B57" s="950" t="s">
        <v>767</v>
      </c>
      <c r="C57" s="238">
        <f ca="1">C29</f>
        <v>2590774</v>
      </c>
      <c r="D57" s="1452"/>
      <c r="E57" s="1453"/>
      <c r="F57" s="1454"/>
      <c r="I57" s="1455" t="s">
        <v>844</v>
      </c>
      <c r="J57" s="1456">
        <f ca="1">IF(OR(M47="住宅",J51&lt;L48,J56="是"),"——",J51-L48)</f>
        <v>14.409999999999997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15415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1036310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39082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6089187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12954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2461</v>
      </c>
      <c r="D65" s="964" t="s">
        <v>743</v>
      </c>
      <c r="E65" s="950" t="s">
        <v>744</v>
      </c>
      <c r="F65" s="330">
        <f t="shared" ca="1" si="0"/>
        <v>1E-3</v>
      </c>
      <c r="I65" s="1462" t="s">
        <v>867</v>
      </c>
      <c r="J65" s="1463">
        <v>40</v>
      </c>
      <c r="K65" s="1463">
        <v>30</v>
      </c>
      <c r="L65" s="1463">
        <v>50</v>
      </c>
      <c r="M65" s="1465">
        <v>0.02</v>
      </c>
      <c r="O65" s="1418" t="s">
        <v>403</v>
      </c>
      <c r="P65" s="1419" t="s">
        <v>868</v>
      </c>
      <c r="Q65" s="1420">
        <f ca="1">C40+J29</f>
        <v>6089187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-15415</v>
      </c>
      <c r="D67" s="963" t="s">
        <v>753</v>
      </c>
      <c r="E67" s="968"/>
      <c r="F67" s="969"/>
      <c r="O67" s="1428" t="s">
        <v>405</v>
      </c>
      <c r="P67" s="1419" t="s">
        <v>850</v>
      </c>
      <c r="Q67" s="1466">
        <f ca="1">L51</f>
        <v>987655</v>
      </c>
      <c r="R67" s="1420" t="s">
        <v>870</v>
      </c>
    </row>
    <row r="68" spans="1:18" s="1384" customFormat="1" ht="16.5" thickBot="1">
      <c r="A68" s="947" t="s">
        <v>395</v>
      </c>
      <c r="B68" s="948" t="s">
        <v>774</v>
      </c>
      <c r="C68" s="301">
        <f ca="1">ROUND(C67*(1-((1+F70)/(1+F68))^F69)/(F68-F70),0)</f>
        <v>-269706</v>
      </c>
      <c r="D68" s="965" t="s">
        <v>758</v>
      </c>
      <c r="E68" s="950" t="s">
        <v>759</v>
      </c>
      <c r="F68" s="312">
        <f ca="1">F40</f>
        <v>0.05</v>
      </c>
      <c r="O68" s="1428" t="s">
        <v>406</v>
      </c>
      <c r="P68" s="1467" t="s">
        <v>871</v>
      </c>
      <c r="Q68" s="1420">
        <f ca="1">ROUND(Q69-Q70*Q71,0)</f>
        <v>52645</v>
      </c>
      <c r="R68" s="1420" t="s">
        <v>414</v>
      </c>
    </row>
    <row r="69" spans="1:18" s="1384" customFormat="1" ht="13.5" thickBot="1">
      <c r="A69" s="951"/>
      <c r="B69" s="952"/>
      <c r="C69" s="306"/>
      <c r="D69" s="970" t="s">
        <v>762</v>
      </c>
      <c r="E69" s="950" t="s">
        <v>763</v>
      </c>
      <c r="F69" s="333">
        <f ca="1">F41</f>
        <v>42.59</v>
      </c>
      <c r="O69" s="1428" t="s">
        <v>411</v>
      </c>
      <c r="P69" s="1467" t="s">
        <v>872</v>
      </c>
      <c r="Q69" s="1420">
        <f ca="1">C39</f>
        <v>237238</v>
      </c>
      <c r="R69" s="1420" t="s">
        <v>818</v>
      </c>
    </row>
    <row r="70" spans="1:18" s="1384" customFormat="1" ht="13.5" thickBot="1">
      <c r="A70" s="954"/>
      <c r="B70" s="955"/>
      <c r="C70" s="310"/>
      <c r="D70" s="966"/>
      <c r="E70" s="950" t="s">
        <v>766</v>
      </c>
      <c r="F70" s="1054"/>
      <c r="O70" s="1428" t="s">
        <v>412</v>
      </c>
      <c r="P70" s="1467" t="s">
        <v>873</v>
      </c>
      <c r="Q70" s="1420">
        <f ca="1">C13</f>
        <v>2461235</v>
      </c>
      <c r="R70" s="1420" t="s">
        <v>818</v>
      </c>
    </row>
    <row r="71" spans="1:18" s="1384" customFormat="1" ht="13.5" thickBot="1">
      <c r="A71" s="971" t="s">
        <v>396</v>
      </c>
      <c r="B71" s="972" t="s">
        <v>776</v>
      </c>
      <c r="C71" s="336">
        <f ca="1">ROUND(C68/F71,0)</f>
        <v>-549</v>
      </c>
      <c r="D71" s="973" t="s">
        <v>777</v>
      </c>
      <c r="E71" s="974" t="s">
        <v>778</v>
      </c>
      <c r="F71" s="339">
        <f ca="1">F43</f>
        <v>491.39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184593</v>
      </c>
      <c r="D75" s="1384"/>
      <c r="E75" s="1384"/>
      <c r="F75" s="1384"/>
      <c r="K75" s="1402"/>
      <c r="L75" s="1384"/>
      <c r="O75" s="1418" t="s">
        <v>409</v>
      </c>
      <c r="P75" s="1419" t="s">
        <v>838</v>
      </c>
      <c r="Q75" s="1420">
        <f ca="1">Q65+Q66</f>
        <v>6089187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0.22199999999999998</v>
      </c>
    </row>
    <row r="80" spans="1:18">
      <c r="B80" s="340" t="s">
        <v>800</v>
      </c>
      <c r="C80" s="274">
        <f ca="1">ROUND(C75/C39,3)</f>
        <v>0.77800000000000002</v>
      </c>
    </row>
    <row r="81" spans="2:3">
      <c r="B81" s="270" t="s">
        <v>801</v>
      </c>
      <c r="C81" s="238"/>
    </row>
    <row r="82" spans="2:3">
      <c r="B82" s="273" t="s">
        <v>802</v>
      </c>
      <c r="C82" s="275">
        <f ca="1">1-C83</f>
        <v>0.59599999999999997</v>
      </c>
    </row>
    <row r="83" spans="2:3">
      <c r="B83" s="273" t="s">
        <v>803</v>
      </c>
      <c r="C83" s="274">
        <f ca="1">ROUND(C13/C40,3)</f>
        <v>0.40400000000000003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20" t="s">
        <v>2320</v>
      </c>
      <c r="K2" s="372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2" t="s">
        <v>2330</v>
      </c>
      <c r="K3" s="372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2" t="s">
        <v>2332</v>
      </c>
      <c r="K4" s="372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8" t="s">
        <v>2336</v>
      </c>
      <c r="B6" s="3729"/>
      <c r="C6" s="3730"/>
      <c r="D6" s="2870"/>
      <c r="E6" s="2871"/>
      <c r="F6" s="2872"/>
      <c r="G6" s="2873"/>
      <c r="H6" s="2848"/>
      <c r="I6" s="2849"/>
      <c r="J6" s="3714">
        <v>1</v>
      </c>
      <c r="K6" s="371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4"/>
      <c r="K7" s="371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1" t="s">
        <v>2350</v>
      </c>
      <c r="C8" s="3732"/>
      <c r="D8" s="2889" t="s">
        <v>2351</v>
      </c>
      <c r="E8" s="2890" t="s">
        <v>2352</v>
      </c>
      <c r="F8" s="2891" t="s">
        <v>2353</v>
      </c>
      <c r="G8" s="2892"/>
      <c r="H8" s="2848"/>
      <c r="I8" s="2849"/>
      <c r="J8" s="3714"/>
      <c r="K8" s="371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1" t="s">
        <v>2356</v>
      </c>
      <c r="C9" s="3732"/>
      <c r="D9" s="2889">
        <f>ROUND(D6*E9,0)</f>
        <v>0</v>
      </c>
      <c r="E9" s="2893"/>
      <c r="F9" s="2894" t="s">
        <v>2357</v>
      </c>
      <c r="G9" s="2873"/>
      <c r="H9" s="2848"/>
      <c r="I9" s="2849"/>
      <c r="J9" s="3714"/>
      <c r="K9" s="3716"/>
      <c r="L9" s="2883" t="s">
        <v>2358</v>
      </c>
      <c r="M9" s="2884"/>
      <c r="N9" s="2860"/>
      <c r="O9" s="2885"/>
      <c r="P9" s="2885"/>
      <c r="Q9" s="2886">
        <v>365</v>
      </c>
      <c r="R9" s="2887">
        <f t="shared" si="0"/>
        <v>0</v>
      </c>
      <c r="S9" s="2841"/>
      <c r="T9" s="2841"/>
      <c r="U9" s="2841"/>
      <c r="V9" s="2849"/>
    </row>
    <row r="10" spans="1:22" s="2853" customFormat="1" ht="13.15" customHeight="1">
      <c r="A10" s="2888">
        <v>2</v>
      </c>
      <c r="B10" s="3731" t="s">
        <v>2359</v>
      </c>
      <c r="C10" s="3732"/>
      <c r="D10" s="2889">
        <f>ROUND(D6*E10,0)</f>
        <v>0</v>
      </c>
      <c r="E10" s="2893"/>
      <c r="F10" s="2894" t="s">
        <v>2360</v>
      </c>
      <c r="G10" s="2873"/>
      <c r="H10" s="2848"/>
      <c r="I10" s="2849"/>
      <c r="J10" s="3714"/>
      <c r="K10" s="3716"/>
      <c r="L10" s="2883" t="s">
        <v>2361</v>
      </c>
      <c r="M10" s="2884"/>
      <c r="N10" s="2860"/>
      <c r="O10" s="2885"/>
      <c r="P10" s="2885"/>
      <c r="Q10" s="2886">
        <v>365</v>
      </c>
      <c r="R10" s="2887">
        <f t="shared" si="0"/>
        <v>0</v>
      </c>
      <c r="S10" s="2841"/>
      <c r="T10" s="2841"/>
      <c r="U10" s="2841"/>
      <c r="V10" s="2849"/>
    </row>
    <row r="11" spans="1:22" s="2853" customFormat="1" ht="13.15" customHeight="1">
      <c r="A11" s="2888">
        <v>3</v>
      </c>
      <c r="B11" s="3731" t="s">
        <v>2362</v>
      </c>
      <c r="C11" s="3732"/>
      <c r="D11" s="2889">
        <f>D12+D14+D15+D16</f>
        <v>0</v>
      </c>
      <c r="E11" s="2895" t="e">
        <f>D11/D6</f>
        <v>#DIV/0!</v>
      </c>
      <c r="F11" s="2891"/>
      <c r="G11" s="2892"/>
      <c r="H11" s="2848"/>
      <c r="I11" s="2849"/>
      <c r="J11" s="3714"/>
      <c r="K11" s="371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4" t="s">
        <v>2365</v>
      </c>
      <c r="C12" s="3725"/>
      <c r="D12" s="2897">
        <f>ROUND(D13*1.2%*(1-30%),0)</f>
        <v>0</v>
      </c>
      <c r="E12" s="2898">
        <v>1.2E-2</v>
      </c>
      <c r="F12" s="2891" t="s">
        <v>2366</v>
      </c>
      <c r="G12" s="2892"/>
      <c r="H12" s="2848"/>
      <c r="I12" s="2849"/>
      <c r="J12" s="3714"/>
      <c r="K12" s="371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4"/>
      <c r="K13" s="371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4" t="s">
        <v>2371</v>
      </c>
      <c r="C14" s="3725"/>
      <c r="D14" s="2897">
        <f>ROUND(E14*B5/10000,0)</f>
        <v>0</v>
      </c>
      <c r="E14" s="2886"/>
      <c r="F14" s="2891" t="s">
        <v>2372</v>
      </c>
      <c r="G14" s="2892"/>
      <c r="H14" s="2848"/>
      <c r="I14" s="2849"/>
      <c r="J14" s="3714"/>
      <c r="K14" s="371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4" t="s">
        <v>2375</v>
      </c>
      <c r="C15" s="3725"/>
      <c r="D15" s="2897">
        <f>ROUND(D6*E15,0)</f>
        <v>0</v>
      </c>
      <c r="E15" s="2898">
        <v>5.5E-2</v>
      </c>
      <c r="F15" s="2891" t="s">
        <v>2376</v>
      </c>
      <c r="G15" s="2873"/>
      <c r="H15" s="2848"/>
      <c r="I15" s="2849"/>
      <c r="J15" s="3714">
        <v>2</v>
      </c>
      <c r="K15" s="371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4" t="s">
        <v>2384</v>
      </c>
      <c r="C16" s="3725"/>
      <c r="D16" s="2908">
        <f>D6*E16</f>
        <v>0</v>
      </c>
      <c r="E16" s="2909"/>
      <c r="F16" s="2894" t="s">
        <v>2385</v>
      </c>
      <c r="G16" s="2873"/>
      <c r="H16" s="2848"/>
      <c r="I16" s="2849"/>
      <c r="J16" s="3714"/>
      <c r="K16" s="371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2387</v>
      </c>
      <c r="C17" s="3727"/>
      <c r="D17" s="2911">
        <f>ROUND(D6*E17,0)</f>
        <v>0</v>
      </c>
      <c r="E17" s="2912"/>
      <c r="F17" s="2913" t="s">
        <v>2388</v>
      </c>
      <c r="G17" s="2873"/>
      <c r="H17" s="2848"/>
      <c r="I17" s="2849"/>
      <c r="J17" s="3714"/>
      <c r="K17" s="371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4"/>
      <c r="K18" s="371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4"/>
      <c r="K19" s="371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4"/>
      <c r="K21" s="371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4"/>
      <c r="K22" s="371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4"/>
      <c r="K23" s="371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4"/>
      <c r="K24" s="371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0" t="s">
        <v>2320</v>
      </c>
      <c r="K32" s="372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2" t="s">
        <v>2330</v>
      </c>
      <c r="K33" s="372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2" t="s">
        <v>2332</v>
      </c>
      <c r="K34" s="372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4">
        <v>1</v>
      </c>
      <c r="K36" s="371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4"/>
      <c r="K40" s="371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23784.8269</v>
      </c>
      <c r="C2" s="1872" t="s">
        <v>1651</v>
      </c>
      <c r="D2" s="1873" t="s">
        <v>1652</v>
      </c>
      <c r="E2" s="2607">
        <f>SUM(E6:E13)</f>
        <v>8188.9200000000019</v>
      </c>
      <c r="F2" s="2707"/>
      <c r="G2" s="1489"/>
      <c r="H2" s="1489"/>
      <c r="I2" s="1489"/>
      <c r="J2" s="1489"/>
      <c r="K2" s="1489"/>
      <c r="L2" s="1489"/>
      <c r="M2" s="1489"/>
      <c r="N2" s="1489"/>
      <c r="O2" s="1489"/>
      <c r="P2" s="1489"/>
      <c r="Q2" s="1489"/>
      <c r="R2" s="1489"/>
      <c r="S2" s="1489"/>
    </row>
    <row r="3" spans="1:22" ht="15.75">
      <c r="A3" s="1870" t="s">
        <v>686</v>
      </c>
      <c r="B3" s="2601">
        <f ca="1">ROUND(B2*10000/E2,0)</f>
        <v>29045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23172</v>
      </c>
      <c r="C6" s="1872" t="s">
        <v>1651</v>
      </c>
      <c r="D6" s="2709"/>
      <c r="E6" s="2606">
        <f>IF(OR(A6=0,F6="否"),0,'数据-取费表'!K6+'数据-取费表'!S6)</f>
        <v>7697.5300000000016</v>
      </c>
      <c r="F6" s="1876" t="s">
        <v>1657</v>
      </c>
      <c r="G6" s="1489"/>
      <c r="H6" s="1489"/>
      <c r="I6" s="1489"/>
      <c r="J6" s="1489"/>
      <c r="K6" s="1489"/>
      <c r="L6" s="1489"/>
      <c r="M6" s="1489"/>
      <c r="N6" s="1489"/>
      <c r="O6" s="1489"/>
      <c r="P6" s="1489"/>
      <c r="Q6" s="1489"/>
      <c r="R6" s="1489"/>
      <c r="S6" s="1489"/>
    </row>
    <row r="7" spans="1:22">
      <c r="A7" s="2604" t="str">
        <f>'数据-取费表'!AN7</f>
        <v>收益法 (元)</v>
      </c>
      <c r="B7" s="2602">
        <f ca="1">IF(F7="是",'数据-取费表'!AO7,0)</f>
        <v>612.82690000000002</v>
      </c>
      <c r="C7" s="1872" t="s">
        <v>1651</v>
      </c>
      <c r="D7" s="2709"/>
      <c r="E7" s="2606">
        <f>IF(OR(A7=0,F7="否"),0,'数据-取费表'!K7+'数据-取费表'!S7)</f>
        <v>491.39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8188.9200000000019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2" t="s">
        <v>1667</v>
      </c>
      <c r="D4" s="3673"/>
      <c r="E4" s="3674" t="s">
        <v>1668</v>
      </c>
      <c r="F4" s="3675"/>
      <c r="G4" s="3672" t="s">
        <v>1669</v>
      </c>
      <c r="H4" s="3673"/>
      <c r="I4" s="3672" t="s">
        <v>1670</v>
      </c>
      <c r="J4" s="3673"/>
      <c r="K4" s="1889" t="s">
        <v>1671</v>
      </c>
      <c r="L4" s="2715"/>
      <c r="M4" s="2716"/>
      <c r="N4" s="2716"/>
      <c r="O4" s="2716"/>
      <c r="P4" s="3739" t="s">
        <v>1672</v>
      </c>
      <c r="Q4" s="3740"/>
      <c r="R4" s="3743" t="s">
        <v>1668</v>
      </c>
      <c r="S4" s="3744"/>
      <c r="T4" s="3743" t="s">
        <v>1669</v>
      </c>
      <c r="U4" s="3744"/>
      <c r="V4" s="3689" t="s">
        <v>1670</v>
      </c>
      <c r="W4" s="3689"/>
      <c r="X4" s="1355"/>
      <c r="Y4" s="3743" t="s">
        <v>1672</v>
      </c>
      <c r="Z4" s="3744"/>
      <c r="AA4" s="3738" t="s">
        <v>1668</v>
      </c>
      <c r="AB4" s="3738" t="s">
        <v>1669</v>
      </c>
      <c r="AC4" s="3738" t="s">
        <v>1670</v>
      </c>
    </row>
    <row r="5" spans="1:29" ht="15">
      <c r="A5" s="358"/>
      <c r="B5" s="359"/>
      <c r="C5" s="3698" t="s">
        <v>1673</v>
      </c>
      <c r="D5" s="3693"/>
      <c r="E5" s="3745" t="s">
        <v>1674</v>
      </c>
      <c r="F5" s="3705"/>
      <c r="G5" s="3698" t="s">
        <v>1675</v>
      </c>
      <c r="H5" s="3693"/>
      <c r="I5" s="3698" t="s">
        <v>1676</v>
      </c>
      <c r="J5" s="3693"/>
      <c r="K5" s="1890"/>
      <c r="L5" s="2715"/>
      <c r="M5" s="2716"/>
      <c r="N5" s="2716"/>
      <c r="O5" s="2716"/>
      <c r="P5" s="3741"/>
      <c r="Q5" s="3679"/>
      <c r="R5" s="3684"/>
      <c r="S5" s="3685"/>
      <c r="T5" s="3684"/>
      <c r="U5" s="3685"/>
      <c r="V5" s="3689"/>
      <c r="W5" s="3689"/>
      <c r="X5" s="1355"/>
      <c r="Y5" s="3684"/>
      <c r="Z5" s="3685"/>
      <c r="AA5" s="3702"/>
      <c r="AB5" s="3702"/>
      <c r="AC5" s="3702"/>
    </row>
    <row r="6" spans="1:29" ht="15.75" thickBot="1">
      <c r="A6" s="360"/>
      <c r="B6" s="361"/>
      <c r="C6" s="3690" t="s">
        <v>1677</v>
      </c>
      <c r="D6" s="3691"/>
      <c r="E6" s="3699" t="s">
        <v>1677</v>
      </c>
      <c r="F6" s="3700"/>
      <c r="G6" s="3690" t="s">
        <v>1677</v>
      </c>
      <c r="H6" s="3691"/>
      <c r="I6" s="3690" t="s">
        <v>1677</v>
      </c>
      <c r="J6" s="3691"/>
      <c r="K6" s="1890" t="s">
        <v>1678</v>
      </c>
      <c r="L6" s="2715"/>
      <c r="M6" s="2716"/>
      <c r="N6" s="2716"/>
      <c r="O6" s="2716"/>
      <c r="P6" s="3742"/>
      <c r="Q6" s="3681"/>
      <c r="R6" s="3684"/>
      <c r="S6" s="3685"/>
      <c r="T6" s="3686"/>
      <c r="U6" s="3687"/>
      <c r="V6" s="3689"/>
      <c r="W6" s="3689"/>
      <c r="X6" s="1355"/>
      <c r="Y6" s="3686"/>
      <c r="Z6" s="3687"/>
      <c r="AA6" s="3703"/>
      <c r="AB6" s="3703"/>
      <c r="AC6" s="3703"/>
    </row>
    <row r="7" spans="1:29" s="108" customFormat="1" ht="15.75" thickBot="1">
      <c r="A7" s="362" t="s">
        <v>1679</v>
      </c>
      <c r="B7" s="363"/>
      <c r="C7" s="364">
        <f>'数据-取费表'!B2</f>
        <v>45039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1680</v>
      </c>
      <c r="Q7" s="3697"/>
      <c r="R7" s="701" t="s">
        <v>20</v>
      </c>
      <c r="S7" s="702">
        <f t="shared" ref="S7:S15" si="0">F7</f>
        <v>0</v>
      </c>
      <c r="T7" s="701" t="s">
        <v>20</v>
      </c>
      <c r="U7" s="702">
        <f t="shared" ref="U7:U15" si="1">H7</f>
        <v>0</v>
      </c>
      <c r="V7" s="701" t="s">
        <v>20</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5"/>
      <c r="R8" s="701" t="s">
        <v>20</v>
      </c>
      <c r="S8" s="702">
        <f t="shared" si="0"/>
        <v>100</v>
      </c>
      <c r="T8" s="701" t="s">
        <v>20</v>
      </c>
      <c r="U8" s="702">
        <f t="shared" si="1"/>
        <v>100</v>
      </c>
      <c r="V8" s="701" t="s">
        <v>20</v>
      </c>
      <c r="W8" s="702">
        <f t="shared" si="2"/>
        <v>100</v>
      </c>
      <c r="X8" s="703"/>
      <c r="Y8" s="3696"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4"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4"/>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4"/>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4"/>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4"/>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0" t="s">
        <v>1691</v>
      </c>
      <c r="Q15" s="1352" t="str">
        <f t="shared" si="6"/>
        <v>居住社区成熟度</v>
      </c>
      <c r="R15" s="705" t="s">
        <v>18</v>
      </c>
      <c r="S15" s="706">
        <f t="shared" si="0"/>
        <v>100</v>
      </c>
      <c r="T15" s="705" t="s">
        <v>18</v>
      </c>
      <c r="U15" s="706">
        <f t="shared" si="1"/>
        <v>100</v>
      </c>
      <c r="V15" s="705" t="s">
        <v>18</v>
      </c>
      <c r="W15" s="706">
        <f t="shared" si="2"/>
        <v>100</v>
      </c>
      <c r="X15" s="1355"/>
      <c r="Y15" s="36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1"/>
      <c r="Q16" s="1352"/>
      <c r="R16" s="705"/>
      <c r="S16" s="706"/>
      <c r="T16" s="705"/>
      <c r="U16" s="706"/>
      <c r="V16" s="705"/>
      <c r="W16" s="706"/>
      <c r="X16" s="1355"/>
      <c r="Y16" s="366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1"/>
      <c r="Q18" s="1352"/>
      <c r="R18" s="705"/>
      <c r="S18" s="706"/>
      <c r="T18" s="705"/>
      <c r="U18" s="706"/>
      <c r="V18" s="705"/>
      <c r="W18" s="706"/>
      <c r="X18" s="1355"/>
      <c r="Y18" s="366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1"/>
      <c r="Q20" s="1352"/>
      <c r="R20" s="705"/>
      <c r="S20" s="706"/>
      <c r="T20" s="705"/>
      <c r="U20" s="706"/>
      <c r="V20" s="705"/>
      <c r="W20" s="706"/>
      <c r="X20" s="1355"/>
      <c r="Y20" s="366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1"/>
      <c r="Q22" s="1352"/>
      <c r="R22" s="705"/>
      <c r="S22" s="706"/>
      <c r="T22" s="705"/>
      <c r="U22" s="706"/>
      <c r="V22" s="705"/>
      <c r="W22" s="706"/>
      <c r="X22" s="1355"/>
      <c r="Y22" s="366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1"/>
      <c r="Q24" s="1352"/>
      <c r="R24" s="705"/>
      <c r="S24" s="706"/>
      <c r="T24" s="705"/>
      <c r="U24" s="706"/>
      <c r="V24" s="705"/>
      <c r="W24" s="706"/>
      <c r="X24" s="1355"/>
      <c r="Y24" s="366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4" t="s">
        <v>1696</v>
      </c>
      <c r="Q32" s="1352" t="str">
        <f t="shared" si="11"/>
        <v>建筑类型</v>
      </c>
      <c r="R32" s="705" t="s">
        <v>18</v>
      </c>
      <c r="S32" s="706">
        <f t="shared" si="12"/>
        <v>100</v>
      </c>
      <c r="T32" s="705" t="s">
        <v>18</v>
      </c>
      <c r="U32" s="706">
        <f t="shared" si="13"/>
        <v>100</v>
      </c>
      <c r="V32" s="705" t="s">
        <v>18</v>
      </c>
      <c r="W32" s="706">
        <f t="shared" si="14"/>
        <v>100</v>
      </c>
      <c r="X32" s="1355"/>
      <c r="Y32" s="366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5" t="s">
        <v>1696</v>
      </c>
      <c r="Q38" s="1352" t="str">
        <f t="shared" si="11"/>
        <v>物业管理</v>
      </c>
      <c r="R38" s="705" t="s">
        <v>18</v>
      </c>
      <c r="S38" s="706">
        <f t="shared" si="12"/>
        <v>100</v>
      </c>
      <c r="T38" s="705" t="s">
        <v>18</v>
      </c>
      <c r="U38" s="706">
        <f t="shared" si="13"/>
        <v>100</v>
      </c>
      <c r="V38" s="705" t="s">
        <v>18</v>
      </c>
      <c r="W38" s="706">
        <f t="shared" si="14"/>
        <v>100</v>
      </c>
      <c r="X38" s="1355"/>
      <c r="Y38" s="36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估价对象为北京市房地产，为所有。根据《国有土地使用证》[]，估价对象（分摊）出让国有建设用地使用权面积为0平方米，建筑面积为8188.92平方米。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估价对象为北京市房地产,属开发建设的，该项目尚在开发建设中。根据《国有土地使用证》[]，估价对象（分摊）出让国有建设用地使用权面积为0平方米，规划建筑面积为8188.92平方米。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8188.9200000000019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9" t="s">
        <v>1775</v>
      </c>
      <c r="Q4" s="3740"/>
      <c r="R4" s="3743" t="s">
        <v>1771</v>
      </c>
      <c r="S4" s="3744"/>
      <c r="T4" s="3743" t="s">
        <v>1772</v>
      </c>
      <c r="U4" s="3744"/>
      <c r="V4" s="3689" t="s">
        <v>1773</v>
      </c>
      <c r="W4" s="3689"/>
      <c r="X4" s="1355"/>
      <c r="Y4" s="3743" t="s">
        <v>1775</v>
      </c>
      <c r="Z4" s="3744"/>
      <c r="AA4" s="3738" t="s">
        <v>1771</v>
      </c>
      <c r="AB4" s="3689" t="s">
        <v>1772</v>
      </c>
      <c r="AC4" s="3738" t="s">
        <v>1773</v>
      </c>
    </row>
    <row r="5" spans="1:29" ht="15">
      <c r="A5" s="358"/>
      <c r="B5" s="359"/>
      <c r="C5" s="3698" t="s">
        <v>1673</v>
      </c>
      <c r="D5" s="3693"/>
      <c r="E5" s="3745" t="s">
        <v>1674</v>
      </c>
      <c r="F5" s="3705"/>
      <c r="G5" s="3698" t="s">
        <v>1675</v>
      </c>
      <c r="H5" s="3693"/>
      <c r="I5" s="3698" t="s">
        <v>1676</v>
      </c>
      <c r="J5" s="3693"/>
      <c r="K5" s="559"/>
      <c r="L5" s="2715"/>
      <c r="M5" s="2716"/>
      <c r="N5" s="2716"/>
      <c r="O5" s="2716"/>
      <c r="P5" s="3741"/>
      <c r="Q5" s="3679"/>
      <c r="R5" s="3684"/>
      <c r="S5" s="3685"/>
      <c r="T5" s="3684"/>
      <c r="U5" s="3685"/>
      <c r="V5" s="3689"/>
      <c r="W5" s="3689"/>
      <c r="X5" s="1355"/>
      <c r="Y5" s="3684"/>
      <c r="Z5" s="3685"/>
      <c r="AA5" s="3702"/>
      <c r="AB5" s="3689"/>
      <c r="AC5" s="3702"/>
    </row>
    <row r="6" spans="1:29" ht="15.75" thickBot="1">
      <c r="A6" s="360"/>
      <c r="B6" s="361"/>
      <c r="C6" s="3690" t="s">
        <v>1677</v>
      </c>
      <c r="D6" s="3691"/>
      <c r="E6" s="3699" t="s">
        <v>1677</v>
      </c>
      <c r="F6" s="3700"/>
      <c r="G6" s="3690" t="s">
        <v>1677</v>
      </c>
      <c r="H6" s="3691"/>
      <c r="I6" s="3690" t="s">
        <v>1677</v>
      </c>
      <c r="J6" s="3691"/>
      <c r="K6" s="559" t="s">
        <v>1678</v>
      </c>
      <c r="L6" s="2715"/>
      <c r="M6" s="2716"/>
      <c r="N6" s="2716"/>
      <c r="O6" s="2716"/>
      <c r="P6" s="3742"/>
      <c r="Q6" s="3681"/>
      <c r="R6" s="3684"/>
      <c r="S6" s="3685"/>
      <c r="T6" s="3686"/>
      <c r="U6" s="3687"/>
      <c r="V6" s="3689"/>
      <c r="W6" s="3689"/>
      <c r="X6" s="1355"/>
      <c r="Y6" s="3686"/>
      <c r="Z6" s="3687"/>
      <c r="AA6" s="3703"/>
      <c r="AB6" s="3689"/>
      <c r="AC6" s="3703"/>
    </row>
    <row r="7" spans="1:29" s="108" customFormat="1" ht="15.75" thickBot="1">
      <c r="A7" s="362" t="s">
        <v>1679</v>
      </c>
      <c r="B7" s="363"/>
      <c r="C7" s="364">
        <f>'数据-取费表'!B2</f>
        <v>45039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5"/>
      <c r="R8" s="701" t="s">
        <v>14</v>
      </c>
      <c r="S8" s="702">
        <f t="shared" si="0"/>
        <v>100</v>
      </c>
      <c r="T8" s="701" t="s">
        <v>14</v>
      </c>
      <c r="U8" s="702">
        <f t="shared" si="1"/>
        <v>100</v>
      </c>
      <c r="V8" s="701" t="s">
        <v>14</v>
      </c>
      <c r="W8" s="702">
        <f t="shared" si="2"/>
        <v>100</v>
      </c>
      <c r="X8" s="703"/>
      <c r="Y8" s="3696"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4"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4"/>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4"/>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4"/>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4"/>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0" t="s">
        <v>1691</v>
      </c>
      <c r="Q15" s="1352" t="str">
        <f t="shared" si="6"/>
        <v>商业繁华度</v>
      </c>
      <c r="R15" s="705" t="s">
        <v>14</v>
      </c>
      <c r="S15" s="706">
        <f t="shared" si="0"/>
        <v>100</v>
      </c>
      <c r="T15" s="705" t="s">
        <v>14</v>
      </c>
      <c r="U15" s="706">
        <f t="shared" si="1"/>
        <v>100</v>
      </c>
      <c r="V15" s="705" t="s">
        <v>14</v>
      </c>
      <c r="W15" s="706">
        <f t="shared" si="2"/>
        <v>100</v>
      </c>
      <c r="X15" s="1355"/>
      <c r="Y15" s="36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1"/>
      <c r="Q16" s="1352"/>
      <c r="R16" s="705"/>
      <c r="S16" s="706"/>
      <c r="T16" s="705"/>
      <c r="U16" s="706"/>
      <c r="V16" s="705"/>
      <c r="W16" s="706"/>
      <c r="X16" s="1355"/>
      <c r="Y16" s="366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1"/>
      <c r="Q18" s="1352"/>
      <c r="R18" s="705"/>
      <c r="S18" s="706"/>
      <c r="T18" s="705"/>
      <c r="U18" s="706"/>
      <c r="V18" s="705"/>
      <c r="W18" s="706"/>
      <c r="X18" s="1355"/>
      <c r="Y18" s="366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1"/>
      <c r="Q20" s="1352"/>
      <c r="R20" s="705"/>
      <c r="S20" s="706"/>
      <c r="T20" s="705"/>
      <c r="U20" s="706"/>
      <c r="V20" s="705"/>
      <c r="W20" s="706"/>
      <c r="X20" s="1355"/>
      <c r="Y20" s="366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1"/>
      <c r="Q22" s="1352"/>
      <c r="R22" s="705"/>
      <c r="S22" s="706"/>
      <c r="T22" s="705"/>
      <c r="U22" s="706"/>
      <c r="V22" s="705"/>
      <c r="W22" s="706"/>
      <c r="X22" s="1355"/>
      <c r="Y22" s="366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1"/>
      <c r="Q24" s="1352"/>
      <c r="R24" s="705"/>
      <c r="S24" s="706"/>
      <c r="T24" s="705"/>
      <c r="U24" s="706"/>
      <c r="V24" s="705"/>
      <c r="W24" s="706"/>
      <c r="X24" s="1355"/>
      <c r="Y24" s="36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1"/>
      <c r="Q25" s="1352" t="str">
        <f t="shared" ref="Q25:Q46" si="11">B25</f>
        <v>临街状况</v>
      </c>
      <c r="R25" s="705" t="s">
        <v>14</v>
      </c>
      <c r="S25" s="706">
        <f>F25</f>
        <v>100</v>
      </c>
      <c r="T25" s="705" t="s">
        <v>14</v>
      </c>
      <c r="U25" s="706">
        <f>H25</f>
        <v>100</v>
      </c>
      <c r="V25" s="705" t="s">
        <v>14</v>
      </c>
      <c r="W25" s="706">
        <f>J25</f>
        <v>100</v>
      </c>
      <c r="X25" s="1355"/>
      <c r="Y25" s="36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1"/>
      <c r="Q27" s="1343" t="str">
        <f t="shared" si="11"/>
        <v>人流量</v>
      </c>
      <c r="R27" s="701" t="s">
        <v>14</v>
      </c>
      <c r="S27" s="702">
        <f>F27</f>
        <v>100</v>
      </c>
      <c r="T27" s="701" t="s">
        <v>14</v>
      </c>
      <c r="U27" s="702">
        <f>H27</f>
        <v>100</v>
      </c>
      <c r="V27" s="701" t="s">
        <v>14</v>
      </c>
      <c r="W27" s="702">
        <f>J27</f>
        <v>100</v>
      </c>
      <c r="X27" s="703"/>
      <c r="Y27" s="36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4" t="s">
        <v>1696</v>
      </c>
      <c r="Q32" s="1352" t="str">
        <f t="shared" si="11"/>
        <v>商业类型</v>
      </c>
      <c r="R32" s="705" t="s">
        <v>14</v>
      </c>
      <c r="S32" s="706">
        <f t="shared" si="12"/>
        <v>100</v>
      </c>
      <c r="T32" s="705" t="s">
        <v>14</v>
      </c>
      <c r="U32" s="706">
        <f t="shared" si="13"/>
        <v>100</v>
      </c>
      <c r="V32" s="705" t="s">
        <v>14</v>
      </c>
      <c r="W32" s="706">
        <f t="shared" si="14"/>
        <v>100</v>
      </c>
      <c r="X32" s="1355"/>
      <c r="Y32" s="36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5"/>
      <c r="Q33" s="707" t="str">
        <f t="shared" si="11"/>
        <v>项目建筑规模</v>
      </c>
      <c r="R33" s="708" t="s">
        <v>14</v>
      </c>
      <c r="S33" s="709" t="e">
        <f t="shared" si="12"/>
        <v>#N/A</v>
      </c>
      <c r="T33" s="708" t="s">
        <v>14</v>
      </c>
      <c r="U33" s="709" t="e">
        <f t="shared" si="13"/>
        <v>#N/A</v>
      </c>
      <c r="V33" s="708" t="s">
        <v>14</v>
      </c>
      <c r="W33" s="709" t="e">
        <f t="shared" si="14"/>
        <v>#N/A</v>
      </c>
      <c r="X33" s="710"/>
      <c r="Y33" s="36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5"/>
      <c r="Q36" s="1352" t="str">
        <f t="shared" si="11"/>
        <v>成新度</v>
      </c>
      <c r="R36" s="705" t="s">
        <v>14</v>
      </c>
      <c r="S36" s="706" t="e">
        <f t="shared" si="12"/>
        <v>#N/A</v>
      </c>
      <c r="T36" s="705" t="s">
        <v>14</v>
      </c>
      <c r="U36" s="706" t="e">
        <f t="shared" si="13"/>
        <v>#N/A</v>
      </c>
      <c r="V36" s="705" t="s">
        <v>14</v>
      </c>
      <c r="W36" s="706" t="e">
        <f t="shared" si="14"/>
        <v>#N/A</v>
      </c>
      <c r="X36" s="1355"/>
      <c r="Y36" s="36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5"/>
      <c r="Q37" s="1343" t="str">
        <f t="shared" si="11"/>
        <v>市政基础设施</v>
      </c>
      <c r="R37" s="701" t="s">
        <v>14</v>
      </c>
      <c r="S37" s="702">
        <f t="shared" si="12"/>
        <v>100</v>
      </c>
      <c r="T37" s="701" t="s">
        <v>14</v>
      </c>
      <c r="U37" s="702">
        <f t="shared" si="13"/>
        <v>100</v>
      </c>
      <c r="V37" s="701" t="s">
        <v>14</v>
      </c>
      <c r="W37" s="702">
        <f t="shared" si="14"/>
        <v>100</v>
      </c>
      <c r="X37" s="703"/>
      <c r="Y37" s="36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5" t="s">
        <v>1696</v>
      </c>
      <c r="Q38" s="1352" t="str">
        <f t="shared" si="11"/>
        <v>业态</v>
      </c>
      <c r="R38" s="705" t="s">
        <v>14</v>
      </c>
      <c r="S38" s="706">
        <f t="shared" si="12"/>
        <v>100</v>
      </c>
      <c r="T38" s="705" t="s">
        <v>14</v>
      </c>
      <c r="U38" s="706">
        <f t="shared" si="13"/>
        <v>100</v>
      </c>
      <c r="V38" s="705" t="s">
        <v>14</v>
      </c>
      <c r="W38" s="706">
        <f t="shared" si="14"/>
        <v>100</v>
      </c>
      <c r="X38" s="1355"/>
      <c r="Y38" s="36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5"/>
      <c r="Q41" s="707" t="str">
        <f t="shared" si="11"/>
        <v>进深比</v>
      </c>
      <c r="R41" s="708" t="s">
        <v>14</v>
      </c>
      <c r="S41" s="709">
        <f t="shared" si="12"/>
        <v>100</v>
      </c>
      <c r="T41" s="708" t="s">
        <v>14</v>
      </c>
      <c r="U41" s="709">
        <f t="shared" si="13"/>
        <v>100</v>
      </c>
      <c r="V41" s="708" t="s">
        <v>14</v>
      </c>
      <c r="W41" s="709">
        <f t="shared" si="14"/>
        <v>100</v>
      </c>
      <c r="X41" s="710"/>
      <c r="Y41" s="36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5"/>
      <c r="Q42" s="1352" t="str">
        <f t="shared" si="11"/>
        <v>内部装修</v>
      </c>
      <c r="R42" s="705" t="s">
        <v>14</v>
      </c>
      <c r="S42" s="706">
        <f t="shared" si="12"/>
        <v>100</v>
      </c>
      <c r="T42" s="705" t="s">
        <v>14</v>
      </c>
      <c r="U42" s="706">
        <f t="shared" si="13"/>
        <v>100</v>
      </c>
      <c r="V42" s="705" t="s">
        <v>14</v>
      </c>
      <c r="W42" s="706">
        <f t="shared" si="14"/>
        <v>100</v>
      </c>
      <c r="X42" s="1355"/>
      <c r="Y42" s="366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5" t="str">
        <f>A47</f>
        <v>成交单价（元/平方米）</v>
      </c>
      <c r="Q47" s="3655"/>
      <c r="R47" s="3689">
        <f>E47</f>
        <v>0</v>
      </c>
      <c r="S47" s="3689"/>
      <c r="T47" s="3689">
        <f>G47</f>
        <v>0</v>
      </c>
      <c r="U47" s="3689"/>
      <c r="V47" s="3689">
        <f>I47</f>
        <v>0</v>
      </c>
      <c r="W47" s="368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8188.9200000000019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913"/>
      <c r="M4" s="914"/>
      <c r="N4" s="914"/>
      <c r="O4" s="914"/>
      <c r="P4" s="3739" t="s">
        <v>1775</v>
      </c>
      <c r="Q4" s="3740"/>
      <c r="R4" s="3743" t="s">
        <v>1771</v>
      </c>
      <c r="S4" s="3744"/>
      <c r="T4" s="3743" t="s">
        <v>1772</v>
      </c>
      <c r="U4" s="3744"/>
      <c r="V4" s="3689" t="s">
        <v>1773</v>
      </c>
      <c r="W4" s="3689"/>
      <c r="X4" s="1355"/>
      <c r="Y4" s="3743" t="s">
        <v>1775</v>
      </c>
      <c r="Z4" s="3744"/>
      <c r="AA4" s="3738" t="s">
        <v>1771</v>
      </c>
      <c r="AB4" s="3702" t="s">
        <v>1772</v>
      </c>
      <c r="AC4" s="3738" t="s">
        <v>1773</v>
      </c>
    </row>
    <row r="5" spans="1:29" ht="15">
      <c r="A5" s="358"/>
      <c r="B5" s="359"/>
      <c r="C5" s="3698" t="s">
        <v>1673</v>
      </c>
      <c r="D5" s="3693"/>
      <c r="E5" s="3745" t="s">
        <v>1674</v>
      </c>
      <c r="F5" s="3705"/>
      <c r="G5" s="3698" t="s">
        <v>1675</v>
      </c>
      <c r="H5" s="3693"/>
      <c r="I5" s="3698" t="s">
        <v>1676</v>
      </c>
      <c r="J5" s="3693"/>
      <c r="K5" s="559"/>
      <c r="L5" s="913"/>
      <c r="M5" s="914"/>
      <c r="N5" s="914"/>
      <c r="O5" s="914"/>
      <c r="P5" s="3741"/>
      <c r="Q5" s="3679"/>
      <c r="R5" s="3684"/>
      <c r="S5" s="3685"/>
      <c r="T5" s="3684"/>
      <c r="U5" s="3685"/>
      <c r="V5" s="3689"/>
      <c r="W5" s="3689"/>
      <c r="X5" s="1355"/>
      <c r="Y5" s="3684"/>
      <c r="Z5" s="3685"/>
      <c r="AA5" s="3702"/>
      <c r="AB5" s="3702"/>
      <c r="AC5" s="3702"/>
    </row>
    <row r="6" spans="1:29" ht="15.75" thickBot="1">
      <c r="A6" s="360"/>
      <c r="B6" s="361"/>
      <c r="C6" s="3690" t="s">
        <v>1677</v>
      </c>
      <c r="D6" s="3691"/>
      <c r="E6" s="3699" t="s">
        <v>1677</v>
      </c>
      <c r="F6" s="3700"/>
      <c r="G6" s="3690" t="s">
        <v>1677</v>
      </c>
      <c r="H6" s="3691"/>
      <c r="I6" s="3690" t="s">
        <v>1677</v>
      </c>
      <c r="J6" s="3691"/>
      <c r="K6" s="559" t="s">
        <v>1678</v>
      </c>
      <c r="L6" s="913"/>
      <c r="M6" s="914"/>
      <c r="N6" s="914"/>
      <c r="O6" s="914"/>
      <c r="P6" s="3742"/>
      <c r="Q6" s="3681"/>
      <c r="R6" s="3684"/>
      <c r="S6" s="3685"/>
      <c r="T6" s="3686"/>
      <c r="U6" s="3687"/>
      <c r="V6" s="3689"/>
      <c r="W6" s="3689"/>
      <c r="X6" s="1355"/>
      <c r="Y6" s="3686"/>
      <c r="Z6" s="3687"/>
      <c r="AA6" s="3703"/>
      <c r="AB6" s="3703"/>
      <c r="AC6" s="3703"/>
    </row>
    <row r="7" spans="1:29" s="108" customFormat="1" ht="15.75" thickBot="1">
      <c r="A7" s="362" t="s">
        <v>1679</v>
      </c>
      <c r="B7" s="363"/>
      <c r="C7" s="364">
        <f>'数据-取费表'!B2</f>
        <v>45039</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5"/>
      <c r="R8" s="701" t="s">
        <v>14</v>
      </c>
      <c r="S8" s="702">
        <f t="shared" si="0"/>
        <v>100</v>
      </c>
      <c r="T8" s="701" t="s">
        <v>14</v>
      </c>
      <c r="U8" s="702">
        <f t="shared" si="1"/>
        <v>100</v>
      </c>
      <c r="V8" s="701" t="s">
        <v>14</v>
      </c>
      <c r="W8" s="702">
        <f t="shared" si="2"/>
        <v>100</v>
      </c>
      <c r="X8" s="703"/>
      <c r="Y8" s="3696"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1691</v>
      </c>
      <c r="Q15" s="1352" t="str">
        <f t="shared" si="6"/>
        <v>产业集聚程度</v>
      </c>
      <c r="R15" s="705" t="s">
        <v>14</v>
      </c>
      <c r="S15" s="706">
        <f t="shared" si="0"/>
        <v>100</v>
      </c>
      <c r="T15" s="705" t="s">
        <v>14</v>
      </c>
      <c r="U15" s="706">
        <f t="shared" si="1"/>
        <v>100</v>
      </c>
      <c r="V15" s="705" t="s">
        <v>14</v>
      </c>
      <c r="W15" s="706">
        <f t="shared" si="2"/>
        <v>100</v>
      </c>
      <c r="X15" s="1355"/>
      <c r="Y15" s="36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6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1696</v>
      </c>
      <c r="Q35" s="1352" t="str">
        <f t="shared" si="11"/>
        <v>市政基础设施</v>
      </c>
      <c r="R35" s="705" t="s">
        <v>14</v>
      </c>
      <c r="S35" s="706">
        <f t="shared" si="12"/>
        <v>100</v>
      </c>
      <c r="T35" s="705" t="s">
        <v>14</v>
      </c>
      <c r="U35" s="706">
        <f t="shared" si="13"/>
        <v>100</v>
      </c>
      <c r="V35" s="705" t="s">
        <v>14</v>
      </c>
      <c r="W35" s="706">
        <f t="shared" si="14"/>
        <v>100</v>
      </c>
      <c r="X35" s="1355"/>
      <c r="Y35" s="36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9" t="s">
        <v>1775</v>
      </c>
      <c r="Q4" s="3740"/>
      <c r="R4" s="3743" t="s">
        <v>1771</v>
      </c>
      <c r="S4" s="3744"/>
      <c r="T4" s="3743" t="s">
        <v>1772</v>
      </c>
      <c r="U4" s="3744"/>
      <c r="V4" s="3689" t="s">
        <v>1773</v>
      </c>
      <c r="W4" s="3689"/>
      <c r="X4" s="1355"/>
      <c r="Y4" s="3743" t="s">
        <v>1775</v>
      </c>
      <c r="Z4" s="3744"/>
      <c r="AA4" s="3738" t="s">
        <v>1771</v>
      </c>
      <c r="AB4" s="3702" t="s">
        <v>1772</v>
      </c>
      <c r="AC4" s="3738" t="s">
        <v>1773</v>
      </c>
    </row>
    <row r="5" spans="1:29" ht="15">
      <c r="A5" s="358"/>
      <c r="B5" s="359"/>
      <c r="C5" s="3698" t="s">
        <v>1673</v>
      </c>
      <c r="D5" s="3693"/>
      <c r="E5" s="3745" t="s">
        <v>1674</v>
      </c>
      <c r="F5" s="3705"/>
      <c r="G5" s="3698" t="s">
        <v>1675</v>
      </c>
      <c r="H5" s="3693"/>
      <c r="I5" s="3698" t="s">
        <v>1676</v>
      </c>
      <c r="J5" s="3693"/>
      <c r="K5" s="559"/>
      <c r="L5" s="2715"/>
      <c r="M5" s="2716"/>
      <c r="N5" s="2716"/>
      <c r="O5" s="2716"/>
      <c r="P5" s="3741"/>
      <c r="Q5" s="3679"/>
      <c r="R5" s="3684"/>
      <c r="S5" s="3685"/>
      <c r="T5" s="3684"/>
      <c r="U5" s="3685"/>
      <c r="V5" s="3689"/>
      <c r="W5" s="3689"/>
      <c r="X5" s="1355"/>
      <c r="Y5" s="3684"/>
      <c r="Z5" s="3685"/>
      <c r="AA5" s="3702"/>
      <c r="AB5" s="3702"/>
      <c r="AC5" s="3702"/>
    </row>
    <row r="6" spans="1:29" ht="15.75" thickBot="1">
      <c r="A6" s="360"/>
      <c r="B6" s="361"/>
      <c r="C6" s="3690" t="s">
        <v>1677</v>
      </c>
      <c r="D6" s="3691"/>
      <c r="E6" s="3699" t="s">
        <v>1677</v>
      </c>
      <c r="F6" s="3700"/>
      <c r="G6" s="3690" t="s">
        <v>1677</v>
      </c>
      <c r="H6" s="3691"/>
      <c r="I6" s="3690" t="s">
        <v>1677</v>
      </c>
      <c r="J6" s="3691"/>
      <c r="K6" s="559" t="s">
        <v>1678</v>
      </c>
      <c r="L6" s="2715"/>
      <c r="M6" s="2716"/>
      <c r="N6" s="2716"/>
      <c r="O6" s="2716"/>
      <c r="P6" s="3742"/>
      <c r="Q6" s="3681"/>
      <c r="R6" s="3684"/>
      <c r="S6" s="3685"/>
      <c r="T6" s="3686"/>
      <c r="U6" s="3687"/>
      <c r="V6" s="3689"/>
      <c r="W6" s="3689"/>
      <c r="X6" s="1355"/>
      <c r="Y6" s="3686"/>
      <c r="Z6" s="3687"/>
      <c r="AA6" s="3703"/>
      <c r="AB6" s="3703"/>
      <c r="AC6" s="3703"/>
    </row>
    <row r="7" spans="1:29" s="108" customFormat="1" ht="15.75" thickBot="1">
      <c r="A7" s="362" t="s">
        <v>1679</v>
      </c>
      <c r="B7" s="363"/>
      <c r="C7" s="364">
        <f>'数据-取费表'!B2</f>
        <v>45039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697"/>
      <c r="R7" s="701" t="s">
        <v>14</v>
      </c>
      <c r="S7" s="702">
        <f t="shared" ref="S7:S14" si="0">F7</f>
        <v>0</v>
      </c>
      <c r="T7" s="701" t="s">
        <v>14</v>
      </c>
      <c r="U7" s="702">
        <f t="shared" ref="U7:U14" si="1">H7</f>
        <v>0</v>
      </c>
      <c r="V7" s="701" t="s">
        <v>14</v>
      </c>
      <c r="W7" s="702">
        <f t="shared" ref="W7:W14"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5"/>
      <c r="R8" s="701" t="s">
        <v>14</v>
      </c>
      <c r="S8" s="702">
        <f t="shared" si="0"/>
        <v>100</v>
      </c>
      <c r="T8" s="701" t="s">
        <v>14</v>
      </c>
      <c r="U8" s="702">
        <f t="shared" si="1"/>
        <v>100</v>
      </c>
      <c r="V8" s="701" t="s">
        <v>14</v>
      </c>
      <c r="W8" s="702">
        <f t="shared" si="2"/>
        <v>100</v>
      </c>
      <c r="X8" s="703"/>
      <c r="Y8" s="3696"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5"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5"/>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2" t="s">
        <v>1691</v>
      </c>
      <c r="Q14" s="1352" t="str">
        <f t="shared" si="6"/>
        <v>交通便捷度</v>
      </c>
      <c r="R14" s="705" t="s">
        <v>14</v>
      </c>
      <c r="S14" s="706">
        <f t="shared" si="0"/>
        <v>100</v>
      </c>
      <c r="T14" s="705" t="s">
        <v>14</v>
      </c>
      <c r="U14" s="706">
        <f t="shared" si="1"/>
        <v>100</v>
      </c>
      <c r="V14" s="705" t="s">
        <v>14</v>
      </c>
      <c r="W14" s="706">
        <f t="shared" si="2"/>
        <v>100</v>
      </c>
      <c r="X14" s="1355"/>
      <c r="Y14" s="36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3"/>
      <c r="Q15" s="1352"/>
      <c r="R15" s="705"/>
      <c r="S15" s="706"/>
      <c r="T15" s="705"/>
      <c r="U15" s="706"/>
      <c r="V15" s="705"/>
      <c r="W15" s="706"/>
      <c r="X15" s="1355"/>
      <c r="Y15" s="366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3"/>
      <c r="Q17" s="1352"/>
      <c r="R17" s="705"/>
      <c r="S17" s="706"/>
      <c r="T17" s="705"/>
      <c r="U17" s="706"/>
      <c r="V17" s="705"/>
      <c r="W17" s="706"/>
      <c r="X17" s="1355"/>
      <c r="Y17" s="366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3"/>
      <c r="Q19" s="1352"/>
      <c r="R19" s="705"/>
      <c r="S19" s="706"/>
      <c r="T19" s="705"/>
      <c r="U19" s="706"/>
      <c r="V19" s="705"/>
      <c r="W19" s="706"/>
      <c r="X19" s="1355"/>
      <c r="Y19" s="366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3"/>
      <c r="Q21" s="1352"/>
      <c r="R21" s="705"/>
      <c r="S21" s="706"/>
      <c r="T21" s="705"/>
      <c r="U21" s="706"/>
      <c r="V21" s="705"/>
      <c r="W21" s="706"/>
      <c r="X21" s="1355"/>
      <c r="Y21" s="36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7" t="s">
        <v>1696</v>
      </c>
      <c r="Q32" s="1352" t="str">
        <f t="shared" si="11"/>
        <v>车位类型</v>
      </c>
      <c r="R32" s="705" t="s">
        <v>14</v>
      </c>
      <c r="S32" s="706">
        <f t="shared" si="12"/>
        <v>100</v>
      </c>
      <c r="T32" s="705" t="s">
        <v>14</v>
      </c>
      <c r="U32" s="706">
        <f t="shared" si="13"/>
        <v>100</v>
      </c>
      <c r="V32" s="705" t="s">
        <v>14</v>
      </c>
      <c r="W32" s="706">
        <f t="shared" si="14"/>
        <v>100</v>
      </c>
      <c r="X32" s="1355"/>
      <c r="Y32" s="36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5" t="str">
        <f>A39</f>
        <v>估价对象XX用房的比较价值（楼面单价，元/平方米）</v>
      </c>
      <c r="Q39" s="3736"/>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9" t="s">
        <v>1775</v>
      </c>
      <c r="Q4" s="3740"/>
      <c r="R4" s="3743" t="s">
        <v>1771</v>
      </c>
      <c r="S4" s="3744"/>
      <c r="T4" s="3743" t="s">
        <v>1772</v>
      </c>
      <c r="U4" s="3744"/>
      <c r="V4" s="3689" t="s">
        <v>1773</v>
      </c>
      <c r="W4" s="3689"/>
      <c r="X4" s="1355"/>
      <c r="Y4" s="3743" t="s">
        <v>1775</v>
      </c>
      <c r="Z4" s="3744"/>
      <c r="AA4" s="3738" t="s">
        <v>1771</v>
      </c>
      <c r="AB4" s="3702" t="s">
        <v>1772</v>
      </c>
      <c r="AC4" s="3738" t="s">
        <v>1773</v>
      </c>
    </row>
    <row r="5" spans="1:29" ht="15">
      <c r="A5" s="358"/>
      <c r="B5" s="359"/>
      <c r="C5" s="3698" t="s">
        <v>1673</v>
      </c>
      <c r="D5" s="3693"/>
      <c r="E5" s="3745" t="s">
        <v>1674</v>
      </c>
      <c r="F5" s="3705"/>
      <c r="G5" s="3698" t="s">
        <v>1675</v>
      </c>
      <c r="H5" s="3693"/>
      <c r="I5" s="3698" t="s">
        <v>1676</v>
      </c>
      <c r="J5" s="3693"/>
      <c r="K5" s="559"/>
      <c r="L5" s="2715"/>
      <c r="M5" s="2716"/>
      <c r="N5" s="2716"/>
      <c r="O5" s="2716"/>
      <c r="P5" s="3741"/>
      <c r="Q5" s="3679"/>
      <c r="R5" s="3684"/>
      <c r="S5" s="3685"/>
      <c r="T5" s="3684"/>
      <c r="U5" s="3685"/>
      <c r="V5" s="3689"/>
      <c r="W5" s="3689"/>
      <c r="X5" s="1355"/>
      <c r="Y5" s="3684"/>
      <c r="Z5" s="3685"/>
      <c r="AA5" s="3702"/>
      <c r="AB5" s="3702"/>
      <c r="AC5" s="3702"/>
    </row>
    <row r="6" spans="1:29" ht="15.75" thickBot="1">
      <c r="A6" s="360"/>
      <c r="B6" s="361"/>
      <c r="C6" s="3690" t="s">
        <v>1677</v>
      </c>
      <c r="D6" s="3691"/>
      <c r="E6" s="3699" t="s">
        <v>1677</v>
      </c>
      <c r="F6" s="3700"/>
      <c r="G6" s="3690" t="s">
        <v>1677</v>
      </c>
      <c r="H6" s="3691"/>
      <c r="I6" s="3690" t="s">
        <v>1677</v>
      </c>
      <c r="J6" s="3691"/>
      <c r="K6" s="559" t="s">
        <v>1678</v>
      </c>
      <c r="L6" s="2715"/>
      <c r="M6" s="2716"/>
      <c r="N6" s="2716"/>
      <c r="O6" s="2716"/>
      <c r="P6" s="3742"/>
      <c r="Q6" s="3681"/>
      <c r="R6" s="3684"/>
      <c r="S6" s="3685"/>
      <c r="T6" s="3686"/>
      <c r="U6" s="3687"/>
      <c r="V6" s="3689"/>
      <c r="W6" s="3689"/>
      <c r="X6" s="1355"/>
      <c r="Y6" s="3686"/>
      <c r="Z6" s="3687"/>
      <c r="AA6" s="3703"/>
      <c r="AB6" s="3703"/>
      <c r="AC6" s="3703"/>
    </row>
    <row r="7" spans="1:29" s="108" customFormat="1" ht="15.75" thickBot="1">
      <c r="A7" s="362" t="s">
        <v>1679</v>
      </c>
      <c r="B7" s="363"/>
      <c r="C7" s="364">
        <f>'数据-取费表'!B2</f>
        <v>45039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697"/>
      <c r="R7" s="701" t="s">
        <v>14</v>
      </c>
      <c r="S7" s="702">
        <f t="shared" ref="S7:S14" si="0">F7</f>
        <v>0</v>
      </c>
      <c r="T7" s="701" t="s">
        <v>14</v>
      </c>
      <c r="U7" s="702">
        <f t="shared" ref="U7:U14" si="1">H7</f>
        <v>0</v>
      </c>
      <c r="V7" s="701" t="s">
        <v>14</v>
      </c>
      <c r="W7" s="702">
        <f t="shared" ref="W7:W14" si="2">J7</f>
        <v>0</v>
      </c>
      <c r="X7" s="703"/>
      <c r="Y7" s="3696"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5"/>
      <c r="R8" s="701" t="s">
        <v>14</v>
      </c>
      <c r="S8" s="702">
        <f t="shared" si="0"/>
        <v>100</v>
      </c>
      <c r="T8" s="701" t="s">
        <v>14</v>
      </c>
      <c r="U8" s="702">
        <f t="shared" si="1"/>
        <v>100</v>
      </c>
      <c r="V8" s="701" t="s">
        <v>14</v>
      </c>
      <c r="W8" s="702">
        <f t="shared" si="2"/>
        <v>100</v>
      </c>
      <c r="X8" s="703"/>
      <c r="Y8" s="3696"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5"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5"/>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2" t="s">
        <v>1691</v>
      </c>
      <c r="Q14" s="1352" t="str">
        <f t="shared" si="6"/>
        <v>交通便捷度</v>
      </c>
      <c r="R14" s="705" t="s">
        <v>14</v>
      </c>
      <c r="S14" s="706">
        <f t="shared" si="0"/>
        <v>100</v>
      </c>
      <c r="T14" s="705" t="s">
        <v>14</v>
      </c>
      <c r="U14" s="706">
        <f t="shared" si="1"/>
        <v>100</v>
      </c>
      <c r="V14" s="705" t="s">
        <v>14</v>
      </c>
      <c r="W14" s="706">
        <f t="shared" si="2"/>
        <v>100</v>
      </c>
      <c r="X14" s="1355"/>
      <c r="Y14" s="36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3"/>
      <c r="Q15" s="1352"/>
      <c r="R15" s="705"/>
      <c r="S15" s="706"/>
      <c r="T15" s="705"/>
      <c r="U15" s="706"/>
      <c r="V15" s="705"/>
      <c r="W15" s="706"/>
      <c r="X15" s="1355"/>
      <c r="Y15" s="366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3"/>
      <c r="Q17" s="1352"/>
      <c r="R17" s="705"/>
      <c r="S17" s="706"/>
      <c r="T17" s="705"/>
      <c r="U17" s="706"/>
      <c r="V17" s="705"/>
      <c r="W17" s="706"/>
      <c r="X17" s="1355"/>
      <c r="Y17" s="366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3"/>
      <c r="Q19" s="1352"/>
      <c r="R19" s="705"/>
      <c r="S19" s="706"/>
      <c r="T19" s="705"/>
      <c r="U19" s="706"/>
      <c r="V19" s="705"/>
      <c r="W19" s="706"/>
      <c r="X19" s="1355"/>
      <c r="Y19" s="366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3"/>
      <c r="Q21" s="1352"/>
      <c r="R21" s="705"/>
      <c r="S21" s="706"/>
      <c r="T21" s="705"/>
      <c r="U21" s="706"/>
      <c r="V21" s="705"/>
      <c r="W21" s="706"/>
      <c r="X21" s="1355"/>
      <c r="Y21" s="36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7" t="s">
        <v>1696</v>
      </c>
      <c r="Q32" s="1352">
        <f t="shared" si="11"/>
        <v>111</v>
      </c>
      <c r="R32" s="705" t="s">
        <v>14</v>
      </c>
      <c r="S32" s="706">
        <f t="shared" si="12"/>
        <v>100</v>
      </c>
      <c r="T32" s="705" t="s">
        <v>14</v>
      </c>
      <c r="U32" s="706">
        <f t="shared" si="13"/>
        <v>100</v>
      </c>
      <c r="V32" s="705" t="s">
        <v>14</v>
      </c>
      <c r="W32" s="706">
        <f t="shared" si="14"/>
        <v>100</v>
      </c>
      <c r="X32" s="1355"/>
      <c r="Y32" s="36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5" t="str">
        <f>A37</f>
        <v>估价对象XX用房的比较价值（楼面单价，元/平方米）</v>
      </c>
      <c r="Q37" s="3736"/>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2" t="s">
        <v>1770</v>
      </c>
      <c r="D4" s="3673"/>
      <c r="E4" s="3674" t="s">
        <v>1771</v>
      </c>
      <c r="F4" s="3675"/>
      <c r="G4" s="3672" t="s">
        <v>1772</v>
      </c>
      <c r="H4" s="3673"/>
      <c r="I4" s="3672" t="s">
        <v>1773</v>
      </c>
      <c r="J4" s="3673"/>
      <c r="K4" s="559" t="s">
        <v>1774</v>
      </c>
      <c r="L4" s="2715"/>
      <c r="M4" s="2716"/>
      <c r="N4" s="2716"/>
      <c r="O4" s="2716"/>
      <c r="P4" s="3739" t="s">
        <v>1775</v>
      </c>
      <c r="Q4" s="3740"/>
      <c r="R4" s="3743" t="s">
        <v>1771</v>
      </c>
      <c r="S4" s="3744"/>
      <c r="T4" s="3743" t="s">
        <v>1772</v>
      </c>
      <c r="U4" s="3744"/>
      <c r="V4" s="3689" t="s">
        <v>1773</v>
      </c>
      <c r="W4" s="3689"/>
      <c r="X4" s="1355"/>
      <c r="Y4" s="3743" t="s">
        <v>1775</v>
      </c>
      <c r="Z4" s="3744"/>
      <c r="AA4" s="3738" t="s">
        <v>1771</v>
      </c>
      <c r="AB4" s="3702" t="s">
        <v>1772</v>
      </c>
      <c r="AC4" s="3738" t="s">
        <v>1773</v>
      </c>
    </row>
    <row r="5" spans="1:30" ht="15">
      <c r="A5" s="358"/>
      <c r="B5" s="359"/>
      <c r="C5" s="3698" t="s">
        <v>1673</v>
      </c>
      <c r="D5" s="3693"/>
      <c r="E5" s="3745" t="s">
        <v>1674</v>
      </c>
      <c r="F5" s="3705"/>
      <c r="G5" s="3698" t="s">
        <v>1675</v>
      </c>
      <c r="H5" s="3693"/>
      <c r="I5" s="3698" t="s">
        <v>1676</v>
      </c>
      <c r="J5" s="3693"/>
      <c r="K5" s="559"/>
      <c r="L5" s="2715"/>
      <c r="M5" s="2716"/>
      <c r="N5" s="2716"/>
      <c r="O5" s="2716"/>
      <c r="P5" s="3741"/>
      <c r="Q5" s="3679"/>
      <c r="R5" s="3684"/>
      <c r="S5" s="3685"/>
      <c r="T5" s="3684"/>
      <c r="U5" s="3685"/>
      <c r="V5" s="3689"/>
      <c r="W5" s="3689"/>
      <c r="X5" s="1355"/>
      <c r="Y5" s="3684"/>
      <c r="Z5" s="3685"/>
      <c r="AA5" s="3702"/>
      <c r="AB5" s="3702"/>
      <c r="AC5" s="3702"/>
    </row>
    <row r="6" spans="1:30" ht="15.75" thickBot="1">
      <c r="A6" s="360"/>
      <c r="B6" s="361"/>
      <c r="C6" s="3690" t="s">
        <v>1677</v>
      </c>
      <c r="D6" s="3691"/>
      <c r="E6" s="3699" t="s">
        <v>1677</v>
      </c>
      <c r="F6" s="3700"/>
      <c r="G6" s="3690" t="s">
        <v>1677</v>
      </c>
      <c r="H6" s="3691"/>
      <c r="I6" s="3690" t="s">
        <v>1677</v>
      </c>
      <c r="J6" s="3691"/>
      <c r="K6" s="559" t="s">
        <v>1678</v>
      </c>
      <c r="L6" s="2715"/>
      <c r="M6" s="2716"/>
      <c r="N6" s="2716"/>
      <c r="O6" s="2716"/>
      <c r="P6" s="3742"/>
      <c r="Q6" s="3681"/>
      <c r="R6" s="3684"/>
      <c r="S6" s="3685"/>
      <c r="T6" s="3686"/>
      <c r="U6" s="3687"/>
      <c r="V6" s="3689"/>
      <c r="W6" s="3689"/>
      <c r="X6" s="1355"/>
      <c r="Y6" s="3686"/>
      <c r="Z6" s="3687"/>
      <c r="AA6" s="3703"/>
      <c r="AB6" s="3703"/>
      <c r="AC6" s="3703"/>
    </row>
    <row r="7" spans="1:30" s="108" customFormat="1" ht="15.75" thickBot="1">
      <c r="A7" s="362" t="s">
        <v>1679</v>
      </c>
      <c r="B7" s="363"/>
      <c r="C7" s="364">
        <f>'数据-取费表'!B2</f>
        <v>45039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5"/>
      <c r="R8" s="701" t="s">
        <v>14</v>
      </c>
      <c r="S8" s="702">
        <f t="shared" si="0"/>
        <v>0</v>
      </c>
      <c r="T8" s="701" t="s">
        <v>14</v>
      </c>
      <c r="U8" s="702">
        <f t="shared" si="1"/>
        <v>0</v>
      </c>
      <c r="V8" s="701" t="s">
        <v>14</v>
      </c>
      <c r="W8" s="702">
        <f t="shared" si="2"/>
        <v>0</v>
      </c>
      <c r="X8" s="703"/>
      <c r="Y8" s="3696"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5"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655"/>
      <c r="Q10" s="1343" t="str">
        <f t="shared" si="6"/>
        <v>土地使用年限（年）</v>
      </c>
      <c r="R10" s="701" t="s">
        <v>14</v>
      </c>
      <c r="S10" s="702">
        <f t="shared" si="0"/>
        <v>104</v>
      </c>
      <c r="T10" s="701" t="s">
        <v>14</v>
      </c>
      <c r="U10" s="702">
        <f t="shared" si="1"/>
        <v>104</v>
      </c>
      <c r="V10" s="701" t="s">
        <v>14</v>
      </c>
      <c r="W10" s="702">
        <f t="shared" si="2"/>
        <v>104</v>
      </c>
      <c r="X10" s="703"/>
      <c r="Y10" s="3561"/>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5"/>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5"/>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5"/>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2" t="s">
        <v>1691</v>
      </c>
      <c r="Q15" s="1352" t="str">
        <f t="shared" si="6"/>
        <v>居住社区成熟度</v>
      </c>
      <c r="R15" s="705" t="s">
        <v>14</v>
      </c>
      <c r="S15" s="706">
        <f t="shared" si="0"/>
        <v>100</v>
      </c>
      <c r="T15" s="705" t="s">
        <v>14</v>
      </c>
      <c r="U15" s="706">
        <f t="shared" si="1"/>
        <v>100</v>
      </c>
      <c r="V15" s="705" t="s">
        <v>14</v>
      </c>
      <c r="W15" s="706">
        <f t="shared" si="2"/>
        <v>100</v>
      </c>
      <c r="X15" s="1355"/>
      <c r="Y15" s="36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3"/>
      <c r="Q16" s="1352"/>
      <c r="R16" s="705"/>
      <c r="S16" s="706"/>
      <c r="T16" s="705"/>
      <c r="U16" s="706"/>
      <c r="V16" s="705"/>
      <c r="W16" s="706"/>
      <c r="X16" s="1355"/>
      <c r="Y16" s="366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3"/>
      <c r="Q18" s="1352"/>
      <c r="R18" s="705"/>
      <c r="S18" s="706"/>
      <c r="T18" s="705"/>
      <c r="U18" s="706"/>
      <c r="V18" s="705"/>
      <c r="W18" s="706"/>
      <c r="X18" s="1355"/>
      <c r="Y18" s="366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3"/>
      <c r="Q20" s="1352"/>
      <c r="R20" s="705"/>
      <c r="S20" s="706"/>
      <c r="T20" s="705"/>
      <c r="U20" s="706"/>
      <c r="V20" s="705"/>
      <c r="W20" s="706"/>
      <c r="X20" s="1355"/>
      <c r="Y20" s="366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3"/>
      <c r="Q22" s="1352"/>
      <c r="R22" s="705"/>
      <c r="S22" s="706"/>
      <c r="T22" s="705"/>
      <c r="U22" s="706"/>
      <c r="V22" s="705"/>
      <c r="W22" s="706"/>
      <c r="X22" s="1355"/>
      <c r="Y22" s="366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3"/>
      <c r="Q24" s="1352"/>
      <c r="R24" s="705"/>
      <c r="S24" s="706"/>
      <c r="T24" s="705"/>
      <c r="U24" s="706"/>
      <c r="V24" s="705"/>
      <c r="W24" s="706"/>
      <c r="X24" s="1355"/>
      <c r="Y24" s="366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3"/>
      <c r="Q26" s="1352"/>
      <c r="R26" s="705"/>
      <c r="S26" s="706"/>
      <c r="T26" s="705"/>
      <c r="U26" s="706"/>
      <c r="V26" s="705"/>
      <c r="W26" s="706"/>
      <c r="X26" s="1355"/>
      <c r="Y26" s="366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3"/>
      <c r="Q28" s="1343"/>
      <c r="R28" s="701"/>
      <c r="S28" s="702"/>
      <c r="T28" s="701"/>
      <c r="U28" s="702"/>
      <c r="V28" s="701"/>
      <c r="W28" s="702"/>
      <c r="X28" s="703"/>
      <c r="Y28" s="366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3"/>
      <c r="Q30" s="1343"/>
      <c r="R30" s="701"/>
      <c r="S30" s="702"/>
      <c r="T30" s="701"/>
      <c r="U30" s="702"/>
      <c r="V30" s="701"/>
      <c r="W30" s="702"/>
      <c r="X30" s="703"/>
      <c r="Y30" s="36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3"/>
      <c r="Q33" s="1352"/>
      <c r="R33" s="705"/>
      <c r="S33" s="706"/>
      <c r="T33" s="705"/>
      <c r="U33" s="706"/>
      <c r="V33" s="705"/>
      <c r="W33" s="706"/>
      <c r="X33" s="1355"/>
      <c r="Y33" s="36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66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7" t="s">
        <v>1696</v>
      </c>
      <c r="Q42" s="1352" t="str">
        <f t="shared" si="14"/>
        <v>工程地质条件</v>
      </c>
      <c r="R42" s="705" t="s">
        <v>14</v>
      </c>
      <c r="S42" s="706">
        <f t="shared" si="10"/>
        <v>100</v>
      </c>
      <c r="T42" s="705" t="s">
        <v>14</v>
      </c>
      <c r="U42" s="706">
        <f t="shared" si="11"/>
        <v>100</v>
      </c>
      <c r="V42" s="705" t="s">
        <v>14</v>
      </c>
      <c r="W42" s="706">
        <f t="shared" si="12"/>
        <v>100</v>
      </c>
      <c r="X42" s="1355"/>
      <c r="Y42" s="36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5" t="str">
        <f>A46</f>
        <v>成交单价</v>
      </c>
      <c r="Q46" s="3655"/>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5" t="str">
        <f>A47</f>
        <v>比较价值（元/平方米）</v>
      </c>
      <c r="Q47" s="3655"/>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5" t="str">
        <f>A48</f>
        <v>估价对象XX用房的比较价值（楼面单价，元/平方米）</v>
      </c>
      <c r="Q48" s="3736"/>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2"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7697.5300000000016</v>
      </c>
      <c r="F56" s="886" t="e">
        <f t="shared" ref="F56:F64" si="15">ROUND(B56*E56/10000,0)</f>
        <v>#DIV/0!</v>
      </c>
      <c r="G56" s="3654"/>
      <c r="H56" s="365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491.39</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8188.9200000000019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9" t="s">
        <v>1775</v>
      </c>
      <c r="Q4" s="3740"/>
      <c r="R4" s="3743" t="s">
        <v>1771</v>
      </c>
      <c r="S4" s="3744"/>
      <c r="T4" s="3743" t="s">
        <v>1772</v>
      </c>
      <c r="U4" s="3744"/>
      <c r="V4" s="3689" t="s">
        <v>1773</v>
      </c>
      <c r="W4" s="3689"/>
      <c r="X4" s="1355"/>
      <c r="Y4" s="3743" t="s">
        <v>1775</v>
      </c>
      <c r="Z4" s="3744"/>
      <c r="AA4" s="3738" t="s">
        <v>1771</v>
      </c>
      <c r="AB4" s="3702" t="s">
        <v>1772</v>
      </c>
      <c r="AC4" s="3738" t="s">
        <v>1773</v>
      </c>
    </row>
    <row r="5" spans="1:29" ht="15">
      <c r="A5" s="358"/>
      <c r="B5" s="359"/>
      <c r="C5" s="3698" t="s">
        <v>1673</v>
      </c>
      <c r="D5" s="3693"/>
      <c r="E5" s="3745" t="s">
        <v>1674</v>
      </c>
      <c r="F5" s="3705"/>
      <c r="G5" s="3698" t="s">
        <v>1675</v>
      </c>
      <c r="H5" s="3693"/>
      <c r="I5" s="3698" t="s">
        <v>1676</v>
      </c>
      <c r="J5" s="3693"/>
      <c r="K5" s="559"/>
      <c r="L5" s="2715"/>
      <c r="M5" s="2716"/>
      <c r="N5" s="2716"/>
      <c r="O5" s="2716"/>
      <c r="P5" s="3741"/>
      <c r="Q5" s="3679"/>
      <c r="R5" s="3684"/>
      <c r="S5" s="3685"/>
      <c r="T5" s="3684"/>
      <c r="U5" s="3685"/>
      <c r="V5" s="3689"/>
      <c r="W5" s="3689"/>
      <c r="X5" s="1355"/>
      <c r="Y5" s="3684"/>
      <c r="Z5" s="3685"/>
      <c r="AA5" s="3702"/>
      <c r="AB5" s="3702"/>
      <c r="AC5" s="3702"/>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42"/>
      <c r="Q6" s="3681"/>
      <c r="R6" s="3684"/>
      <c r="S6" s="3685"/>
      <c r="T6" s="3686"/>
      <c r="U6" s="3687"/>
      <c r="V6" s="3689"/>
      <c r="W6" s="3689"/>
      <c r="X6" s="1355"/>
      <c r="Y6" s="3686"/>
      <c r="Z6" s="3687"/>
      <c r="AA6" s="3703"/>
      <c r="AB6" s="3703"/>
      <c r="AC6" s="3703"/>
    </row>
    <row r="7" spans="1:29" s="108" customFormat="1" ht="15.75" thickBot="1">
      <c r="A7" s="362" t="s">
        <v>1679</v>
      </c>
      <c r="B7" s="363"/>
      <c r="C7" s="364">
        <f>'数据-取费表'!B2</f>
        <v>45039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697"/>
      <c r="R7" s="701" t="s">
        <v>14</v>
      </c>
      <c r="S7" s="702">
        <f t="shared" ref="S7:S15" si="0">F7</f>
        <v>0</v>
      </c>
      <c r="T7" s="701" t="s">
        <v>14</v>
      </c>
      <c r="U7" s="702">
        <f t="shared" ref="U7:U15" si="1">H7</f>
        <v>0</v>
      </c>
      <c r="V7" s="701" t="s">
        <v>14</v>
      </c>
      <c r="W7" s="702">
        <f t="shared" ref="W7:W15" si="2">J7</f>
        <v>0</v>
      </c>
      <c r="X7" s="703"/>
      <c r="Y7" s="3696"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5"/>
      <c r="R8" s="701" t="s">
        <v>14</v>
      </c>
      <c r="S8" s="702">
        <f t="shared" si="0"/>
        <v>0</v>
      </c>
      <c r="T8" s="701" t="s">
        <v>14</v>
      </c>
      <c r="U8" s="702">
        <f t="shared" si="1"/>
        <v>0</v>
      </c>
      <c r="V8" s="701" t="s">
        <v>14</v>
      </c>
      <c r="W8" s="702">
        <f t="shared" si="2"/>
        <v>0</v>
      </c>
      <c r="X8" s="703"/>
      <c r="Y8" s="3696"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5"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655"/>
      <c r="Q10" s="1343" t="str">
        <f t="shared" si="6"/>
        <v>土地使用年限（年）</v>
      </c>
      <c r="R10" s="701" t="s">
        <v>14</v>
      </c>
      <c r="S10" s="702">
        <f t="shared" si="0"/>
        <v>104</v>
      </c>
      <c r="T10" s="701" t="s">
        <v>14</v>
      </c>
      <c r="U10" s="702">
        <f t="shared" si="1"/>
        <v>104</v>
      </c>
      <c r="V10" s="701" t="s">
        <v>14</v>
      </c>
      <c r="W10" s="702">
        <f t="shared" si="2"/>
        <v>104</v>
      </c>
      <c r="X10" s="703"/>
      <c r="Y10" s="3561"/>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5"/>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5"/>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2" t="s">
        <v>1691</v>
      </c>
      <c r="Q15" s="1352" t="str">
        <f t="shared" si="6"/>
        <v>产业集聚程度</v>
      </c>
      <c r="R15" s="705" t="s">
        <v>14</v>
      </c>
      <c r="S15" s="706">
        <f t="shared" si="0"/>
        <v>100</v>
      </c>
      <c r="T15" s="705" t="s">
        <v>14</v>
      </c>
      <c r="U15" s="706">
        <f t="shared" si="1"/>
        <v>100</v>
      </c>
      <c r="V15" s="705" t="s">
        <v>14</v>
      </c>
      <c r="W15" s="706">
        <f t="shared" si="2"/>
        <v>100</v>
      </c>
      <c r="X15" s="1355"/>
      <c r="Y15" s="36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3"/>
      <c r="Q16" s="1352"/>
      <c r="R16" s="705"/>
      <c r="S16" s="706"/>
      <c r="T16" s="705"/>
      <c r="U16" s="706"/>
      <c r="V16" s="705"/>
      <c r="W16" s="706"/>
      <c r="X16" s="1355"/>
      <c r="Y16" s="366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3"/>
      <c r="Q18" s="1352"/>
      <c r="R18" s="705"/>
      <c r="S18" s="706"/>
      <c r="T18" s="705"/>
      <c r="U18" s="706"/>
      <c r="V18" s="705"/>
      <c r="W18" s="706"/>
      <c r="X18" s="1355"/>
      <c r="Y18" s="366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3"/>
      <c r="Q20" s="1352"/>
      <c r="R20" s="705"/>
      <c r="S20" s="706"/>
      <c r="T20" s="705"/>
      <c r="U20" s="706"/>
      <c r="V20" s="705"/>
      <c r="W20" s="706"/>
      <c r="X20" s="1355"/>
      <c r="Y20" s="366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3"/>
      <c r="Q22" s="1352"/>
      <c r="R22" s="705"/>
      <c r="S22" s="706"/>
      <c r="T22" s="705"/>
      <c r="U22" s="706"/>
      <c r="V22" s="705"/>
      <c r="W22" s="706"/>
      <c r="X22" s="1355"/>
      <c r="Y22" s="366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3"/>
      <c r="Q24" s="1343"/>
      <c r="R24" s="701"/>
      <c r="S24" s="702"/>
      <c r="T24" s="701"/>
      <c r="U24" s="702"/>
      <c r="V24" s="701"/>
      <c r="W24" s="702"/>
      <c r="X24" s="703"/>
      <c r="Y24" s="366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3"/>
      <c r="Q26" s="1343"/>
      <c r="R26" s="701"/>
      <c r="S26" s="702"/>
      <c r="T26" s="701"/>
      <c r="U26" s="702"/>
      <c r="V26" s="701"/>
      <c r="W26" s="702"/>
      <c r="X26" s="703"/>
      <c r="Y26" s="36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3"/>
      <c r="Q29" s="1352"/>
      <c r="R29" s="705"/>
      <c r="S29" s="706"/>
      <c r="T29" s="705"/>
      <c r="U29" s="706"/>
      <c r="V29" s="705"/>
      <c r="W29" s="706"/>
      <c r="X29" s="1355"/>
      <c r="Y29" s="36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66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7" t="s">
        <v>1696</v>
      </c>
      <c r="Q37" s="1352" t="str">
        <f t="shared" si="14"/>
        <v>工程地质条件</v>
      </c>
      <c r="R37" s="705" t="s">
        <v>14</v>
      </c>
      <c r="S37" s="706">
        <f t="shared" si="10"/>
        <v>100</v>
      </c>
      <c r="T37" s="705" t="s">
        <v>14</v>
      </c>
      <c r="U37" s="706">
        <f t="shared" si="11"/>
        <v>100</v>
      </c>
      <c r="V37" s="705" t="s">
        <v>14</v>
      </c>
      <c r="W37" s="706">
        <f t="shared" si="12"/>
        <v>100</v>
      </c>
      <c r="X37" s="1355"/>
      <c r="Y37" s="36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5" t="str">
        <f>A41</f>
        <v>成交单价</v>
      </c>
      <c r="Q41" s="3655"/>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5" t="str">
        <f>A42</f>
        <v>比较价值（元/平方米）</v>
      </c>
      <c r="Q42" s="3655"/>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5" t="str">
        <f>A43</f>
        <v>估价对象XX用房的比较价值（楼面单价，元/平方米）</v>
      </c>
      <c r="Q43" s="3736"/>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2"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7697.5300000000016</v>
      </c>
      <c r="F51" s="639" t="e">
        <f t="shared" ref="F51:F60" si="15">ROUND(B51*E51/10000,0)</f>
        <v>#DIV/0!</v>
      </c>
      <c r="G51" s="3654"/>
      <c r="H51" s="365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491.39</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120</v>
      </c>
      <c r="C2" s="2145" t="s">
        <v>2074</v>
      </c>
      <c r="D2" s="2145" t="s">
        <v>2075</v>
      </c>
      <c r="E2" s="2612">
        <f ca="1">SUMIF(E6:E13,"&lt;&gt;#ref!",E6:E13)</f>
        <v>491.39</v>
      </c>
      <c r="F2" s="2793"/>
      <c r="G2" s="2793"/>
      <c r="H2" s="2793"/>
      <c r="I2" s="2793"/>
      <c r="J2" s="2793"/>
      <c r="K2" s="2793"/>
      <c r="L2" s="2793"/>
      <c r="M2" s="2793"/>
      <c r="N2" s="2793"/>
      <c r="O2" s="2793"/>
      <c r="P2" s="2793"/>
    </row>
    <row r="3" spans="1:16" ht="15.75">
      <c r="A3" s="2145" t="s">
        <v>2076</v>
      </c>
      <c r="B3" s="2602">
        <f ca="1">ROUND(B2*10000/E2,0)</f>
        <v>2442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120</v>
      </c>
      <c r="C6" s="2145" t="s">
        <v>2074</v>
      </c>
      <c r="D6" s="2793"/>
      <c r="E6" s="2612">
        <f ca="1">SUMIF(INDIRECT("'"&amp;A6&amp;"'"&amp;"!C:C"),"建筑面积",INDIRECT("'"&amp;A6&amp;"'"&amp;"!D:D"))</f>
        <v>491.39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E41" sqref="E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491.39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120</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14733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2442</v>
      </c>
      <c r="C3" s="1999" t="s">
        <v>1941</v>
      </c>
      <c r="D3" s="2000" t="s">
        <v>1942</v>
      </c>
      <c r="E3" s="3420" t="s">
        <v>3395</v>
      </c>
      <c r="F3" s="2004" t="s">
        <v>3396</v>
      </c>
      <c r="G3" s="752">
        <f>IF(F3="宗地容积率",'数据-汇总表'!I4,IF(F3="估价对象容积率",'数据-汇总表'!I6,'数据-汇总表'!I7))</f>
        <v>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11612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9814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9710</v>
      </c>
      <c r="D5" s="1339">
        <f>ROUND(C6*C17+C20,0)</f>
        <v>9710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8656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9710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8318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9710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2" t="s">
        <v>3259</v>
      </c>
      <c r="B20" s="167" t="s">
        <v>1994</v>
      </c>
      <c r="C20" s="3325">
        <f>ROUND(IF(F21="与级别开发程度一致",0,(G21-E21)/C21),0)</f>
        <v>0</v>
      </c>
      <c r="D20" s="3341" t="s">
        <v>1998</v>
      </c>
      <c r="E20" s="3342"/>
      <c r="F20" s="3778" t="s">
        <v>1995</v>
      </c>
      <c r="G20" s="377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45039</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0.96399999999999997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42.59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0.96309999999999996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1.0270999999999999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9447</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2362</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f>ROUND(D5*C22*C23*C24*C28*F37,0)</f>
        <v>5886</v>
      </c>
      <c r="D37" s="2098"/>
      <c r="E37" s="171">
        <f>ROUND(C37*D37/10000,0)</f>
        <v>0</v>
      </c>
      <c r="F37" s="171">
        <f>SUMIF(修正!A57:A68,G2,修正!B57:B68)</f>
        <v>0.6</v>
      </c>
      <c r="G37" s="171">
        <f>ROUND(IF(E2="工业",C37*$M$42,C37*$M$41),0)</f>
        <v>1472</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2943</v>
      </c>
      <c r="D38" s="2098"/>
      <c r="E38" s="171">
        <f t="shared" ref="E38:E42" si="4">ROUND(C38*D38/10000,0)</f>
        <v>0</v>
      </c>
      <c r="F38" s="171">
        <f>SUMIF(修正!A57:A68,G2,修正!C57:C68)</f>
        <v>0.3</v>
      </c>
      <c r="G38" s="171">
        <f>ROUND(IF(E2="工业",C38*$M$42,C38*$M$41),0)</f>
        <v>736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7"/>
      <c r="B39" s="2041" t="s">
        <v>3264</v>
      </c>
      <c r="C39" s="175">
        <f>ROUND(D5*C22*C23*C24*C28*F39,0)</f>
        <v>2452</v>
      </c>
      <c r="D39" s="2098"/>
      <c r="E39" s="171">
        <f t="shared" si="4"/>
        <v>0</v>
      </c>
      <c r="F39" s="171">
        <f>SUMIF(修正!A57:A68,G2,修正!D57:D68)</f>
        <v>0.25</v>
      </c>
      <c r="G39" s="171">
        <f>ROUND(IF(E2="工业",C39*$M$42,C39*$M$41),0)</f>
        <v>613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2452</v>
      </c>
      <c r="D40" s="2098"/>
      <c r="E40" s="171">
        <f t="shared" si="4"/>
        <v>0</v>
      </c>
      <c r="F40" s="175">
        <f>SUMIF(修正!A57:A68,G2,修正!E57:E68)</f>
        <v>0.25</v>
      </c>
      <c r="G40" s="171">
        <f>ROUND(IF(E2="工业",C40*$M$42,C40*$M$41),0)</f>
        <v>613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2452</v>
      </c>
      <c r="D41" s="2098">
        <f>'数据-基础表'!K13</f>
        <v>491.39</v>
      </c>
      <c r="E41" s="171">
        <f t="shared" si="4"/>
        <v>120</v>
      </c>
      <c r="F41" s="175">
        <f>SUMIF(修正!A57:A68,G2,修正!F57:F68)</f>
        <v>0.25</v>
      </c>
      <c r="G41" s="171">
        <f>ROUND(IF(E2="工业",C41*$M$42,C41*$M$41),0)</f>
        <v>613</v>
      </c>
      <c r="H41" s="171">
        <f t="shared" si="5"/>
        <v>491.39</v>
      </c>
      <c r="I41" s="171">
        <f t="shared" si="6"/>
        <v>30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1471</v>
      </c>
      <c r="D42" s="2103"/>
      <c r="E42" s="187">
        <f t="shared" si="4"/>
        <v>0</v>
      </c>
      <c r="F42" s="767">
        <f>SUMIF(修正!A57:A68,G2,修正!G57:G68)</f>
        <v>0.15</v>
      </c>
      <c r="G42" s="187">
        <f>ROUND(IF(E2="工业",C42*$M$42,C42*$M$41),0)</f>
        <v>368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0.96399999999999997</v>
      </c>
      <c r="D44" s="171" t="s">
        <v>1999</v>
      </c>
      <c r="E44" s="2153">
        <f>G24</f>
        <v>5.5E-2</v>
      </c>
      <c r="F44" s="171" t="s">
        <v>2008</v>
      </c>
      <c r="G44" s="183">
        <f>项目基本情况!G15</f>
        <v>42.59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1.0270999999999999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3398</v>
      </c>
      <c r="D61" s="1065">
        <f t="shared" ref="D61:D69" si="12">SUMIF($J$60:$N$60,C61,J61:N61)</f>
        <v>0</v>
      </c>
      <c r="E61" s="744">
        <f>ROUND(SUM(D61:D69),4)</f>
        <v>2.7099999999999999E-2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3398</v>
      </c>
      <c r="D62" s="1065">
        <f t="shared" si="12"/>
        <v>0</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3399</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3399</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3427</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3399</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3398</v>
      </c>
      <c r="D67" s="1065">
        <f t="shared" si="12"/>
        <v>0</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3399</v>
      </c>
      <c r="D69" s="1065">
        <f t="shared" si="12"/>
        <v>4.4999999999999997E-3</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4" t="s">
        <v>3299</v>
      </c>
      <c r="B103" s="3774"/>
      <c r="C103" s="3774"/>
      <c r="D103" s="3774"/>
      <c r="E103" s="3774"/>
      <c r="F103" s="3774"/>
      <c r="G103" s="3774"/>
      <c r="H103" s="3774"/>
      <c r="I103" s="3774"/>
      <c r="J103" s="3774"/>
      <c r="K103" s="3390"/>
      <c r="L103" s="3390"/>
      <c r="M103" s="3390"/>
      <c r="N103" s="3390"/>
    </row>
    <row r="104" spans="1:14">
      <c r="A104" s="3775" t="s">
        <v>3300</v>
      </c>
      <c r="B104" s="3775" t="s">
        <v>3301</v>
      </c>
      <c r="C104" s="3391" t="s">
        <v>3302</v>
      </c>
      <c r="D104" s="3392"/>
      <c r="E104" s="3392"/>
      <c r="F104" s="3392"/>
      <c r="G104" s="3392"/>
      <c r="H104" s="3392"/>
      <c r="I104" s="3392"/>
      <c r="J104" s="3393"/>
      <c r="K104" s="3394"/>
      <c r="L104" s="3394"/>
      <c r="M104" s="3394"/>
      <c r="N104" s="3394"/>
    </row>
    <row r="105" spans="1:14">
      <c r="A105" s="3775"/>
      <c r="B105" s="377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6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4" t="s">
        <v>3316</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3</v>
      </c>
      <c r="C116" s="3400" t="s">
        <v>3318</v>
      </c>
      <c r="D116" s="3401">
        <f>SUMPRODUCT((A118:A122=F116)*(B117:M117=H116)*B118:M122)</f>
        <v>0.89890000000000003</v>
      </c>
      <c r="E116" s="2000" t="s">
        <v>3319</v>
      </c>
      <c r="F116" s="3402" t="str">
        <f>E2</f>
        <v>办公</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6">I118</f>
        <v>0.79459999999999997</v>
      </c>
      <c r="K118" s="3388">
        <f t="shared" si="36"/>
        <v>0.79459999999999997</v>
      </c>
      <c r="L118" s="3388">
        <f t="shared" si="36"/>
        <v>0.79459999999999997</v>
      </c>
      <c r="M118" s="3411">
        <f t="shared" si="36"/>
        <v>0.79459999999999997</v>
      </c>
      <c r="N118" s="3398"/>
    </row>
    <row r="119" spans="1:14">
      <c r="A119" s="3410" t="s">
        <v>3334</v>
      </c>
      <c r="B119" s="3388">
        <f>ROUND(0.993-0.0112*B116,4)</f>
        <v>0.95940000000000003</v>
      </c>
      <c r="C119" s="3388">
        <f>B119</f>
        <v>0.95940000000000003</v>
      </c>
      <c r="D119" s="3388">
        <f>ROUND(0.9415-0.0142*B116,4)</f>
        <v>0.89890000000000003</v>
      </c>
      <c r="E119" s="3388">
        <f t="shared" ref="E119:H120" si="37">D119</f>
        <v>0.89890000000000003</v>
      </c>
      <c r="F119" s="3388">
        <f t="shared" si="37"/>
        <v>0.89890000000000003</v>
      </c>
      <c r="G119" s="3388">
        <f t="shared" si="37"/>
        <v>0.89890000000000003</v>
      </c>
      <c r="H119" s="3388">
        <f t="shared" si="37"/>
        <v>0.89890000000000003</v>
      </c>
      <c r="I119" s="3388">
        <f>ROUND(0.838-0.0182*B116,4)</f>
        <v>0.78339999999999999</v>
      </c>
      <c r="J119" s="3388">
        <f t="shared" si="36"/>
        <v>0.78339999999999999</v>
      </c>
      <c r="K119" s="3388">
        <f t="shared" si="36"/>
        <v>0.78339999999999999</v>
      </c>
      <c r="L119" s="3388">
        <f t="shared" si="36"/>
        <v>0.78339999999999999</v>
      </c>
      <c r="M119" s="3411">
        <f t="shared" si="36"/>
        <v>0.78339999999999999</v>
      </c>
      <c r="N119" s="3398"/>
    </row>
    <row r="120" spans="1:14">
      <c r="A120" s="3410" t="s">
        <v>3335</v>
      </c>
      <c r="B120" s="3388">
        <f>ROUND(0.9448-0.0115*B116,4)</f>
        <v>0.9103</v>
      </c>
      <c r="C120" s="3388">
        <f>B120</f>
        <v>0.9103</v>
      </c>
      <c r="D120" s="3388">
        <f>ROUND(0.937-0.0145*B116,4)</f>
        <v>0.89349999999999996</v>
      </c>
      <c r="E120" s="3388">
        <f t="shared" si="37"/>
        <v>0.89349999999999996</v>
      </c>
      <c r="F120" s="3388">
        <f t="shared" si="37"/>
        <v>0.89349999999999996</v>
      </c>
      <c r="G120" s="3388">
        <f t="shared" si="37"/>
        <v>0.89349999999999996</v>
      </c>
      <c r="H120" s="3388">
        <f t="shared" si="37"/>
        <v>0.89349999999999996</v>
      </c>
      <c r="I120" s="3388">
        <f>ROUND(0.7965-0.0185*B116,4)</f>
        <v>0.74099999999999999</v>
      </c>
      <c r="J120" s="3388">
        <f t="shared" si="36"/>
        <v>0.74099999999999999</v>
      </c>
      <c r="K120" s="3388">
        <f t="shared" si="36"/>
        <v>0.74099999999999999</v>
      </c>
      <c r="L120" s="3388">
        <f t="shared" si="36"/>
        <v>0.74099999999999999</v>
      </c>
      <c r="M120" s="3411">
        <f t="shared" si="36"/>
        <v>0.74099999999999999</v>
      </c>
      <c r="N120" s="3398"/>
    </row>
    <row r="121" spans="1:14" ht="13.5" thickBot="1">
      <c r="A121" s="3412" t="s">
        <v>3336</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6"/>
        <v>0.53349999999999997</v>
      </c>
      <c r="K121" s="3413">
        <f t="shared" si="36"/>
        <v>0.53349999999999997</v>
      </c>
      <c r="L121" s="3413">
        <f t="shared" si="36"/>
        <v>0.53349999999999997</v>
      </c>
      <c r="M121" s="3414">
        <f t="shared" si="36"/>
        <v>0.53349999999999997</v>
      </c>
      <c r="N121" s="3398"/>
    </row>
    <row r="122" spans="1:14">
      <c r="A122" s="3415" t="s">
        <v>2615</v>
      </c>
      <c r="B122" s="3388">
        <f>ROUND(0.9404-0.0106*B116,4)</f>
        <v>0.90859999999999996</v>
      </c>
      <c r="C122" s="3388">
        <f>B122</f>
        <v>0.90859999999999996</v>
      </c>
      <c r="D122" s="3388">
        <f>ROUND(0.8955-0.0135*B116,4)</f>
        <v>0.85499999999999998</v>
      </c>
      <c r="E122" s="3388">
        <f t="shared" ref="E122:H122" si="38">D122</f>
        <v>0.85499999999999998</v>
      </c>
      <c r="F122" s="3388">
        <f t="shared" si="38"/>
        <v>0.85499999999999998</v>
      </c>
      <c r="G122" s="3388">
        <f t="shared" si="38"/>
        <v>0.85499999999999998</v>
      </c>
      <c r="H122" s="3388">
        <f t="shared" si="38"/>
        <v>0.85499999999999998</v>
      </c>
      <c r="I122" s="3388">
        <f>ROUND(0.7632-0.0166*B116,4)</f>
        <v>0.71340000000000003</v>
      </c>
      <c r="J122" s="3388">
        <f t="shared" si="36"/>
        <v>0.71340000000000003</v>
      </c>
      <c r="K122" s="3388">
        <f t="shared" si="36"/>
        <v>0.71340000000000003</v>
      </c>
      <c r="L122" s="3388">
        <f t="shared" si="36"/>
        <v>0.71340000000000003</v>
      </c>
      <c r="M122" s="3411">
        <f t="shared" si="36"/>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9" t="s">
        <v>2610</v>
      </c>
      <c r="B20" s="3784" t="s">
        <v>2631</v>
      </c>
      <c r="C20" s="3103" t="s">
        <v>2442</v>
      </c>
      <c r="D20" s="3104"/>
      <c r="E20" s="3105">
        <v>1</v>
      </c>
      <c r="F20" s="3106" t="s">
        <v>2443</v>
      </c>
      <c r="G20" s="3106"/>
    </row>
    <row r="21" spans="1:13" ht="19.5" customHeight="1">
      <c r="A21" s="3790"/>
      <c r="B21" s="3783"/>
      <c r="C21" s="3107" t="s">
        <v>2444</v>
      </c>
      <c r="D21" s="3108"/>
      <c r="E21" s="3109">
        <v>1</v>
      </c>
      <c r="F21" s="3106" t="s">
        <v>2445</v>
      </c>
      <c r="G21" s="3106"/>
    </row>
    <row r="22" spans="1:13" ht="19.5" customHeight="1">
      <c r="A22" s="3790"/>
      <c r="B22" s="3783"/>
      <c r="C22" s="3107" t="s">
        <v>2446</v>
      </c>
      <c r="D22" s="3108"/>
      <c r="E22" s="3109">
        <v>0.9</v>
      </c>
      <c r="F22" s="3106" t="s">
        <v>2447</v>
      </c>
      <c r="G22" s="3106"/>
    </row>
    <row r="23" spans="1:13" ht="19.5" customHeight="1">
      <c r="A23" s="3790"/>
      <c r="B23" s="3783"/>
      <c r="C23" s="3107" t="s">
        <v>2448</v>
      </c>
      <c r="D23" s="3108"/>
      <c r="E23" s="3109">
        <v>0.9</v>
      </c>
      <c r="F23" s="3106" t="s">
        <v>2449</v>
      </c>
      <c r="G23" s="3106"/>
    </row>
    <row r="24" spans="1:13" ht="19.5" customHeight="1">
      <c r="A24" s="3790"/>
      <c r="B24" s="3783"/>
      <c r="C24" s="3107" t="s">
        <v>2450</v>
      </c>
      <c r="D24" s="3108"/>
      <c r="E24" s="3109">
        <v>0.8</v>
      </c>
      <c r="F24" s="3106" t="s">
        <v>2451</v>
      </c>
      <c r="G24" s="3106"/>
    </row>
    <row r="25" spans="1:13" ht="19.5" customHeight="1" thickBot="1">
      <c r="A25" s="3791"/>
      <c r="B25" s="378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6" t="s">
        <v>2634</v>
      </c>
      <c r="B27" s="3784" t="s">
        <v>2615</v>
      </c>
      <c r="C27" s="3103" t="s">
        <v>2455</v>
      </c>
      <c r="D27" s="3104"/>
      <c r="E27" s="3105">
        <v>1</v>
      </c>
      <c r="F27" s="3106" t="s">
        <v>2456</v>
      </c>
      <c r="G27" s="3106"/>
    </row>
    <row r="28" spans="1:13" ht="19.5" customHeight="1">
      <c r="A28" s="3787"/>
      <c r="B28" s="3783"/>
      <c r="C28" s="3107" t="s">
        <v>2457</v>
      </c>
      <c r="D28" s="3108"/>
      <c r="E28" s="3109">
        <v>1</v>
      </c>
      <c r="F28" s="3106" t="s">
        <v>2458</v>
      </c>
      <c r="G28" s="3106"/>
    </row>
    <row r="29" spans="1:13" ht="19.5" customHeight="1">
      <c r="A29" s="3787"/>
      <c r="B29" s="3783"/>
      <c r="C29" s="3107" t="s">
        <v>2459</v>
      </c>
      <c r="D29" s="3108"/>
      <c r="E29" s="3109">
        <v>0.8</v>
      </c>
      <c r="F29" s="3106" t="s">
        <v>2460</v>
      </c>
      <c r="G29" s="3106"/>
    </row>
    <row r="30" spans="1:13" ht="19.5" customHeight="1">
      <c r="A30" s="3787"/>
      <c r="B30" s="3783"/>
      <c r="C30" s="3107" t="s">
        <v>2461</v>
      </c>
      <c r="D30" s="3108"/>
      <c r="E30" s="3109">
        <v>0.8</v>
      </c>
      <c r="F30" s="3106" t="s">
        <v>2462</v>
      </c>
      <c r="G30" s="3106"/>
    </row>
    <row r="31" spans="1:13" ht="19.5" customHeight="1">
      <c r="A31" s="3787"/>
      <c r="B31" s="3783"/>
      <c r="C31" s="3107" t="s">
        <v>2463</v>
      </c>
      <c r="D31" s="3108"/>
      <c r="E31" s="3109">
        <v>0.8</v>
      </c>
      <c r="F31" s="3106" t="s">
        <v>2464</v>
      </c>
      <c r="G31" s="3106"/>
    </row>
    <row r="32" spans="1:13" ht="19.5" customHeight="1">
      <c r="A32" s="3787"/>
      <c r="B32" s="3783"/>
      <c r="C32" s="3107" t="s">
        <v>2465</v>
      </c>
      <c r="D32" s="3108"/>
      <c r="E32" s="3109">
        <v>0.7</v>
      </c>
      <c r="F32" s="3106" t="s">
        <v>2466</v>
      </c>
      <c r="G32" s="3106"/>
    </row>
    <row r="33" spans="1:7" ht="19.5" customHeight="1">
      <c r="A33" s="3787"/>
      <c r="B33" s="3783"/>
      <c r="C33" s="3107" t="s">
        <v>2467</v>
      </c>
      <c r="D33" s="3108"/>
      <c r="E33" s="3109">
        <v>0.8</v>
      </c>
      <c r="F33" s="3106" t="s">
        <v>2468</v>
      </c>
      <c r="G33" s="3106"/>
    </row>
    <row r="34" spans="1:7" ht="19.5" customHeight="1">
      <c r="A34" s="3787"/>
      <c r="B34" s="3783"/>
      <c r="C34" s="3107" t="s">
        <v>2469</v>
      </c>
      <c r="D34" s="3108"/>
      <c r="E34" s="3109">
        <v>0.6</v>
      </c>
      <c r="F34" s="3106" t="s">
        <v>2470</v>
      </c>
      <c r="G34" s="3106"/>
    </row>
    <row r="35" spans="1:7" ht="19.5" customHeight="1">
      <c r="A35" s="3787"/>
      <c r="B35" s="3783"/>
      <c r="C35" s="3107" t="s">
        <v>2471</v>
      </c>
      <c r="D35" s="3108"/>
      <c r="E35" s="3109">
        <v>0.2</v>
      </c>
      <c r="F35" s="3106" t="s">
        <v>2472</v>
      </c>
      <c r="G35" s="3106"/>
    </row>
    <row r="36" spans="1:7" ht="19.5" customHeight="1">
      <c r="A36" s="3787"/>
      <c r="B36" s="3783"/>
      <c r="C36" s="3107" t="s">
        <v>2473</v>
      </c>
      <c r="D36" s="3108"/>
      <c r="E36" s="3109">
        <v>0.2</v>
      </c>
      <c r="F36" s="3106" t="s">
        <v>2474</v>
      </c>
      <c r="G36" s="3106"/>
    </row>
    <row r="37" spans="1:7" ht="19.5" customHeight="1">
      <c r="A37" s="3787"/>
      <c r="B37" s="3781" t="s">
        <v>2635</v>
      </c>
      <c r="C37" s="3107" t="s">
        <v>2475</v>
      </c>
      <c r="D37" s="3108"/>
      <c r="E37" s="3109">
        <v>0.6</v>
      </c>
      <c r="F37" s="3106" t="s">
        <v>2476</v>
      </c>
      <c r="G37" s="3106"/>
    </row>
    <row r="38" spans="1:7" ht="19.5" customHeight="1">
      <c r="A38" s="3787"/>
      <c r="B38" s="3783"/>
      <c r="C38" s="3107" t="s">
        <v>2477</v>
      </c>
      <c r="D38" s="3108"/>
      <c r="E38" s="3109">
        <v>0.6</v>
      </c>
      <c r="F38" s="3106" t="s">
        <v>2478</v>
      </c>
      <c r="G38" s="3106"/>
    </row>
    <row r="39" spans="1:7" ht="19.5" customHeight="1" thickBot="1">
      <c r="A39" s="3788"/>
      <c r="B39" s="378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9" t="s">
        <v>2613</v>
      </c>
      <c r="B41" s="3784" t="s">
        <v>2637</v>
      </c>
      <c r="C41" s="3103" t="s">
        <v>2482</v>
      </c>
      <c r="D41" s="3104"/>
      <c r="E41" s="3105">
        <v>1</v>
      </c>
      <c r="F41" s="3106" t="s">
        <v>2483</v>
      </c>
      <c r="G41" s="3106"/>
    </row>
    <row r="42" spans="1:7" ht="19.5" customHeight="1">
      <c r="A42" s="3790"/>
      <c r="B42" s="3783"/>
      <c r="C42" s="3107" t="s">
        <v>2484</v>
      </c>
      <c r="D42" s="3108"/>
      <c r="E42" s="3109">
        <v>1</v>
      </c>
      <c r="F42" s="3106" t="s">
        <v>2485</v>
      </c>
      <c r="G42" s="3106"/>
    </row>
    <row r="43" spans="1:7" ht="19.5" customHeight="1">
      <c r="A43" s="3790"/>
      <c r="B43" s="3782"/>
      <c r="C43" s="3107" t="s">
        <v>2486</v>
      </c>
      <c r="D43" s="3108"/>
      <c r="E43" s="3109">
        <v>1.5</v>
      </c>
      <c r="F43" s="3106" t="s">
        <v>2487</v>
      </c>
      <c r="G43" s="3106"/>
    </row>
    <row r="44" spans="1:7" ht="19.5" customHeight="1">
      <c r="A44" s="3790"/>
      <c r="B44" s="3118" t="s">
        <v>2638</v>
      </c>
      <c r="C44" s="3107" t="s">
        <v>2639</v>
      </c>
      <c r="D44" s="3108"/>
      <c r="E44" s="3109">
        <v>2</v>
      </c>
      <c r="F44" s="3106" t="s">
        <v>2488</v>
      </c>
      <c r="G44" s="3106"/>
    </row>
    <row r="45" spans="1:7" ht="19.5" customHeight="1">
      <c r="A45" s="3790"/>
      <c r="B45" s="3781" t="s">
        <v>2640</v>
      </c>
      <c r="C45" s="3107" t="s">
        <v>2489</v>
      </c>
      <c r="D45" s="3108"/>
      <c r="E45" s="3109">
        <v>1</v>
      </c>
      <c r="F45" s="3106" t="s">
        <v>2490</v>
      </c>
      <c r="G45" s="3106"/>
    </row>
    <row r="46" spans="1:7" ht="19.5" customHeight="1">
      <c r="A46" s="3790"/>
      <c r="B46" s="3783"/>
      <c r="C46" s="3107" t="s">
        <v>2491</v>
      </c>
      <c r="D46" s="3108"/>
      <c r="E46" s="3109">
        <v>1</v>
      </c>
      <c r="F46" s="3106" t="s">
        <v>2492</v>
      </c>
      <c r="G46" s="3106"/>
    </row>
    <row r="47" spans="1:7" ht="19.5" customHeight="1">
      <c r="A47" s="3790"/>
      <c r="B47" s="3783"/>
      <c r="C47" s="3107" t="s">
        <v>2493</v>
      </c>
      <c r="D47" s="3108"/>
      <c r="E47" s="3109">
        <v>1</v>
      </c>
      <c r="F47" s="3106" t="s">
        <v>2494</v>
      </c>
      <c r="G47" s="3106"/>
    </row>
    <row r="48" spans="1:7" ht="19.5" customHeight="1">
      <c r="A48" s="3790"/>
      <c r="B48" s="3783"/>
      <c r="C48" s="3107" t="s">
        <v>2495</v>
      </c>
      <c r="D48" s="3108"/>
      <c r="E48" s="3109">
        <v>1</v>
      </c>
      <c r="F48" s="3106" t="s">
        <v>2496</v>
      </c>
      <c r="G48" s="3106"/>
    </row>
    <row r="49" spans="1:7" ht="19.5" customHeight="1">
      <c r="A49" s="3790"/>
      <c r="B49" s="3783"/>
      <c r="C49" s="3107" t="s">
        <v>2497</v>
      </c>
      <c r="D49" s="3108"/>
      <c r="E49" s="3109">
        <v>1</v>
      </c>
      <c r="F49" s="3106" t="s">
        <v>2498</v>
      </c>
      <c r="G49" s="3106"/>
    </row>
    <row r="50" spans="1:7" ht="19.5" customHeight="1">
      <c r="A50" s="3790"/>
      <c r="B50" s="3783"/>
      <c r="C50" s="3107" t="s">
        <v>2499</v>
      </c>
      <c r="D50" s="3108"/>
      <c r="E50" s="3109">
        <v>1</v>
      </c>
      <c r="F50" s="3106" t="s">
        <v>2500</v>
      </c>
      <c r="G50" s="3106"/>
    </row>
    <row r="51" spans="1:7" ht="19.5" customHeight="1" thickBot="1">
      <c r="A51" s="3791"/>
      <c r="B51" s="378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1" t="s">
        <v>2654</v>
      </c>
      <c r="C73" s="3092" t="s">
        <v>2655</v>
      </c>
      <c r="D73" s="3092" t="s">
        <v>2656</v>
      </c>
      <c r="E73" s="3118">
        <v>0.2</v>
      </c>
      <c r="F73" s="3118">
        <v>25</v>
      </c>
    </row>
    <row r="74" spans="1:7" ht="24">
      <c r="A74" s="3118">
        <v>2</v>
      </c>
      <c r="B74" s="3783"/>
      <c r="C74" s="3092" t="s">
        <v>2657</v>
      </c>
      <c r="D74" s="3092" t="s">
        <v>2658</v>
      </c>
      <c r="E74" s="3118">
        <v>0.2</v>
      </c>
      <c r="F74" s="3118">
        <v>25</v>
      </c>
    </row>
    <row r="75" spans="1:7" ht="24">
      <c r="A75" s="3118">
        <v>3</v>
      </c>
      <c r="B75" s="3783"/>
      <c r="C75" s="3092" t="s">
        <v>2659</v>
      </c>
      <c r="D75" s="3092" t="s">
        <v>2660</v>
      </c>
      <c r="E75" s="3118">
        <v>0.2</v>
      </c>
      <c r="F75" s="3118">
        <v>25</v>
      </c>
    </row>
    <row r="76" spans="1:7" ht="13.5">
      <c r="A76" s="3118">
        <v>4</v>
      </c>
      <c r="B76" s="3783"/>
      <c r="C76" s="3092" t="s">
        <v>2661</v>
      </c>
      <c r="D76" s="3092" t="s">
        <v>2662</v>
      </c>
      <c r="E76" s="3118">
        <v>0.15</v>
      </c>
      <c r="F76" s="3118">
        <v>20</v>
      </c>
    </row>
    <row r="77" spans="1:7" ht="24">
      <c r="A77" s="3118">
        <v>5</v>
      </c>
      <c r="B77" s="3783"/>
      <c r="C77" s="3092" t="s">
        <v>2663</v>
      </c>
      <c r="D77" s="3092" t="s">
        <v>2664</v>
      </c>
      <c r="E77" s="3118">
        <v>0.15</v>
      </c>
      <c r="F77" s="3118">
        <v>20</v>
      </c>
    </row>
    <row r="78" spans="1:7" ht="24">
      <c r="A78" s="3118">
        <v>6</v>
      </c>
      <c r="B78" s="3783"/>
      <c r="C78" s="3092" t="s">
        <v>2665</v>
      </c>
      <c r="D78" s="3092" t="s">
        <v>2666</v>
      </c>
      <c r="E78" s="3118">
        <v>0.15</v>
      </c>
      <c r="F78" s="3118">
        <v>20</v>
      </c>
    </row>
    <row r="79" spans="1:7" ht="24">
      <c r="A79" s="3118">
        <v>7</v>
      </c>
      <c r="B79" s="3783"/>
      <c r="C79" s="3092" t="s">
        <v>2667</v>
      </c>
      <c r="D79" s="3092" t="s">
        <v>2668</v>
      </c>
      <c r="E79" s="3118">
        <v>0.15</v>
      </c>
      <c r="F79" s="3118">
        <v>20</v>
      </c>
    </row>
    <row r="80" spans="1:7" ht="24">
      <c r="A80" s="3118">
        <v>8</v>
      </c>
      <c r="B80" s="3783"/>
      <c r="C80" s="3092" t="s">
        <v>2669</v>
      </c>
      <c r="D80" s="3092" t="s">
        <v>2670</v>
      </c>
      <c r="E80" s="3118">
        <v>0.1</v>
      </c>
      <c r="F80" s="3118">
        <v>15</v>
      </c>
    </row>
    <row r="81" spans="1:6" ht="24">
      <c r="A81" s="3118">
        <v>9</v>
      </c>
      <c r="B81" s="3783"/>
      <c r="C81" s="3092" t="s">
        <v>2671</v>
      </c>
      <c r="D81" s="3092" t="s">
        <v>2672</v>
      </c>
      <c r="E81" s="3118">
        <v>0.1</v>
      </c>
      <c r="F81" s="3118">
        <v>15</v>
      </c>
    </row>
    <row r="82" spans="1:6" ht="24">
      <c r="A82" s="3118">
        <v>10</v>
      </c>
      <c r="B82" s="3783"/>
      <c r="C82" s="3092" t="s">
        <v>2673</v>
      </c>
      <c r="D82" s="3092" t="s">
        <v>2674</v>
      </c>
      <c r="E82" s="3118">
        <v>0.1</v>
      </c>
      <c r="F82" s="3118">
        <v>15</v>
      </c>
    </row>
    <row r="83" spans="1:6" ht="24">
      <c r="A83" s="3118">
        <v>11</v>
      </c>
      <c r="B83" s="3783"/>
      <c r="C83" s="3092" t="s">
        <v>2675</v>
      </c>
      <c r="D83" s="3092" t="s">
        <v>2676</v>
      </c>
      <c r="E83" s="3118">
        <v>0.1</v>
      </c>
      <c r="F83" s="3118">
        <v>15</v>
      </c>
    </row>
    <row r="84" spans="1:6" ht="24">
      <c r="A84" s="3118">
        <v>12</v>
      </c>
      <c r="B84" s="3783"/>
      <c r="C84" s="3092" t="s">
        <v>2677</v>
      </c>
      <c r="D84" s="3092" t="s">
        <v>2678</v>
      </c>
      <c r="E84" s="3118">
        <v>0.1</v>
      </c>
      <c r="F84" s="3118">
        <v>15</v>
      </c>
    </row>
    <row r="85" spans="1:6" ht="13.5">
      <c r="A85" s="3118">
        <v>13</v>
      </c>
      <c r="B85" s="3783"/>
      <c r="C85" s="3092" t="s">
        <v>2679</v>
      </c>
      <c r="D85" s="3092" t="s">
        <v>2680</v>
      </c>
      <c r="E85" s="3118">
        <v>0.1</v>
      </c>
      <c r="F85" s="3118">
        <v>15</v>
      </c>
    </row>
    <row r="86" spans="1:6" ht="13.5">
      <c r="A86" s="3118">
        <v>14</v>
      </c>
      <c r="B86" s="3783"/>
      <c r="C86" s="3092" t="s">
        <v>2681</v>
      </c>
      <c r="D86" s="3092" t="s">
        <v>2682</v>
      </c>
      <c r="E86" s="3118">
        <v>0.1</v>
      </c>
      <c r="F86" s="3118">
        <v>15</v>
      </c>
    </row>
    <row r="87" spans="1:6" ht="13.5">
      <c r="A87" s="3118">
        <v>15</v>
      </c>
      <c r="B87" s="3783"/>
      <c r="C87" s="3092" t="s">
        <v>2683</v>
      </c>
      <c r="D87" s="3092" t="s">
        <v>2684</v>
      </c>
      <c r="E87" s="3118">
        <v>0.1</v>
      </c>
      <c r="F87" s="3118">
        <v>15</v>
      </c>
    </row>
    <row r="88" spans="1:6" ht="24">
      <c r="A88" s="3118">
        <v>16</v>
      </c>
      <c r="B88" s="3783"/>
      <c r="C88" s="3092" t="s">
        <v>2685</v>
      </c>
      <c r="D88" s="3092" t="s">
        <v>2686</v>
      </c>
      <c r="E88" s="3118">
        <v>0.1</v>
      </c>
      <c r="F88" s="3118">
        <v>15</v>
      </c>
    </row>
    <row r="89" spans="1:6" ht="24">
      <c r="A89" s="3118">
        <v>17</v>
      </c>
      <c r="B89" s="3782"/>
      <c r="C89" s="3092" t="s">
        <v>2687</v>
      </c>
      <c r="D89" s="3092" t="s">
        <v>2688</v>
      </c>
      <c r="E89" s="3118">
        <v>0.1</v>
      </c>
      <c r="F89" s="3118">
        <v>15</v>
      </c>
    </row>
    <row r="90" spans="1:6" ht="13.5">
      <c r="A90" s="3118">
        <v>18</v>
      </c>
      <c r="B90" s="3781" t="s">
        <v>2689</v>
      </c>
      <c r="C90" s="3092" t="s">
        <v>2690</v>
      </c>
      <c r="D90" s="3092" t="s">
        <v>2691</v>
      </c>
      <c r="E90" s="3118">
        <v>0.2</v>
      </c>
      <c r="F90" s="3118">
        <v>25</v>
      </c>
    </row>
    <row r="91" spans="1:6" ht="24">
      <c r="A91" s="3118">
        <v>19</v>
      </c>
      <c r="B91" s="3783"/>
      <c r="C91" s="3092" t="s">
        <v>2692</v>
      </c>
      <c r="D91" s="3092" t="s">
        <v>2693</v>
      </c>
      <c r="E91" s="3118">
        <v>0.2</v>
      </c>
      <c r="F91" s="3118">
        <v>25</v>
      </c>
    </row>
    <row r="92" spans="1:6" ht="13.5">
      <c r="A92" s="3118">
        <v>20</v>
      </c>
      <c r="B92" s="3783"/>
      <c r="C92" s="3092" t="s">
        <v>2694</v>
      </c>
      <c r="D92" s="3092" t="s">
        <v>2695</v>
      </c>
      <c r="E92" s="3118">
        <v>0.15</v>
      </c>
      <c r="F92" s="3118">
        <v>20</v>
      </c>
    </row>
    <row r="93" spans="1:6" ht="13.5">
      <c r="A93" s="3118">
        <v>21</v>
      </c>
      <c r="B93" s="3783"/>
      <c r="C93" s="3092" t="s">
        <v>2696</v>
      </c>
      <c r="D93" s="3092" t="s">
        <v>2697</v>
      </c>
      <c r="E93" s="3118">
        <v>0.15</v>
      </c>
      <c r="F93" s="3118">
        <v>20</v>
      </c>
    </row>
    <row r="94" spans="1:6" ht="13.5">
      <c r="A94" s="3118">
        <v>22</v>
      </c>
      <c r="B94" s="3783"/>
      <c r="C94" s="3092" t="s">
        <v>2698</v>
      </c>
      <c r="D94" s="3092" t="s">
        <v>2699</v>
      </c>
      <c r="E94" s="3118">
        <v>0.15</v>
      </c>
      <c r="F94" s="3118">
        <v>20</v>
      </c>
    </row>
    <row r="95" spans="1:6" ht="36">
      <c r="A95" s="3118">
        <v>23</v>
      </c>
      <c r="B95" s="3783"/>
      <c r="C95" s="3092" t="s">
        <v>2700</v>
      </c>
      <c r="D95" s="3092" t="s">
        <v>2701</v>
      </c>
      <c r="E95" s="3118">
        <v>0.15</v>
      </c>
      <c r="F95" s="3118">
        <v>20</v>
      </c>
    </row>
    <row r="96" spans="1:6" ht="13.5">
      <c r="A96" s="3118">
        <v>24</v>
      </c>
      <c r="B96" s="3783"/>
      <c r="C96" s="3092" t="s">
        <v>2702</v>
      </c>
      <c r="D96" s="3092" t="s">
        <v>2703</v>
      </c>
      <c r="E96" s="3118">
        <v>0.1</v>
      </c>
      <c r="F96" s="3118">
        <v>15</v>
      </c>
    </row>
    <row r="97" spans="1:6" ht="13.5">
      <c r="A97" s="3118">
        <v>25</v>
      </c>
      <c r="B97" s="3783"/>
      <c r="C97" s="3092" t="s">
        <v>2704</v>
      </c>
      <c r="D97" s="3092" t="s">
        <v>2705</v>
      </c>
      <c r="E97" s="3118">
        <v>0.1</v>
      </c>
      <c r="F97" s="3118">
        <v>15</v>
      </c>
    </row>
    <row r="98" spans="1:6" ht="24">
      <c r="A98" s="3118">
        <v>26</v>
      </c>
      <c r="B98" s="3783"/>
      <c r="C98" s="3092" t="s">
        <v>2706</v>
      </c>
      <c r="D98" s="3092" t="s">
        <v>2707</v>
      </c>
      <c r="E98" s="3118">
        <v>0.1</v>
      </c>
      <c r="F98" s="3118">
        <v>15</v>
      </c>
    </row>
    <row r="99" spans="1:6" ht="24">
      <c r="A99" s="3118">
        <v>27</v>
      </c>
      <c r="B99" s="3783"/>
      <c r="C99" s="3092" t="s">
        <v>2708</v>
      </c>
      <c r="D99" s="3092" t="s">
        <v>2709</v>
      </c>
      <c r="E99" s="3118">
        <v>0.1</v>
      </c>
      <c r="F99" s="3118">
        <v>15</v>
      </c>
    </row>
    <row r="100" spans="1:6" ht="13.5">
      <c r="A100" s="3118">
        <v>28</v>
      </c>
      <c r="B100" s="3783"/>
      <c r="C100" s="3092" t="s">
        <v>2710</v>
      </c>
      <c r="D100" s="3092" t="s">
        <v>2711</v>
      </c>
      <c r="E100" s="3118">
        <v>0.1</v>
      </c>
      <c r="F100" s="3118">
        <v>15</v>
      </c>
    </row>
    <row r="101" spans="1:6" ht="13.5">
      <c r="A101" s="3118">
        <v>29</v>
      </c>
      <c r="B101" s="3783"/>
      <c r="C101" s="3092" t="s">
        <v>2712</v>
      </c>
      <c r="D101" s="3092" t="s">
        <v>2713</v>
      </c>
      <c r="E101" s="3118">
        <v>0.1</v>
      </c>
      <c r="F101" s="3118">
        <v>15</v>
      </c>
    </row>
    <row r="102" spans="1:6" ht="13.5">
      <c r="A102" s="3118">
        <v>30</v>
      </c>
      <c r="B102" s="3783"/>
      <c r="C102" s="3092" t="s">
        <v>2714</v>
      </c>
      <c r="D102" s="3092" t="s">
        <v>2715</v>
      </c>
      <c r="E102" s="3118">
        <v>0.1</v>
      </c>
      <c r="F102" s="3118">
        <v>15</v>
      </c>
    </row>
    <row r="103" spans="1:6" ht="24">
      <c r="A103" s="3118">
        <v>31</v>
      </c>
      <c r="B103" s="3783"/>
      <c r="C103" s="3092" t="s">
        <v>2716</v>
      </c>
      <c r="D103" s="3092" t="s">
        <v>2717</v>
      </c>
      <c r="E103" s="3118">
        <v>0.1</v>
      </c>
      <c r="F103" s="3118">
        <v>15</v>
      </c>
    </row>
    <row r="104" spans="1:6" ht="24">
      <c r="A104" s="3118">
        <v>32</v>
      </c>
      <c r="B104" s="3783"/>
      <c r="C104" s="3092" t="s">
        <v>2718</v>
      </c>
      <c r="D104" s="3092" t="s">
        <v>2719</v>
      </c>
      <c r="E104" s="3118">
        <v>0.1</v>
      </c>
      <c r="F104" s="3118">
        <v>15</v>
      </c>
    </row>
    <row r="105" spans="1:6" ht="24">
      <c r="A105" s="3118">
        <v>33</v>
      </c>
      <c r="B105" s="3783"/>
      <c r="C105" s="3092" t="s">
        <v>2720</v>
      </c>
      <c r="D105" s="3092" t="s">
        <v>2721</v>
      </c>
      <c r="E105" s="3118">
        <v>0.1</v>
      </c>
      <c r="F105" s="3118">
        <v>15</v>
      </c>
    </row>
    <row r="106" spans="1:6" ht="24">
      <c r="A106" s="3118">
        <v>34</v>
      </c>
      <c r="B106" s="3782"/>
      <c r="C106" s="3092" t="s">
        <v>2722</v>
      </c>
      <c r="D106" s="3092" t="s">
        <v>2723</v>
      </c>
      <c r="E106" s="3118">
        <v>0.1</v>
      </c>
      <c r="F106" s="3118">
        <v>15</v>
      </c>
    </row>
    <row r="107" spans="1:6" ht="24">
      <c r="A107" s="3118">
        <v>35</v>
      </c>
      <c r="B107" s="3781" t="s">
        <v>2724</v>
      </c>
      <c r="C107" s="3118" t="s">
        <v>2725</v>
      </c>
      <c r="D107" s="3092" t="s">
        <v>2726</v>
      </c>
      <c r="E107" s="3118">
        <v>0.15</v>
      </c>
      <c r="F107" s="3118">
        <v>20</v>
      </c>
    </row>
    <row r="108" spans="1:6" ht="13.5">
      <c r="A108" s="3118">
        <v>36</v>
      </c>
      <c r="B108" s="3783"/>
      <c r="C108" s="3118" t="s">
        <v>2727</v>
      </c>
      <c r="D108" s="3092" t="s">
        <v>2728</v>
      </c>
      <c r="E108" s="3118">
        <v>0.15</v>
      </c>
      <c r="F108" s="3118">
        <v>20</v>
      </c>
    </row>
    <row r="109" spans="1:6" ht="13.5">
      <c r="A109" s="3118">
        <v>37</v>
      </c>
      <c r="B109" s="3783"/>
      <c r="C109" s="3118" t="s">
        <v>2729</v>
      </c>
      <c r="D109" s="3092" t="s">
        <v>2730</v>
      </c>
      <c r="E109" s="3118">
        <v>0.15</v>
      </c>
      <c r="F109" s="3118">
        <v>20</v>
      </c>
    </row>
    <row r="110" spans="1:6" ht="13.5">
      <c r="A110" s="3118">
        <v>38</v>
      </c>
      <c r="B110" s="3783"/>
      <c r="C110" s="3118" t="s">
        <v>2731</v>
      </c>
      <c r="D110" s="3092" t="s">
        <v>2732</v>
      </c>
      <c r="E110" s="3118">
        <v>0.1</v>
      </c>
      <c r="F110" s="3118">
        <v>15</v>
      </c>
    </row>
    <row r="111" spans="1:6" ht="24">
      <c r="A111" s="3118">
        <v>39</v>
      </c>
      <c r="B111" s="3783"/>
      <c r="C111" s="3118" t="s">
        <v>2733</v>
      </c>
      <c r="D111" s="3092" t="s">
        <v>2734</v>
      </c>
      <c r="E111" s="3118">
        <v>0.1</v>
      </c>
      <c r="F111" s="3118">
        <v>15</v>
      </c>
    </row>
    <row r="112" spans="1:6" ht="24">
      <c r="A112" s="3118">
        <v>40</v>
      </c>
      <c r="B112" s="3782"/>
      <c r="C112" s="3118" t="s">
        <v>2735</v>
      </c>
      <c r="D112" s="3092" t="s">
        <v>2736</v>
      </c>
      <c r="E112" s="3118">
        <v>0.1</v>
      </c>
      <c r="F112" s="3118">
        <v>15</v>
      </c>
    </row>
    <row r="113" spans="1:6" ht="13.5">
      <c r="A113" s="3118">
        <v>41</v>
      </c>
      <c r="B113" s="3780" t="s">
        <v>2737</v>
      </c>
      <c r="C113" s="3118" t="s">
        <v>2738</v>
      </c>
      <c r="D113" s="3092" t="s">
        <v>2739</v>
      </c>
      <c r="E113" s="3118">
        <v>0.1</v>
      </c>
      <c r="F113" s="3118">
        <v>15</v>
      </c>
    </row>
    <row r="114" spans="1:6" ht="13.5">
      <c r="A114" s="3118">
        <v>42</v>
      </c>
      <c r="B114" s="3780"/>
      <c r="C114" s="3118" t="s">
        <v>2740</v>
      </c>
      <c r="D114" s="3092" t="s">
        <v>2741</v>
      </c>
      <c r="E114" s="3118">
        <v>0.1</v>
      </c>
      <c r="F114" s="3118">
        <v>15</v>
      </c>
    </row>
    <row r="115" spans="1:6" ht="24">
      <c r="A115" s="3118">
        <v>43</v>
      </c>
      <c r="B115" s="3780"/>
      <c r="C115" s="3118" t="s">
        <v>2742</v>
      </c>
      <c r="D115" s="3092" t="s">
        <v>2743</v>
      </c>
      <c r="E115" s="3118">
        <v>0.1</v>
      </c>
      <c r="F115" s="3118">
        <v>15</v>
      </c>
    </row>
    <row r="116" spans="1:6" ht="13.5">
      <c r="A116" s="3118">
        <v>44</v>
      </c>
      <c r="B116" s="3781" t="s">
        <v>2744</v>
      </c>
      <c r="C116" s="3118" t="s">
        <v>2745</v>
      </c>
      <c r="D116" s="3092" t="s">
        <v>2746</v>
      </c>
      <c r="E116" s="3118">
        <v>0.1</v>
      </c>
      <c r="F116" s="3118">
        <v>15</v>
      </c>
    </row>
    <row r="117" spans="1:6" ht="24">
      <c r="A117" s="3118">
        <v>45</v>
      </c>
      <c r="B117" s="3782"/>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2"/>
      <c r="C119" s="3118" t="s">
        <v>2752</v>
      </c>
      <c r="D119" s="3092" t="s">
        <v>2753</v>
      </c>
      <c r="E119" s="3118">
        <v>0.1</v>
      </c>
      <c r="F119" s="3118">
        <v>15</v>
      </c>
    </row>
    <row r="120" spans="1:6" ht="13.5">
      <c r="A120" s="3118">
        <v>48</v>
      </c>
      <c r="B120" s="3781" t="s">
        <v>2754</v>
      </c>
      <c r="C120" s="3118" t="s">
        <v>2755</v>
      </c>
      <c r="D120" s="3092" t="s">
        <v>2756</v>
      </c>
      <c r="E120" s="3118">
        <v>0.1</v>
      </c>
      <c r="F120" s="3118">
        <v>15</v>
      </c>
    </row>
    <row r="121" spans="1:6" ht="13.5">
      <c r="A121" s="3118">
        <v>49</v>
      </c>
      <c r="B121" s="3782"/>
      <c r="C121" s="3118" t="s">
        <v>2757</v>
      </c>
      <c r="D121" s="3092" t="s">
        <v>2758</v>
      </c>
      <c r="E121" s="3118">
        <v>0.1</v>
      </c>
      <c r="F121" s="3118">
        <v>15</v>
      </c>
    </row>
    <row r="122" spans="1:6" ht="24">
      <c r="A122" s="3118">
        <v>50</v>
      </c>
      <c r="B122" s="3780" t="s">
        <v>2759</v>
      </c>
      <c r="C122" s="3118" t="s">
        <v>2760</v>
      </c>
      <c r="D122" s="3092" t="s">
        <v>2761</v>
      </c>
      <c r="E122" s="3118">
        <v>0.1</v>
      </c>
      <c r="F122" s="3118">
        <v>15</v>
      </c>
    </row>
    <row r="123" spans="1:6" ht="24">
      <c r="A123" s="3118">
        <v>51</v>
      </c>
      <c r="B123" s="3780"/>
      <c r="C123" s="3118" t="s">
        <v>2762</v>
      </c>
      <c r="D123" s="3092" t="s">
        <v>2763</v>
      </c>
      <c r="E123" s="3118">
        <v>0.1</v>
      </c>
      <c r="F123" s="3118">
        <v>15</v>
      </c>
    </row>
    <row r="124" spans="1:6" ht="24">
      <c r="A124" s="3118">
        <v>52</v>
      </c>
      <c r="B124" s="3780" t="s">
        <v>2764</v>
      </c>
      <c r="C124" s="3118" t="s">
        <v>2765</v>
      </c>
      <c r="D124" s="3092" t="s">
        <v>2766</v>
      </c>
      <c r="E124" s="3118">
        <v>0.1</v>
      </c>
      <c r="F124" s="3118">
        <v>15</v>
      </c>
    </row>
    <row r="125" spans="1:6" ht="24">
      <c r="A125" s="3118">
        <v>53</v>
      </c>
      <c r="B125" s="378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0" t="s">
        <v>2772</v>
      </c>
      <c r="C127" s="3118" t="s">
        <v>2773</v>
      </c>
      <c r="D127" s="3092" t="s">
        <v>2774</v>
      </c>
      <c r="E127" s="3118">
        <v>0.1</v>
      </c>
      <c r="F127" s="3118">
        <v>15</v>
      </c>
    </row>
    <row r="128" spans="1:6" ht="13.5">
      <c r="A128" s="3118">
        <v>56</v>
      </c>
      <c r="B128" s="3780"/>
      <c r="C128" s="3118" t="s">
        <v>2775</v>
      </c>
      <c r="D128" s="3092" t="s">
        <v>2776</v>
      </c>
      <c r="E128" s="3118">
        <v>0.1</v>
      </c>
      <c r="F128" s="3118">
        <v>15</v>
      </c>
    </row>
    <row r="129" spans="1:6" ht="24">
      <c r="A129" s="3118">
        <v>57</v>
      </c>
      <c r="B129" s="3780"/>
      <c r="C129" s="3118" t="s">
        <v>2777</v>
      </c>
      <c r="D129" s="3092" t="s">
        <v>2778</v>
      </c>
      <c r="E129" s="3118">
        <v>0.1</v>
      </c>
      <c r="F129" s="3118">
        <v>15</v>
      </c>
    </row>
    <row r="130" spans="1:6" ht="24">
      <c r="A130" s="3118">
        <v>58</v>
      </c>
      <c r="B130" s="3780" t="s">
        <v>2779</v>
      </c>
      <c r="C130" s="3118" t="s">
        <v>2780</v>
      </c>
      <c r="D130" s="3092" t="s">
        <v>2781</v>
      </c>
      <c r="E130" s="3118">
        <v>0.1</v>
      </c>
      <c r="F130" s="3118">
        <v>15</v>
      </c>
    </row>
    <row r="131" spans="1:6" ht="13.5">
      <c r="A131" s="3118">
        <v>59</v>
      </c>
      <c r="B131" s="3780"/>
      <c r="C131" s="3118" t="s">
        <v>2782</v>
      </c>
      <c r="D131" s="3092" t="s">
        <v>2783</v>
      </c>
      <c r="E131" s="3118">
        <v>0.1</v>
      </c>
      <c r="F131" s="3118">
        <v>15</v>
      </c>
    </row>
    <row r="132" spans="1:6" ht="13.5">
      <c r="A132" s="3118">
        <v>60</v>
      </c>
      <c r="B132" s="3781" t="s">
        <v>2784</v>
      </c>
      <c r="C132" s="3118" t="s">
        <v>2785</v>
      </c>
      <c r="D132" s="3092" t="s">
        <v>2786</v>
      </c>
      <c r="E132" s="3118">
        <v>0.1</v>
      </c>
      <c r="F132" s="3118">
        <v>15</v>
      </c>
    </row>
    <row r="133" spans="1:6" ht="13.5">
      <c r="A133" s="3118">
        <v>61</v>
      </c>
      <c r="B133" s="378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0" t="s">
        <v>2792</v>
      </c>
      <c r="C135" s="3118" t="s">
        <v>2793</v>
      </c>
      <c r="D135" s="3092" t="s">
        <v>2794</v>
      </c>
      <c r="E135" s="3118">
        <v>0.1</v>
      </c>
      <c r="F135" s="3118">
        <v>15</v>
      </c>
    </row>
    <row r="136" spans="1:6" ht="13.5">
      <c r="A136" s="3118">
        <v>64</v>
      </c>
      <c r="B136" s="378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29471</v>
      </c>
      <c r="E5" s="1491"/>
    </row>
    <row r="6" spans="1:5" ht="15.75">
      <c r="A6" s="1491"/>
      <c r="B6" s="3473"/>
      <c r="C6" s="1494" t="s">
        <v>911</v>
      </c>
      <c r="D6" s="850" t="str">
        <f ca="1">NUMBERSTRING(INT(D5*10000),2)&amp;"元整"</f>
        <v>贰亿玖仟肆佰柒拾壹万元整</v>
      </c>
      <c r="E6" s="1491"/>
    </row>
    <row r="7" spans="1:5" ht="15.75">
      <c r="A7" s="1491"/>
      <c r="B7" s="3478"/>
      <c r="C7" s="1495" t="s">
        <v>912</v>
      </c>
      <c r="D7" s="851">
        <f ca="1">结果表!H102</f>
        <v>38286</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29471</v>
      </c>
      <c r="E13" s="1491"/>
    </row>
    <row r="14" spans="1:5" ht="15.75">
      <c r="A14" s="1491"/>
      <c r="B14" s="3473"/>
      <c r="C14" s="1494" t="s">
        <v>911</v>
      </c>
      <c r="D14" s="850" t="str">
        <f ca="1">NUMBERSTRING(INT(D13*10000),2)&amp;"元整"</f>
        <v>贰亿玖仟肆佰柒拾壹万元整</v>
      </c>
      <c r="E14" s="1491"/>
    </row>
    <row r="15" spans="1:5" ht="15">
      <c r="A15" s="1491"/>
      <c r="B15" s="3478"/>
      <c r="C15" s="1495" t="s">
        <v>921</v>
      </c>
      <c r="D15" s="859">
        <f ca="1">结果表!H108</f>
        <v>38286</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32542</v>
      </c>
      <c r="C2" s="2" t="s">
        <v>106</v>
      </c>
      <c r="D2" s="199"/>
      <c r="E2" s="199"/>
      <c r="F2" s="199"/>
      <c r="G2" s="199"/>
    </row>
    <row r="3" spans="1:7" s="200" customFormat="1" ht="18" customHeight="1" thickBot="1">
      <c r="A3" s="203" t="s">
        <v>58</v>
      </c>
      <c r="B3" s="204">
        <f ca="1">ROUND(B2*10000/'数据-汇总表'!E3,0)</f>
        <v>39739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164</v>
      </c>
      <c r="D10" s="845">
        <f>'数据-汇总表'!E6</f>
        <v>8188.9200000000019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164</v>
      </c>
      <c r="D19" s="849">
        <f>'数据-汇总表'!E3</f>
        <v>8188.9200000000019</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2966</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2966</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3276</v>
      </c>
      <c r="D34" s="217"/>
      <c r="E34" s="220"/>
      <c r="F34" s="257">
        <f>IF('数据-取费表'!B24=0,1,'数据-取费表'!N16)</f>
        <v>1</v>
      </c>
      <c r="G34" s="219" t="s">
        <v>89</v>
      </c>
    </row>
    <row r="35" spans="1:7" ht="13.5" customHeight="1">
      <c r="A35" s="780" t="s">
        <v>351</v>
      </c>
      <c r="B35" s="215" t="s">
        <v>33</v>
      </c>
      <c r="C35" s="220">
        <f>ROUND(C34*F35,0)</f>
        <v>98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164</v>
      </c>
      <c r="D37" s="217">
        <f>'数据-汇总表'!E3</f>
        <v>8188.9200000000019</v>
      </c>
      <c r="E37" s="249">
        <f>'数据-取费表'!B35</f>
        <v>200</v>
      </c>
      <c r="F37" s="259"/>
      <c r="G37" s="261" t="s">
        <v>92</v>
      </c>
    </row>
    <row r="38" spans="1:7" ht="13.5" customHeight="1">
      <c r="A38" s="780" t="s">
        <v>354</v>
      </c>
      <c r="B38" s="215" t="s">
        <v>36</v>
      </c>
      <c r="C38" s="220">
        <f>ROUND(C34*F38,0)</f>
        <v>49</v>
      </c>
      <c r="D38" s="220"/>
      <c r="E38" s="220"/>
      <c r="F38" s="259">
        <f>'数据-取费表'!B36</f>
        <v>1.4999999999999999E-2</v>
      </c>
      <c r="G38" s="219" t="s">
        <v>90</v>
      </c>
    </row>
    <row r="39" spans="1:7" s="214" customFormat="1" ht="13.5" customHeight="1">
      <c r="A39" s="777" t="s">
        <v>338</v>
      </c>
      <c r="B39" s="210" t="s">
        <v>77</v>
      </c>
      <c r="C39" s="232">
        <f>ROUND(C33*F20,0)</f>
        <v>72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149</v>
      </c>
      <c r="D42" s="238"/>
      <c r="E42" s="238"/>
      <c r="F42" s="239"/>
      <c r="G42" s="3711" t="s">
        <v>94</v>
      </c>
    </row>
    <row r="43" spans="1:7" ht="13.5" customHeight="1">
      <c r="A43" s="780" t="s">
        <v>347</v>
      </c>
      <c r="B43" s="215" t="s">
        <v>426</v>
      </c>
      <c r="C43" s="238">
        <f ca="1">ROUND(IF('数据-取费表'!B22&lt;=1,C39*F22*'数据-取费表'!B21/2,C39*(POWER((1+F22),'数据-取费表'!B21/2)-1)),0)</f>
        <v>3</v>
      </c>
      <c r="D43" s="238"/>
      <c r="E43" s="238"/>
      <c r="F43" s="239"/>
      <c r="G43" s="3712"/>
    </row>
    <row r="44" spans="1:7" ht="13.5" customHeight="1">
      <c r="A44" s="780" t="s">
        <v>348</v>
      </c>
      <c r="B44" s="215" t="s">
        <v>428</v>
      </c>
      <c r="C44" s="238">
        <f ca="1">ROUND(IF('数据-取费表'!B22&lt;=1,C40*F22*'数据-取费表'!B21/2,C40*(POWER((1+F22),'数据-取费表'!B21/2)-1)),4)</f>
        <v>8.0000000000000004E-4</v>
      </c>
      <c r="D44" s="238"/>
      <c r="E44" s="238"/>
      <c r="F44" s="239"/>
      <c r="G44" s="3713"/>
    </row>
    <row r="45" spans="1:7" s="214" customFormat="1" ht="13.5" customHeight="1">
      <c r="A45" s="777" t="s">
        <v>341</v>
      </c>
      <c r="B45" s="244" t="s">
        <v>85</v>
      </c>
      <c r="C45" s="245">
        <f>C46</f>
        <v>512</v>
      </c>
      <c r="D45" s="235">
        <f>C47</f>
        <v>2.8E-3</v>
      </c>
      <c r="E45" s="236" t="s">
        <v>102</v>
      </c>
      <c r="F45" s="246"/>
      <c r="G45" s="247" t="s">
        <v>434</v>
      </c>
    </row>
    <row r="46" spans="1:7" s="214" customFormat="1" ht="13.5" customHeight="1">
      <c r="A46" s="780" t="s">
        <v>349</v>
      </c>
      <c r="B46" s="248" t="s">
        <v>427</v>
      </c>
      <c r="C46" s="249">
        <f>ROUND((C33+C39)*F27,0)</f>
        <v>512</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4449</v>
      </c>
      <c r="D51" s="232"/>
      <c r="E51" s="232"/>
      <c r="F51" s="264"/>
      <c r="G51" s="234" t="s">
        <v>37</v>
      </c>
    </row>
    <row r="52" spans="1:7" s="208" customFormat="1" ht="16.5" thickBot="1">
      <c r="A52" s="265" t="s">
        <v>38</v>
      </c>
      <c r="B52" s="266"/>
      <c r="C52" s="267">
        <f ca="1">C31+C51</f>
        <v>32542</v>
      </c>
      <c r="D52" s="266"/>
      <c r="E52" s="266"/>
      <c r="F52" s="266"/>
      <c r="G52" s="268"/>
    </row>
    <row r="55" spans="1:7" ht="15">
      <c r="B55" s="270" t="s">
        <v>39</v>
      </c>
      <c r="C55" s="271"/>
    </row>
    <row r="56" spans="1:7">
      <c r="B56" s="273" t="s">
        <v>40</v>
      </c>
      <c r="C56" s="274">
        <f ca="1">ROUND(C51/C52,3)</f>
        <v>0.13700000000000001</v>
      </c>
    </row>
    <row r="57" spans="1:7">
      <c r="B57" s="273" t="s">
        <v>41</v>
      </c>
      <c r="C57" s="275">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4" t="s">
        <v>2844</v>
      </c>
      <c r="B1" s="3794"/>
      <c r="C1" s="3794"/>
      <c r="D1" s="3794"/>
      <c r="E1" s="3794"/>
      <c r="F1" s="3794"/>
      <c r="G1" s="3795"/>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92"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93"/>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3186</v>
      </c>
      <c r="B1" s="3796"/>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3237</v>
      </c>
      <c r="B1" s="3797"/>
      <c r="C1" s="3797"/>
      <c r="D1" s="3797"/>
      <c r="E1" s="3797"/>
      <c r="F1" s="3798"/>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45039</v>
      </c>
      <c r="B1" s="3210" t="s">
        <v>2843</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9" t="s">
        <v>2831</v>
      </c>
      <c r="S21" s="3800"/>
      <c r="T21" s="3800"/>
      <c r="U21" s="3800"/>
      <c r="V21" s="3800"/>
      <c r="W21" s="3800"/>
      <c r="X21" s="3165"/>
      <c r="Y21" s="3799" t="s">
        <v>2832</v>
      </c>
      <c r="Z21" s="3800"/>
      <c r="AA21" s="3800"/>
      <c r="AB21" s="3800"/>
      <c r="AC21" s="3800"/>
      <c r="AD21" s="3800"/>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8188.9200000000019</v>
      </c>
      <c r="C4" s="854">
        <f>项目基本情况!C18</f>
        <v>0</v>
      </c>
      <c r="D4" s="854" t="e">
        <f ca="1">结果表!D118</f>
        <v>#REF!</v>
      </c>
      <c r="E4" s="854" t="e">
        <f ca="1">结果表!E118</f>
        <v>#REF!</v>
      </c>
      <c r="F4" s="854" t="e">
        <f ca="1">结果表!F118</f>
        <v>#REF!</v>
      </c>
      <c r="G4" s="854" t="e">
        <f ca="1">结果表!G118</f>
        <v>#REF!</v>
      </c>
      <c r="H4" s="854">
        <f ca="1">结果表!H118</f>
        <v>29471</v>
      </c>
      <c r="I4" s="854">
        <f ca="1">结果表!I118</f>
        <v>38286</v>
      </c>
    </row>
    <row r="5" spans="1:9" ht="30" customHeight="1">
      <c r="A5" s="3485" t="s">
        <v>927</v>
      </c>
      <c r="B5" s="3485"/>
      <c r="C5" s="3485"/>
      <c r="D5" s="3485" t="e">
        <f ca="1">结果表!D119</f>
        <v>#REF!</v>
      </c>
      <c r="E5" s="3485"/>
      <c r="F5" s="3485" t="e">
        <f ca="1">结果表!F119</f>
        <v>#REF!</v>
      </c>
      <c r="G5" s="3485"/>
      <c r="H5" s="3485" t="str">
        <f ca="1">结果表!H119</f>
        <v>贰亿玖仟肆佰柒拾壹万元整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29471</v>
      </c>
      <c r="E8" s="3484"/>
      <c r="F8" s="3484"/>
      <c r="G8" s="3484"/>
      <c r="H8" s="3484"/>
      <c r="I8" s="3484"/>
    </row>
    <row r="9" spans="1:9" ht="15">
      <c r="A9" s="3485" t="s">
        <v>927</v>
      </c>
      <c r="B9" s="3485"/>
      <c r="C9" s="3485"/>
      <c r="D9" s="3485" t="str">
        <f ca="1">结果表!D123</f>
        <v>贰亿玖仟肆佰柒拾壹万元整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案例</vt:lpstr>
      <vt:lpstr>结果表(仓储)</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2023-04-26T06:51:45Z</dcterms:modified>
</cp:coreProperties>
</file>