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收益法车库" sheetId="71"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r:id="rId42"/>
    <sheet name="Sheet2" sheetId="70" r:id="rId43"/>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120" i="21" l="1"/>
  <c r="E120" i="21"/>
  <c r="D120" i="21"/>
  <c r="C120" i="21"/>
  <c r="Q73" i="71" l="1"/>
  <c r="Q60" i="71"/>
  <c r="D60" i="71"/>
  <c r="Q59" i="71"/>
  <c r="K59" i="71"/>
  <c r="P75" i="71" s="1"/>
  <c r="F58" i="71"/>
  <c r="Q52" i="71"/>
  <c r="J50" i="71"/>
  <c r="M47" i="71"/>
  <c r="L46" i="71" s="1"/>
  <c r="F33" i="71"/>
  <c r="F60" i="71" s="1"/>
  <c r="F31" i="71"/>
  <c r="F23" i="71"/>
  <c r="D24" i="71" s="1"/>
  <c r="D22" i="71"/>
  <c r="F21" i="71"/>
  <c r="F20" i="71"/>
  <c r="M19" i="71"/>
  <c r="F18" i="71"/>
  <c r="M17" i="71"/>
  <c r="F17" i="71"/>
  <c r="F15" i="71"/>
  <c r="C24" i="21"/>
  <c r="C22" i="21"/>
  <c r="C20" i="21"/>
  <c r="E7" i="39"/>
  <c r="B3" i="4"/>
  <c r="D23" i="71" l="1"/>
  <c r="P62" i="71"/>
  <c r="I48" i="39"/>
  <c r="G48" i="39"/>
  <c r="E48" i="39"/>
  <c r="I40" i="39"/>
  <c r="G40" i="39"/>
  <c r="E40" i="39"/>
  <c r="I9" i="39"/>
  <c r="G9" i="39"/>
  <c r="E9" i="39"/>
  <c r="I8" i="39"/>
  <c r="I7" i="39"/>
  <c r="G8" i="39"/>
  <c r="G7" i="39"/>
  <c r="E8" i="39"/>
  <c r="G21" i="6" l="1"/>
  <c r="C21" i="6"/>
  <c r="F20" i="6"/>
  <c r="C20" i="6"/>
  <c r="AN13" i="3"/>
  <c r="M13" i="3"/>
  <c r="AD13" i="3"/>
  <c r="C19" i="6" l="1"/>
  <c r="F19" i="6"/>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A15" i="55"/>
  <c r="B66" i="63" s="1"/>
  <c r="A10" i="55"/>
  <c r="A9" i="55"/>
  <c r="A8" i="55"/>
  <c r="A6" i="54"/>
  <c r="A8" i="54"/>
  <c r="A7" i="54"/>
  <c r="B51" i="63" s="1"/>
  <c r="A27" i="51"/>
  <c r="B20" i="63" s="1"/>
  <c r="Q11" i="59"/>
  <c r="O11" i="59"/>
  <c r="N12" i="59"/>
  <c r="O12" i="59"/>
  <c r="P12" i="59"/>
  <c r="Q12" i="59"/>
  <c r="N11" i="59"/>
  <c r="P11" i="59"/>
  <c r="K75" i="9"/>
  <c r="K6" i="4"/>
  <c r="L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T9" i="59" s="1"/>
  <c r="C3" i="65"/>
  <c r="C1" i="65"/>
  <c r="N1" i="65" s="1"/>
  <c r="H1" i="65"/>
  <c r="B76" i="63"/>
  <c r="M5" i="54"/>
  <c r="B41" i="63" s="1"/>
  <c r="A23" i="51"/>
  <c r="Y12" i="46"/>
  <c r="AA9" i="46"/>
  <c r="AB9" i="46"/>
  <c r="AC9" i="46"/>
  <c r="AD9" i="46"/>
  <c r="AE9" i="46"/>
  <c r="AF9" i="46"/>
  <c r="AF10" i="46" s="1"/>
  <c r="AG9" i="46"/>
  <c r="AH9" i="46"/>
  <c r="AI9" i="46"/>
  <c r="AJ9" i="46"/>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3" i="63"/>
  <c r="A46" i="9"/>
  <c r="K41" i="9" s="1"/>
  <c r="B8" i="63"/>
  <c r="A21" i="55"/>
  <c r="B71" i="63"/>
  <c r="A20" i="55"/>
  <c r="B69" i="63" s="1"/>
  <c r="B26" i="63"/>
  <c r="B28" i="63"/>
  <c r="B29" i="63"/>
  <c r="B31" i="63"/>
  <c r="B33" i="63"/>
  <c r="B35" i="63"/>
  <c r="B36" i="63"/>
  <c r="B37" i="63"/>
  <c r="B63" i="63"/>
  <c r="B64" i="63"/>
  <c r="B68" i="63"/>
  <c r="D51" i="10"/>
  <c r="B61" i="63"/>
  <c r="B60" i="63"/>
  <c r="B59" i="63"/>
  <c r="B51" i="10"/>
  <c r="B17" i="63"/>
  <c r="A15" i="51"/>
  <c r="B12" i="63" s="1"/>
  <c r="A14" i="51"/>
  <c r="B11" i="63" s="1"/>
  <c r="A4" i="55"/>
  <c r="B57" i="63" s="1"/>
  <c r="G5" i="54"/>
  <c r="B34" i="63" s="1"/>
  <c r="E5" i="54"/>
  <c r="B32" i="63" s="1"/>
  <c r="R2" i="54"/>
  <c r="B24" i="63" s="1"/>
  <c r="B49" i="50"/>
  <c r="B5" i="63" s="1"/>
  <c r="B40" i="50"/>
  <c r="B3" i="63" s="1"/>
  <c r="B67" i="63"/>
  <c r="I19" i="46"/>
  <c r="Q13" i="59"/>
  <c r="P13" i="59"/>
  <c r="E13" i="59" s="1"/>
  <c r="U13" i="59" s="1"/>
  <c r="O13" i="59"/>
  <c r="N13" i="59"/>
  <c r="B13" i="59" s="1"/>
  <c r="D74" i="59"/>
  <c r="F73" i="59"/>
  <c r="E73" i="59"/>
  <c r="E72" i="59" s="1"/>
  <c r="E71" i="59" s="1"/>
  <c r="C73" i="59"/>
  <c r="D73" i="59"/>
  <c r="B73" i="59"/>
  <c r="F72" i="59"/>
  <c r="F71" i="59" s="1"/>
  <c r="B72" i="59"/>
  <c r="B71" i="59" s="1"/>
  <c r="D70" i="59"/>
  <c r="F69" i="59"/>
  <c r="E69" i="59"/>
  <c r="E68" i="59" s="1"/>
  <c r="E67" i="59" s="1"/>
  <c r="C69" i="59"/>
  <c r="D69" i="59" s="1"/>
  <c r="B69" i="59"/>
  <c r="F68" i="59"/>
  <c r="F67" i="59" s="1"/>
  <c r="B68" i="59"/>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F52" i="59" s="1"/>
  <c r="E53" i="59"/>
  <c r="C53" i="59"/>
  <c r="B53" i="59"/>
  <c r="D50" i="59"/>
  <c r="Q49" i="59"/>
  <c r="P49" i="59"/>
  <c r="O49" i="59"/>
  <c r="N49" i="59"/>
  <c r="Q48" i="59"/>
  <c r="P48" i="59"/>
  <c r="O48" i="59"/>
  <c r="N48" i="59"/>
  <c r="Q47" i="59"/>
  <c r="P47" i="59"/>
  <c r="O47" i="59"/>
  <c r="N47" i="59"/>
  <c r="Q46" i="59"/>
  <c r="F47" i="59" s="1"/>
  <c r="F48" i="59" s="1"/>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E44" i="59" s="1"/>
  <c r="E45" i="59" s="1"/>
  <c r="U45" i="59" s="1"/>
  <c r="O42" i="59"/>
  <c r="C43" i="59" s="1"/>
  <c r="C44" i="59" s="1"/>
  <c r="C45" i="59" s="1"/>
  <c r="D45" i="59" s="1"/>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C40" i="59" s="1"/>
  <c r="D40" i="59" s="1"/>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C32" i="59" s="1"/>
  <c r="D32" i="59" s="1"/>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c r="E29" i="59" s="1"/>
  <c r="U29" i="59" s="1"/>
  <c r="O26" i="59"/>
  <c r="C27" i="59"/>
  <c r="D27" i="59" s="1"/>
  <c r="N26" i="59"/>
  <c r="B27" i="59"/>
  <c r="B28" i="59" s="1"/>
  <c r="B29" i="59" s="1"/>
  <c r="S29" i="59" s="1"/>
  <c r="D26" i="59"/>
  <c r="Q25" i="59"/>
  <c r="P25" i="59"/>
  <c r="O25" i="59"/>
  <c r="N25" i="59"/>
  <c r="Q24" i="59"/>
  <c r="AB24" i="59"/>
  <c r="P24" i="59"/>
  <c r="O24" i="59"/>
  <c r="Y24" i="59" s="1"/>
  <c r="Z24" i="59" s="1"/>
  <c r="N24" i="59"/>
  <c r="X24" i="59" s="1"/>
  <c r="Q23" i="59"/>
  <c r="AB23" i="59" s="1"/>
  <c r="P23" i="59"/>
  <c r="AA23" i="59" s="1"/>
  <c r="O23" i="59"/>
  <c r="Y23" i="59" s="1"/>
  <c r="N23" i="59"/>
  <c r="Q22" i="59"/>
  <c r="AB22" i="59" s="1"/>
  <c r="P22" i="59"/>
  <c r="E23" i="59" s="1"/>
  <c r="E24" i="59" s="1"/>
  <c r="E25" i="59" s="1"/>
  <c r="U25" i="59" s="1"/>
  <c r="O22" i="59"/>
  <c r="N22" i="59"/>
  <c r="D22" i="59"/>
  <c r="Q21" i="59"/>
  <c r="P21" i="59"/>
  <c r="O21" i="59"/>
  <c r="N21" i="59"/>
  <c r="X21" i="59" s="1"/>
  <c r="Q20" i="59"/>
  <c r="P20" i="59"/>
  <c r="AA20" i="59" s="1"/>
  <c r="O20" i="59"/>
  <c r="N20" i="59"/>
  <c r="Q19" i="59"/>
  <c r="P19" i="59"/>
  <c r="O19" i="59"/>
  <c r="N19" i="59"/>
  <c r="X19" i="59" s="1"/>
  <c r="Q18" i="59"/>
  <c r="P18" i="59"/>
  <c r="O18" i="59"/>
  <c r="C19" i="59"/>
  <c r="C20" i="59" s="1"/>
  <c r="D20" i="59" s="1"/>
  <c r="N18" i="59"/>
  <c r="B19" i="59"/>
  <c r="B20" i="59" s="1"/>
  <c r="B21" i="59" s="1"/>
  <c r="S21" i="59" s="1"/>
  <c r="D18" i="59"/>
  <c r="Q17" i="59"/>
  <c r="AB17" i="59" s="1"/>
  <c r="P17" i="59"/>
  <c r="O17" i="59"/>
  <c r="N17" i="59"/>
  <c r="Q16" i="59"/>
  <c r="P16" i="59"/>
  <c r="O16" i="59"/>
  <c r="N16" i="59"/>
  <c r="Q15" i="59"/>
  <c r="AB15" i="59" s="1"/>
  <c r="P15" i="59"/>
  <c r="O15" i="59"/>
  <c r="N15" i="59"/>
  <c r="Q14" i="59"/>
  <c r="F15" i="59" s="1"/>
  <c r="F16" i="59" s="1"/>
  <c r="F17" i="59" s="1"/>
  <c r="V17" i="59" s="1"/>
  <c r="P14" i="59"/>
  <c r="AA11" i="59" s="1"/>
  <c r="O14" i="59"/>
  <c r="N14" i="59"/>
  <c r="D14" i="59"/>
  <c r="X12" i="59"/>
  <c r="AB11" i="59"/>
  <c r="Z23" i="59"/>
  <c r="AA24" i="59"/>
  <c r="F41" i="59"/>
  <c r="V41" i="59" s="1"/>
  <c r="F49" i="59"/>
  <c r="V49" i="59" s="1"/>
  <c r="D31" i="59"/>
  <c r="D35" i="59"/>
  <c r="D43" i="59"/>
  <c r="T53" i="59"/>
  <c r="O53" i="59"/>
  <c r="D53" i="59"/>
  <c r="C52" i="59"/>
  <c r="O52" i="59" s="1"/>
  <c r="U53" i="59"/>
  <c r="E56" i="59"/>
  <c r="E55" i="59" s="1"/>
  <c r="D57" i="59"/>
  <c r="C60" i="59"/>
  <c r="D60" i="59" s="1"/>
  <c r="C64" i="59"/>
  <c r="D64" i="59" s="1"/>
  <c r="E64" i="59"/>
  <c r="E63" i="59"/>
  <c r="D65" i="59"/>
  <c r="C68" i="59"/>
  <c r="C67" i="59" s="1"/>
  <c r="D67" i="59" s="1"/>
  <c r="C72" i="59"/>
  <c r="U16" i="4"/>
  <c r="S16" i="4"/>
  <c r="Q16" i="4"/>
  <c r="O16" i="4"/>
  <c r="M16" i="4"/>
  <c r="K16" i="4"/>
  <c r="D72" i="59"/>
  <c r="C71" i="59"/>
  <c r="D71" i="59"/>
  <c r="C59" i="59"/>
  <c r="D59" i="59" s="1"/>
  <c r="D44" i="59"/>
  <c r="N16" i="4"/>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F31" i="39"/>
  <c r="AA31" i="39" s="1"/>
  <c r="G20" i="20"/>
  <c r="B85" i="46" s="1"/>
  <c r="C22" i="20"/>
  <c r="B65" i="46" s="1"/>
  <c r="S18" i="36"/>
  <c r="S21" i="37"/>
  <c r="C31" i="39"/>
  <c r="E66" i="36"/>
  <c r="H18" i="35"/>
  <c r="J18" i="35"/>
  <c r="H21" i="37"/>
  <c r="J21" i="37"/>
  <c r="E84" i="34"/>
  <c r="F84" i="34" s="1"/>
  <c r="G84" i="34" s="1"/>
  <c r="J21" i="34"/>
  <c r="H21" i="34"/>
  <c r="F21" i="33"/>
  <c r="H21" i="33"/>
  <c r="J21" i="33"/>
  <c r="H21" i="21"/>
  <c r="J21" i="21"/>
  <c r="H27" i="40"/>
  <c r="H31" i="39"/>
  <c r="F23" i="15"/>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c r="A11" i="1"/>
  <c r="A6" i="1"/>
  <c r="G1" i="71"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F19" i="4"/>
  <c r="E19" i="4"/>
  <c r="F7" i="1" s="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K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F40" i="37" s="1"/>
  <c r="D107" i="37"/>
  <c r="E107" i="37"/>
  <c r="F107" i="37" s="1"/>
  <c r="G107" i="37" s="1"/>
  <c r="D105" i="37"/>
  <c r="E105" i="37"/>
  <c r="F105" i="37" s="1"/>
  <c r="H36" i="37"/>
  <c r="D103" i="37"/>
  <c r="E103" i="37" s="1"/>
  <c r="F103" i="37" s="1"/>
  <c r="G103" i="37" s="1"/>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s="1"/>
  <c r="B75" i="36"/>
  <c r="B73" i="36"/>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c r="F66" i="35" s="1"/>
  <c r="G66" i="35" s="1"/>
  <c r="D64" i="35"/>
  <c r="E64" i="35"/>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B90" i="21"/>
  <c r="B74" i="21"/>
  <c r="J14" i="21" s="1"/>
  <c r="AC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J26" i="21"/>
  <c r="W26" i="21" s="1"/>
  <c r="F26" i="21"/>
  <c r="AA26" i="21" s="1"/>
  <c r="AB41" i="21"/>
  <c r="S41" i="21"/>
  <c r="W41" i="21"/>
  <c r="S10" i="39"/>
  <c r="U30" i="37"/>
  <c r="F39" i="37"/>
  <c r="S39" i="37"/>
  <c r="W39" i="37"/>
  <c r="F29" i="36"/>
  <c r="AA29" i="36" s="1"/>
  <c r="F16" i="36"/>
  <c r="AA16" i="36" s="1"/>
  <c r="U22" i="36"/>
  <c r="W23" i="36"/>
  <c r="W22" i="36"/>
  <c r="U26" i="36"/>
  <c r="AC31" i="36"/>
  <c r="AC27" i="35"/>
  <c r="U31" i="35"/>
  <c r="W36" i="35"/>
  <c r="S31" i="35"/>
  <c r="W31" i="35"/>
  <c r="U34" i="35"/>
  <c r="F36" i="34"/>
  <c r="S36" i="34"/>
  <c r="W9" i="34"/>
  <c r="S34" i="34"/>
  <c r="W39" i="34"/>
  <c r="H39" i="33"/>
  <c r="AB39" i="33" s="1"/>
  <c r="F26" i="33"/>
  <c r="AA26" i="33" s="1"/>
  <c r="U9" i="33"/>
  <c r="W38" i="33"/>
  <c r="S40" i="33"/>
  <c r="S33" i="33"/>
  <c r="U38" i="33"/>
  <c r="W8" i="21"/>
  <c r="H39" i="37"/>
  <c r="AB39" i="37" s="1"/>
  <c r="S10" i="40"/>
  <c r="W10" i="40"/>
  <c r="S11" i="40"/>
  <c r="U11" i="40"/>
  <c r="S36" i="40"/>
  <c r="U36" i="40"/>
  <c r="S36" i="39"/>
  <c r="F11" i="21"/>
  <c r="S11" i="21" s="1"/>
  <c r="AC35" i="21"/>
  <c r="C29" i="39"/>
  <c r="C23" i="39"/>
  <c r="U36" i="39"/>
  <c r="H32" i="33"/>
  <c r="AB32" i="33" s="1"/>
  <c r="H11" i="21"/>
  <c r="U11" i="21" s="1"/>
  <c r="J11" i="21"/>
  <c r="W11" i="21" s="1"/>
  <c r="F100" i="40"/>
  <c r="F86" i="40"/>
  <c r="AA12" i="33"/>
  <c r="J27" i="36"/>
  <c r="W27" i="36" s="1"/>
  <c r="J34" i="36"/>
  <c r="W34" i="36" s="1"/>
  <c r="J30" i="35"/>
  <c r="W30" i="35" s="1"/>
  <c r="F22" i="35"/>
  <c r="AA22" i="35" s="1"/>
  <c r="H10" i="35"/>
  <c r="U10" i="35" s="1"/>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S35" i="37" s="1"/>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E113" i="33"/>
  <c r="F36" i="33"/>
  <c r="S36" i="33"/>
  <c r="F19" i="33"/>
  <c r="S19" i="33" s="1"/>
  <c r="J19" i="33"/>
  <c r="S10" i="21"/>
  <c r="G86" i="40"/>
  <c r="AC34" i="36"/>
  <c r="H29" i="35"/>
  <c r="U29" i="35" s="1"/>
  <c r="U34" i="37"/>
  <c r="S34" i="37"/>
  <c r="AA34" i="37"/>
  <c r="AC43" i="34"/>
  <c r="AB42" i="34"/>
  <c r="AB40" i="34"/>
  <c r="W36" i="34"/>
  <c r="J19" i="34"/>
  <c r="AC19" i="34" s="1"/>
  <c r="F113" i="33"/>
  <c r="G113" i="33" s="1"/>
  <c r="H113" i="33"/>
  <c r="I113" i="33" s="1"/>
  <c r="J113" i="33" s="1"/>
  <c r="K113" i="33" s="1"/>
  <c r="L113" i="33" s="1"/>
  <c r="M113" i="33" s="1"/>
  <c r="H37" i="33"/>
  <c r="AB37" i="33" s="1"/>
  <c r="S37" i="33"/>
  <c r="AC42" i="34"/>
  <c r="W42" i="34"/>
  <c r="AA42" i="34"/>
  <c r="S42" i="34"/>
  <c r="AC38" i="34"/>
  <c r="W38" i="34"/>
  <c r="AA38" i="34"/>
  <c r="S38" i="34"/>
  <c r="J37" i="33"/>
  <c r="J42" i="21"/>
  <c r="AC42" i="21" s="1"/>
  <c r="J44" i="34"/>
  <c r="AC44" i="34" s="1"/>
  <c r="F44" i="34"/>
  <c r="J10" i="35"/>
  <c r="W10" i="35" s="1"/>
  <c r="AL5" i="3"/>
  <c r="I4" i="6" s="1"/>
  <c r="G3" i="46" s="1"/>
  <c r="BQ13" i="3"/>
  <c r="BL13" i="3" s="1"/>
  <c r="F14" i="21"/>
  <c r="AA14" i="21" s="1"/>
  <c r="H14" i="21"/>
  <c r="H28" i="21"/>
  <c r="F28" i="21"/>
  <c r="S28" i="21" s="1"/>
  <c r="AC28" i="21"/>
  <c r="U30" i="21"/>
  <c r="J44" i="21"/>
  <c r="AC44" i="21" s="1"/>
  <c r="H44" i="21"/>
  <c r="U44" i="21" s="1"/>
  <c r="F44" i="21"/>
  <c r="AA44" i="21" s="1"/>
  <c r="H46" i="2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F27" i="33"/>
  <c r="F13" i="33"/>
  <c r="S13" i="33" s="1"/>
  <c r="J29" i="33"/>
  <c r="J31" i="33"/>
  <c r="AC31" i="33" s="1"/>
  <c r="H31" i="33"/>
  <c r="U31" i="33" s="1"/>
  <c r="S31" i="33"/>
  <c r="J45" i="33"/>
  <c r="W45" i="33"/>
  <c r="F45" i="33"/>
  <c r="S45" i="33"/>
  <c r="F11" i="35"/>
  <c r="S11" i="35"/>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AB36" i="37"/>
  <c r="J37" i="37"/>
  <c r="H37" i="37"/>
  <c r="U37" i="37" s="1"/>
  <c r="H40" i="37"/>
  <c r="J40" i="37"/>
  <c r="AC40" i="37" s="1"/>
  <c r="AA40" i="37"/>
  <c r="H14" i="33"/>
  <c r="U14" i="33"/>
  <c r="F14" i="33"/>
  <c r="AA14" i="33"/>
  <c r="J14" i="33"/>
  <c r="AC14" i="33"/>
  <c r="H30" i="33"/>
  <c r="AB30" i="33"/>
  <c r="F30" i="33"/>
  <c r="S30" i="33"/>
  <c r="J30" i="33"/>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AA38" i="37"/>
  <c r="AB13" i="35"/>
  <c r="U30" i="33"/>
  <c r="J36" i="37"/>
  <c r="AC36" i="37" s="1"/>
  <c r="G105" i="37"/>
  <c r="AB28" i="36"/>
  <c r="AB31" i="21"/>
  <c r="AB30" i="21"/>
  <c r="AA28" i="21"/>
  <c r="W14" i="21"/>
  <c r="U36" i="37"/>
  <c r="AB45" i="33"/>
  <c r="AB31" i="33"/>
  <c r="AB27" i="33"/>
  <c r="AC28" i="33"/>
  <c r="AB44" i="21"/>
  <c r="G529" i="3"/>
  <c r="G521" i="3"/>
  <c r="G517" i="3"/>
  <c r="G513" i="3"/>
  <c r="G508" i="3"/>
  <c r="G499" i="3"/>
  <c r="G493" i="3"/>
  <c r="G485" i="3"/>
  <c r="G17" i="3"/>
  <c r="G565" i="3"/>
  <c r="G561" i="3"/>
  <c r="G557" i="3"/>
  <c r="G549" i="3"/>
  <c r="G545" i="3"/>
  <c r="G539" i="3"/>
  <c r="BL569" i="3"/>
  <c r="BL561" i="3"/>
  <c r="BL557" i="3"/>
  <c r="BL545" i="3"/>
  <c r="AZ545" i="3" s="1"/>
  <c r="BL535" i="3"/>
  <c r="BL527" i="3"/>
  <c r="BL519" i="3"/>
  <c r="BL511" i="3"/>
  <c r="BL501" i="3"/>
  <c r="BL491" i="3"/>
  <c r="BL483" i="3"/>
  <c r="G16"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AZ551" i="3"/>
  <c r="BA545" i="3"/>
  <c r="BA543" i="3"/>
  <c r="AZ543" i="3" s="1"/>
  <c r="BA531" i="3"/>
  <c r="BA521" i="3"/>
  <c r="BA509" i="3"/>
  <c r="BA505" i="3"/>
  <c r="BA501" i="3"/>
  <c r="BA493" i="3"/>
  <c r="BA487" i="3"/>
  <c r="BA19" i="3"/>
  <c r="BA572" i="3"/>
  <c r="BA566" i="3"/>
  <c r="BA562" i="3"/>
  <c r="BA560" i="3"/>
  <c r="BA558" i="3"/>
  <c r="BA556" i="3"/>
  <c r="BA554" i="3"/>
  <c r="BA550" i="3"/>
  <c r="BA546" i="3"/>
  <c r="BA544" i="3"/>
  <c r="BA536" i="3"/>
  <c r="AZ536" i="3" s="1"/>
  <c r="BA532" i="3"/>
  <c r="BA528" i="3"/>
  <c r="BA524" i="3"/>
  <c r="BA520" i="3"/>
  <c r="BA516" i="3"/>
  <c r="BA512" i="3"/>
  <c r="BA508" i="3"/>
  <c r="BA502" i="3"/>
  <c r="BA498" i="3"/>
  <c r="BA492" i="3"/>
  <c r="BA488" i="3"/>
  <c r="BA484" i="3"/>
  <c r="AZ484" i="3" s="1"/>
  <c r="BA20" i="3"/>
  <c r="G566" i="3"/>
  <c r="G562" i="3"/>
  <c r="G560" i="3"/>
  <c r="G558" i="3"/>
  <c r="G556" i="3"/>
  <c r="G554" i="3"/>
  <c r="G550" i="3"/>
  <c r="G546" i="3"/>
  <c r="BL543" i="3"/>
  <c r="AC542" i="3"/>
  <c r="G542" i="3" s="1"/>
  <c r="BQ542" i="3"/>
  <c r="BQ568" i="3"/>
  <c r="BQ566" i="3"/>
  <c r="BQ564" i="3"/>
  <c r="BL564" i="3" s="1"/>
  <c r="BQ562" i="3"/>
  <c r="BL562" i="3" s="1"/>
  <c r="BQ560" i="3"/>
  <c r="BL560" i="3" s="1"/>
  <c r="AZ560" i="3" s="1"/>
  <c r="BQ558" i="3"/>
  <c r="BL558" i="3" s="1"/>
  <c r="BQ556" i="3"/>
  <c r="BL556" i="3" s="1"/>
  <c r="AZ556" i="3" s="1"/>
  <c r="BQ554" i="3"/>
  <c r="BQ552" i="3"/>
  <c r="BQ550" i="3"/>
  <c r="BL550" i="3" s="1"/>
  <c r="AZ550" i="3" s="1"/>
  <c r="BQ548" i="3"/>
  <c r="BQ546" i="3"/>
  <c r="BL546" i="3"/>
  <c r="BQ544" i="3"/>
  <c r="BL544" i="3"/>
  <c r="G544" i="3"/>
  <c r="G538" i="3"/>
  <c r="G534" i="3"/>
  <c r="G530" i="3"/>
  <c r="G526" i="3"/>
  <c r="G522" i="3"/>
  <c r="BQ540" i="3"/>
  <c r="BQ538" i="3"/>
  <c r="BL538" i="3" s="1"/>
  <c r="BQ536" i="3"/>
  <c r="BL536" i="3" s="1"/>
  <c r="BQ534" i="3"/>
  <c r="BL534" i="3" s="1"/>
  <c r="BQ532" i="3"/>
  <c r="BL532" i="3" s="1"/>
  <c r="AZ532" i="3" s="1"/>
  <c r="BQ530" i="3"/>
  <c r="BQ528" i="3"/>
  <c r="BL528" i="3" s="1"/>
  <c r="BQ526" i="3"/>
  <c r="BL526" i="3" s="1"/>
  <c r="BQ524" i="3"/>
  <c r="BL524" i="3" s="1"/>
  <c r="AZ524" i="3" s="1"/>
  <c r="BQ522" i="3"/>
  <c r="BQ520" i="3"/>
  <c r="BL520" i="3" s="1"/>
  <c r="BQ518" i="3"/>
  <c r="BL518" i="3" s="1"/>
  <c r="BQ516" i="3"/>
  <c r="BL516" i="3"/>
  <c r="BQ514" i="3"/>
  <c r="BL514" i="3"/>
  <c r="BQ512" i="3"/>
  <c r="BQ510" i="3"/>
  <c r="BL510" i="3" s="1"/>
  <c r="BQ508" i="3"/>
  <c r="BL508" i="3" s="1"/>
  <c r="AZ508" i="3" s="1"/>
  <c r="AC506" i="3"/>
  <c r="G506" i="3" s="1"/>
  <c r="BQ506" i="3"/>
  <c r="BL506" i="3" s="1"/>
  <c r="G502" i="3"/>
  <c r="G498" i="3"/>
  <c r="BQ504" i="3"/>
  <c r="BQ502" i="3"/>
  <c r="BL502" i="3" s="1"/>
  <c r="BQ500" i="3"/>
  <c r="BL500" i="3" s="1"/>
  <c r="BQ498" i="3"/>
  <c r="BL498" i="3" s="1"/>
  <c r="BQ496" i="3"/>
  <c r="AC494" i="3"/>
  <c r="BQ494" i="3"/>
  <c r="BL493" i="3"/>
  <c r="G492" i="3"/>
  <c r="G488" i="3"/>
  <c r="G484" i="3"/>
  <c r="G20" i="3"/>
  <c r="BQ492" i="3"/>
  <c r="BL492" i="3" s="1"/>
  <c r="BQ490" i="3"/>
  <c r="BQ488" i="3"/>
  <c r="BL488" i="3" s="1"/>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s="1"/>
  <c r="H17" i="37"/>
  <c r="U17" i="37" s="1"/>
  <c r="F23" i="37"/>
  <c r="S23" i="37" s="1"/>
  <c r="F79" i="37"/>
  <c r="G79" i="37" s="1"/>
  <c r="F39" i="33"/>
  <c r="AA39" i="33" s="1"/>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H42" i="33"/>
  <c r="U42" i="33" s="1"/>
  <c r="J43" i="33"/>
  <c r="AC43" i="33" s="1"/>
  <c r="J23" i="37"/>
  <c r="W23" i="37" s="1"/>
  <c r="F17" i="37"/>
  <c r="AA17" i="37" s="1"/>
  <c r="AB43" i="33"/>
  <c r="D3" i="21"/>
  <c r="AC12" i="35"/>
  <c r="W23" i="35"/>
  <c r="AC23" i="37"/>
  <c r="U39" i="37"/>
  <c r="AC8" i="37"/>
  <c r="S25" i="37"/>
  <c r="AC36" i="34"/>
  <c r="AB8" i="34"/>
  <c r="AA13" i="33"/>
  <c r="AC45" i="33"/>
  <c r="AA36" i="21"/>
  <c r="F43" i="33"/>
  <c r="AA43" i="33" s="1"/>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c r="S27" i="31"/>
  <c r="G483" i="3"/>
  <c r="G515" i="3"/>
  <c r="G507" i="3"/>
  <c r="G501" i="3"/>
  <c r="BA15" i="3"/>
  <c r="BL17" i="3"/>
  <c r="BL15" i="3"/>
  <c r="BA14" i="3"/>
  <c r="AZ14" i="3"/>
  <c r="J57" i="39"/>
  <c r="H13" i="40"/>
  <c r="U13" i="40" s="1"/>
  <c r="H12" i="48"/>
  <c r="I4" i="4"/>
  <c r="I59" i="40"/>
  <c r="C59" i="40" s="1"/>
  <c r="I60" i="40"/>
  <c r="C60"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AZ360" i="3" s="1"/>
  <c r="BA361" i="3"/>
  <c r="BL361" i="3"/>
  <c r="G362" i="3"/>
  <c r="BA363" i="3"/>
  <c r="AZ363" i="3" s="1"/>
  <c r="G371" i="3"/>
  <c r="BL372" i="3"/>
  <c r="G373" i="3"/>
  <c r="BL374" i="3"/>
  <c r="BA376" i="3"/>
  <c r="AZ376" i="3" s="1"/>
  <c r="BA377" i="3"/>
  <c r="BL377" i="3"/>
  <c r="G378" i="3"/>
  <c r="BA379" i="3"/>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AZ179" i="3" s="1"/>
  <c r="G180" i="3"/>
  <c r="AZ35" i="3"/>
  <c r="AZ43" i="3"/>
  <c r="AZ51" i="3"/>
  <c r="AZ55" i="3"/>
  <c r="AZ59"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70" i="3"/>
  <c r="AZ78" i="3"/>
  <c r="AZ201" i="3"/>
  <c r="AZ90" i="3"/>
  <c r="AZ98" i="3"/>
  <c r="AZ106" i="3"/>
  <c r="G491" i="3"/>
  <c r="BA298" i="3"/>
  <c r="AZ298" i="3" s="1"/>
  <c r="BA299" i="3"/>
  <c r="BL299" i="3"/>
  <c r="G300" i="3"/>
  <c r="G303" i="3"/>
  <c r="BL304" i="3"/>
  <c r="BA306" i="3"/>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BA347" i="3"/>
  <c r="BL347" i="3"/>
  <c r="G348" i="3"/>
  <c r="G351" i="3"/>
  <c r="BL352" i="3"/>
  <c r="BA354" i="3"/>
  <c r="AZ354" i="3" s="1"/>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70" i="3"/>
  <c r="AZ183" i="3"/>
  <c r="AZ191" i="3"/>
  <c r="AZ199" i="3"/>
  <c r="AZ203" i="3"/>
  <c r="G523" i="3"/>
  <c r="BL297" i="3"/>
  <c r="G298" i="3"/>
  <c r="BA300" i="3"/>
  <c r="BL301" i="3"/>
  <c r="G302" i="3"/>
  <c r="BA304" i="3"/>
  <c r="AZ304" i="3" s="1"/>
  <c r="BL305" i="3"/>
  <c r="G306" i="3"/>
  <c r="BA308" i="3"/>
  <c r="AZ308" i="3" s="1"/>
  <c r="BL309" i="3"/>
  <c r="AZ309" i="3" s="1"/>
  <c r="G310" i="3"/>
  <c r="BA310" i="3"/>
  <c r="AZ310" i="3" s="1"/>
  <c r="BL311" i="3"/>
  <c r="G312" i="3"/>
  <c r="BA312" i="3"/>
  <c r="BL313" i="3"/>
  <c r="AZ313" i="3" s="1"/>
  <c r="G314" i="3"/>
  <c r="BA314" i="3"/>
  <c r="AZ314" i="3" s="1"/>
  <c r="BL315" i="3"/>
  <c r="G316" i="3"/>
  <c r="BA316" i="3"/>
  <c r="AZ316" i="3" s="1"/>
  <c r="BL317" i="3"/>
  <c r="G318" i="3"/>
  <c r="BA320" i="3"/>
  <c r="AZ320" i="3" s="1"/>
  <c r="BL321" i="3"/>
  <c r="AZ321" i="3" s="1"/>
  <c r="G322" i="3"/>
  <c r="BA324" i="3"/>
  <c r="AZ324" i="3" s="1"/>
  <c r="BL325" i="3"/>
  <c r="G326" i="3"/>
  <c r="BA328" i="3"/>
  <c r="AZ328" i="3" s="1"/>
  <c r="BL329" i="3"/>
  <c r="G330" i="3"/>
  <c r="BA332" i="3"/>
  <c r="BL333" i="3"/>
  <c r="AZ333" i="3" s="1"/>
  <c r="G334" i="3"/>
  <c r="BA336" i="3"/>
  <c r="AZ336" i="3" s="1"/>
  <c r="BL337" i="3"/>
  <c r="G338" i="3"/>
  <c r="BA340" i="3"/>
  <c r="AZ340" i="3" s="1"/>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13" i="3"/>
  <c r="AZ221" i="3"/>
  <c r="AZ225" i="3"/>
  <c r="AZ237" i="3"/>
  <c r="AZ241" i="3"/>
  <c r="AZ317" i="3"/>
  <c r="AZ325" i="3"/>
  <c r="AZ349" i="3"/>
  <c r="AZ353" i="3"/>
  <c r="AZ357" i="3"/>
  <c r="AZ367" i="3"/>
  <c r="G368" i="3"/>
  <c r="BA370" i="3"/>
  <c r="AZ370" i="3" s="1"/>
  <c r="BL371" i="3"/>
  <c r="AZ371" i="3"/>
  <c r="G372" i="3"/>
  <c r="BA374" i="3"/>
  <c r="AZ374" i="3" s="1"/>
  <c r="BL375" i="3"/>
  <c r="G376" i="3"/>
  <c r="BA378" i="3"/>
  <c r="BL379" i="3"/>
  <c r="G380" i="3"/>
  <c r="BA382" i="3"/>
  <c r="AZ382" i="3" s="1"/>
  <c r="BL383" i="3"/>
  <c r="G384" i="3"/>
  <c r="AZ253" i="3"/>
  <c r="AZ257" i="3"/>
  <c r="AZ375" i="3"/>
  <c r="AZ383" i="3"/>
  <c r="AZ270" i="3"/>
  <c r="AZ282" i="3"/>
  <c r="AZ286" i="3"/>
  <c r="AZ295" i="3"/>
  <c r="AZ311" i="3"/>
  <c r="AZ331" i="3"/>
  <c r="AZ335" i="3"/>
  <c r="AZ410" i="3"/>
  <c r="AZ418" i="3"/>
  <c r="AZ426" i="3"/>
  <c r="AZ430" i="3"/>
  <c r="AZ442" i="3"/>
  <c r="AZ446" i="3"/>
  <c r="AZ455" i="3"/>
  <c r="AZ467" i="3"/>
  <c r="AZ471" i="3"/>
  <c r="H7" i="48"/>
  <c r="H113" i="46"/>
  <c r="H17" i="46"/>
  <c r="F33" i="46"/>
  <c r="F35" i="46"/>
  <c r="F37" i="46"/>
  <c r="H16" i="48"/>
  <c r="H9" i="48"/>
  <c r="H8" i="48"/>
  <c r="C12" i="46"/>
  <c r="AB15" i="37"/>
  <c r="AA13" i="40"/>
  <c r="E78" i="40"/>
  <c r="F78" i="40" s="1"/>
  <c r="G78" i="40" s="1"/>
  <c r="H78" i="40" s="1"/>
  <c r="I78" i="40" s="1"/>
  <c r="J78" i="40" s="1"/>
  <c r="K78" i="40" s="1"/>
  <c r="L78" i="40" s="1"/>
  <c r="M78" i="40" s="1"/>
  <c r="R16" i="4"/>
  <c r="P16" i="4"/>
  <c r="D3" i="35"/>
  <c r="G4" i="4"/>
  <c r="S37" i="34"/>
  <c r="J16" i="35"/>
  <c r="W16" i="35"/>
  <c r="AC26" i="36"/>
  <c r="AZ322" i="3"/>
  <c r="H13" i="39"/>
  <c r="AB13" i="39" s="1"/>
  <c r="F13" i="39"/>
  <c r="S13" i="39" s="1"/>
  <c r="J13" i="39"/>
  <c r="AC13" i="39" s="1"/>
  <c r="AA36" i="35"/>
  <c r="H11" i="37"/>
  <c r="AB11" i="37"/>
  <c r="AA30" i="33"/>
  <c r="AB17" i="37"/>
  <c r="AZ546" i="3"/>
  <c r="AA45" i="33"/>
  <c r="AC10" i="36"/>
  <c r="AC14" i="37"/>
  <c r="S25" i="35"/>
  <c r="AC30" i="33"/>
  <c r="W30" i="33"/>
  <c r="AC29" i="37"/>
  <c r="W32" i="36"/>
  <c r="AC32" i="36"/>
  <c r="J33" i="34"/>
  <c r="AC33" i="34" s="1"/>
  <c r="J40" i="34"/>
  <c r="W40" i="34" s="1"/>
  <c r="F16" i="35"/>
  <c r="AA16" i="35" s="1"/>
  <c r="S24" i="36"/>
  <c r="W42" i="33"/>
  <c r="J35" i="34"/>
  <c r="W35" i="34" s="1"/>
  <c r="F107" i="34"/>
  <c r="G107" i="34" s="1"/>
  <c r="H107" i="34"/>
  <c r="I107" i="34" s="1"/>
  <c r="J107" i="34" s="1"/>
  <c r="K107" i="34" s="1"/>
  <c r="L107" i="34" s="1"/>
  <c r="M107" i="34" s="1"/>
  <c r="S30" i="36"/>
  <c r="H16" i="36"/>
  <c r="AB16" i="36" s="1"/>
  <c r="H103" i="37"/>
  <c r="I103" i="37" s="1"/>
  <c r="J103" i="37" s="1"/>
  <c r="K103" i="37" s="1"/>
  <c r="L103" i="37" s="1"/>
  <c r="M103" i="37" s="1"/>
  <c r="H35" i="37"/>
  <c r="AB35" i="37" s="1"/>
  <c r="S26" i="21"/>
  <c r="H32" i="21"/>
  <c r="U32" i="21" s="1"/>
  <c r="AB26" i="21"/>
  <c r="U26"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s="1"/>
  <c r="F19" i="39"/>
  <c r="S19" i="39" s="1"/>
  <c r="H19" i="39"/>
  <c r="AB19" i="39" s="1"/>
  <c r="J19" i="39"/>
  <c r="W19" i="39" s="1"/>
  <c r="J43" i="39"/>
  <c r="W43" i="39" s="1"/>
  <c r="U31" i="34"/>
  <c r="W40" i="37"/>
  <c r="AC45" i="21"/>
  <c r="S28" i="33"/>
  <c r="S14" i="21"/>
  <c r="AB29" i="35"/>
  <c r="AC19" i="33"/>
  <c r="W19" i="33"/>
  <c r="U43" i="34"/>
  <c r="AB43" i="34"/>
  <c r="AC34" i="37"/>
  <c r="AA35" i="37"/>
  <c r="AA32" i="21"/>
  <c r="S32" i="21"/>
  <c r="AB34" i="21"/>
  <c r="BL571" i="3"/>
  <c r="BA571" i="3"/>
  <c r="AZ571" i="3"/>
  <c r="BL570" i="3"/>
  <c r="BE5" i="3"/>
  <c r="F42" i="21"/>
  <c r="AA42" i="21" s="1"/>
  <c r="AB40" i="33"/>
  <c r="U40" i="33"/>
  <c r="AA35" i="34"/>
  <c r="S35" i="34"/>
  <c r="E90" i="34"/>
  <c r="H27" i="34"/>
  <c r="AB27" i="34" s="1"/>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BL554" i="3"/>
  <c r="BA553" i="3"/>
  <c r="BA552" i="3"/>
  <c r="BL549" i="3"/>
  <c r="BA549" i="3"/>
  <c r="BL548" i="3"/>
  <c r="BA548" i="3"/>
  <c r="BL547" i="3"/>
  <c r="BA547" i="3"/>
  <c r="BL539" i="3"/>
  <c r="BA539" i="3"/>
  <c r="AZ539" i="3" s="1"/>
  <c r="BA538" i="3"/>
  <c r="AZ538" i="3" s="1"/>
  <c r="BL537" i="3"/>
  <c r="BA537" i="3"/>
  <c r="BA535" i="3"/>
  <c r="AZ535" i="3" s="1"/>
  <c r="BA534" i="3"/>
  <c r="BA533" i="3"/>
  <c r="AZ533" i="3"/>
  <c r="BL531" i="3"/>
  <c r="AZ531" i="3"/>
  <c r="BL530" i="3"/>
  <c r="BA530" i="3"/>
  <c r="BL529" i="3"/>
  <c r="BA529" i="3"/>
  <c r="AZ528" i="3"/>
  <c r="BA527" i="3"/>
  <c r="AZ527" i="3" s="1"/>
  <c r="BA526" i="3"/>
  <c r="AZ526" i="3" s="1"/>
  <c r="BA525" i="3"/>
  <c r="AZ525" i="3" s="1"/>
  <c r="BL523" i="3"/>
  <c r="BA523" i="3"/>
  <c r="BL522" i="3"/>
  <c r="BA522" i="3"/>
  <c r="AZ522" i="3"/>
  <c r="BL521" i="3"/>
  <c r="BA519" i="3"/>
  <c r="AZ519" i="3" s="1"/>
  <c r="BA518" i="3"/>
  <c r="AZ518" i="3" s="1"/>
  <c r="BL517" i="3"/>
  <c r="BA517" i="3"/>
  <c r="AZ517" i="3" s="1"/>
  <c r="BL515" i="3"/>
  <c r="BA515" i="3"/>
  <c r="BA514" i="3"/>
  <c r="AZ514" i="3" s="1"/>
  <c r="BL513" i="3"/>
  <c r="BA513" i="3"/>
  <c r="BL512" i="3"/>
  <c r="AZ512" i="3" s="1"/>
  <c r="BA511" i="3"/>
  <c r="BA510" i="3"/>
  <c r="AZ510" i="3" s="1"/>
  <c r="BL509" i="3"/>
  <c r="AZ509" i="3" s="1"/>
  <c r="BL507" i="3"/>
  <c r="BA507" i="3"/>
  <c r="AZ507" i="3"/>
  <c r="BA506" i="3"/>
  <c r="BL505" i="3"/>
  <c r="BL504" i="3"/>
  <c r="BA504" i="3"/>
  <c r="BA503" i="3"/>
  <c r="BA500" i="3"/>
  <c r="AZ500" i="3" s="1"/>
  <c r="BL499" i="3"/>
  <c r="BA499" i="3"/>
  <c r="AZ499" i="3" s="1"/>
  <c r="AZ498" i="3"/>
  <c r="BL497" i="3"/>
  <c r="BA497" i="3"/>
  <c r="BL496" i="3"/>
  <c r="BA496" i="3"/>
  <c r="AZ496" i="3" s="1"/>
  <c r="BA495" i="3"/>
  <c r="AZ495" i="3" s="1"/>
  <c r="BL494" i="3"/>
  <c r="BA494" i="3"/>
  <c r="AZ494" i="3"/>
  <c r="BA491" i="3"/>
  <c r="BL490" i="3"/>
  <c r="BA490" i="3"/>
  <c r="AZ490" i="3"/>
  <c r="BL489" i="3"/>
  <c r="BA489" i="3"/>
  <c r="AZ489" i="3" s="1"/>
  <c r="BL487" i="3"/>
  <c r="BL486" i="3"/>
  <c r="AZ486" i="3" s="1"/>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s="1"/>
  <c r="G100" i="40"/>
  <c r="J30" i="40"/>
  <c r="AC30" i="40" s="1"/>
  <c r="F38" i="40"/>
  <c r="AA38" i="40" s="1"/>
  <c r="AA36" i="34"/>
  <c r="AC12" i="21"/>
  <c r="W12"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407" i="3"/>
  <c r="AZ423" i="3"/>
  <c r="B41" i="1"/>
  <c r="J42" i="40"/>
  <c r="AC42" i="40"/>
  <c r="J40" i="40"/>
  <c r="AC40" i="40"/>
  <c r="J34" i="40"/>
  <c r="AC34" i="40"/>
  <c r="H16" i="40"/>
  <c r="AB16" i="40"/>
  <c r="H14" i="40"/>
  <c r="U14" i="40"/>
  <c r="F32" i="40"/>
  <c r="AA32" i="40"/>
  <c r="AZ428" i="3"/>
  <c r="AZ444" i="3"/>
  <c r="AZ449" i="3"/>
  <c r="M1" i="46"/>
  <c r="M6" i="46"/>
  <c r="M10" i="46"/>
  <c r="N2" i="46"/>
  <c r="N5" i="46"/>
  <c r="F58" i="46"/>
  <c r="H58" i="46" s="1"/>
  <c r="F47" i="46"/>
  <c r="H49" i="46"/>
  <c r="N7" i="46"/>
  <c r="AZ466" i="3"/>
  <c r="AZ469" i="3"/>
  <c r="AZ212" i="3"/>
  <c r="AZ215" i="3"/>
  <c r="AZ220" i="3"/>
  <c r="AZ223" i="3"/>
  <c r="AZ236" i="3"/>
  <c r="AZ239" i="3"/>
  <c r="AZ252" i="3"/>
  <c r="AZ255" i="3"/>
  <c r="AZ268" i="3"/>
  <c r="AZ273" i="3"/>
  <c r="AZ284" i="3"/>
  <c r="AZ289" i="3"/>
  <c r="AZ124" i="3"/>
  <c r="AZ137" i="3"/>
  <c r="AZ152" i="3"/>
  <c r="M7" i="46"/>
  <c r="M11" i="46"/>
  <c r="N3" i="46"/>
  <c r="N6" i="46"/>
  <c r="N10" i="46"/>
  <c r="AZ164" i="3"/>
  <c r="AZ177" i="3"/>
  <c r="AZ40" i="3"/>
  <c r="AZ63" i="3"/>
  <c r="AZ79" i="3"/>
  <c r="AZ99" i="3"/>
  <c r="H47" i="46"/>
  <c r="J13" i="40"/>
  <c r="W13" i="40" s="1"/>
  <c r="AB14" i="40"/>
  <c r="W40" i="40"/>
  <c r="F72" i="9"/>
  <c r="W35" i="40"/>
  <c r="AB32" i="40"/>
  <c r="AC47" i="39"/>
  <c r="S47" i="39"/>
  <c r="U37" i="34"/>
  <c r="AC41" i="40"/>
  <c r="W41" i="40"/>
  <c r="U41" i="40"/>
  <c r="J23" i="40"/>
  <c r="AC23" i="40" s="1"/>
  <c r="F23" i="40"/>
  <c r="S23" i="40" s="1"/>
  <c r="AC15" i="40"/>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04" i="3"/>
  <c r="AZ515" i="3"/>
  <c r="AZ529" i="3"/>
  <c r="AZ530" i="3"/>
  <c r="AZ547" i="3"/>
  <c r="AZ549" i="3"/>
  <c r="AA29" i="35"/>
  <c r="U39" i="39"/>
  <c r="J29" i="39"/>
  <c r="AC29" i="39" s="1"/>
  <c r="AB17" i="39"/>
  <c r="AB33" i="36"/>
  <c r="AA11" i="36"/>
  <c r="S14" i="35"/>
  <c r="F33" i="37"/>
  <c r="S33" i="37" s="1"/>
  <c r="U19" i="39"/>
  <c r="U46" i="34"/>
  <c r="AC30" i="34"/>
  <c r="AA14" i="34"/>
  <c r="W12" i="34"/>
  <c r="U29" i="33"/>
  <c r="AC13" i="33"/>
  <c r="U17" i="34"/>
  <c r="AA11" i="34"/>
  <c r="W32" i="33"/>
  <c r="H15" i="33"/>
  <c r="U15" i="33" s="1"/>
  <c r="AA11" i="33"/>
  <c r="AA40" i="21"/>
  <c r="U17" i="21"/>
  <c r="AA13" i="39"/>
  <c r="U16" i="40"/>
  <c r="W34" i="40"/>
  <c r="AB34" i="40"/>
  <c r="AB42" i="40"/>
  <c r="AC16" i="40"/>
  <c r="H25" i="40"/>
  <c r="AB25" i="40" s="1"/>
  <c r="F94" i="40"/>
  <c r="G94" i="40" s="1"/>
  <c r="U47" i="39"/>
  <c r="W15" i="39"/>
  <c r="J37" i="34"/>
  <c r="AC37" i="34" s="1"/>
  <c r="J36" i="33"/>
  <c r="W36" i="33" s="1"/>
  <c r="S41" i="40"/>
  <c r="AB23"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AC39" i="39"/>
  <c r="W39" i="39"/>
  <c r="AA39" i="39"/>
  <c r="S39" i="39"/>
  <c r="AB46" i="39"/>
  <c r="AB44" i="39"/>
  <c r="AC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s="1"/>
  <c r="J35" i="33"/>
  <c r="W35" i="33" s="1"/>
  <c r="S32" i="33"/>
  <c r="AC15" i="33"/>
  <c r="H11" i="33"/>
  <c r="U11" i="33" s="1"/>
  <c r="H10" i="33"/>
  <c r="U10" i="33" s="1"/>
  <c r="I66" i="33"/>
  <c r="J10" i="33"/>
  <c r="AC10" i="33" s="1"/>
  <c r="U11" i="37"/>
  <c r="U13" i="39"/>
  <c r="AC16" i="35"/>
  <c r="AC13" i="40"/>
  <c r="J11" i="34"/>
  <c r="W11" i="34" s="1"/>
  <c r="S17" i="34"/>
  <c r="AC36" i="33"/>
  <c r="F25" i="40"/>
  <c r="AA25" i="40" s="1"/>
  <c r="J11" i="33"/>
  <c r="W11" i="33" s="1"/>
  <c r="H33" i="37"/>
  <c r="AB33" i="37" s="1"/>
  <c r="W15" i="34"/>
  <c r="AC15" i="34"/>
  <c r="AB20" i="35"/>
  <c r="W23" i="40"/>
  <c r="D73" i="9"/>
  <c r="N73" i="9" s="1"/>
  <c r="AP11" i="1"/>
  <c r="B11" i="1"/>
  <c r="E11" i="1" s="1"/>
  <c r="K11" i="1"/>
  <c r="M11" i="1" s="1"/>
  <c r="O11" i="1" s="1"/>
  <c r="P11" i="1" s="1"/>
  <c r="B9" i="1"/>
  <c r="E9" i="1" s="1"/>
  <c r="K9" i="1"/>
  <c r="M9" i="1" s="1"/>
  <c r="O9" i="1" s="1"/>
  <c r="P9" i="1" s="1"/>
  <c r="B7" i="1"/>
  <c r="E7" i="1" s="1"/>
  <c r="K7" i="1"/>
  <c r="M7" i="1" s="1"/>
  <c r="O7" i="1" s="1"/>
  <c r="P7" i="1" s="1"/>
  <c r="C20" i="43"/>
  <c r="F6" i="1"/>
  <c r="AP6" i="1" s="1"/>
  <c r="G11" i="1"/>
  <c r="M22" i="44"/>
  <c r="F29" i="12"/>
  <c r="F31" i="43"/>
  <c r="S23" i="36"/>
  <c r="S8" i="36"/>
  <c r="AA26" i="36"/>
  <c r="AA28" i="36"/>
  <c r="U25" i="36"/>
  <c r="H20" i="36"/>
  <c r="U20" i="36" s="1"/>
  <c r="F68" i="36"/>
  <c r="G68" i="36" s="1"/>
  <c r="J20" i="36"/>
  <c r="AC20" i="36" s="1"/>
  <c r="F20" i="36"/>
  <c r="S20" i="36" s="1"/>
  <c r="F62" i="36"/>
  <c r="G62" i="36" s="1"/>
  <c r="J14" i="36"/>
  <c r="H14" i="36"/>
  <c r="U14" i="36" s="1"/>
  <c r="F14" i="36"/>
  <c r="AA14" i="36" s="1"/>
  <c r="W20" i="36"/>
  <c r="U27" i="36"/>
  <c r="U32" i="36"/>
  <c r="AB12" i="36"/>
  <c r="S33" i="36"/>
  <c r="S16" i="36"/>
  <c r="S29" i="36"/>
  <c r="AC33" i="35"/>
  <c r="U22" i="35"/>
  <c r="AA13" i="35"/>
  <c r="AC9" i="35"/>
  <c r="S8" i="35"/>
  <c r="U33" i="35"/>
  <c r="AA20" i="35"/>
  <c r="S23" i="35"/>
  <c r="S16" i="35"/>
  <c r="AB14" i="35"/>
  <c r="AC10" i="35"/>
  <c r="U9" i="35"/>
  <c r="AC18" i="35"/>
  <c r="W18" i="35"/>
  <c r="U18" i="35"/>
  <c r="AB18" i="35"/>
  <c r="S30" i="35"/>
  <c r="AB30" i="35"/>
  <c r="S27" i="35"/>
  <c r="S28" i="35"/>
  <c r="J26" i="35"/>
  <c r="F26" i="35"/>
  <c r="AA26" i="35" s="1"/>
  <c r="H26" i="35"/>
  <c r="AB9" i="37"/>
  <c r="W12" i="37"/>
  <c r="AA9" i="37"/>
  <c r="S17" i="37"/>
  <c r="W28" i="37"/>
  <c r="AB37" i="37"/>
  <c r="AA31" i="37"/>
  <c r="AA33" i="37"/>
  <c r="U32" i="37"/>
  <c r="AA32" i="37"/>
  <c r="J33" i="37"/>
  <c r="W33" i="37" s="1"/>
  <c r="S29" i="37"/>
  <c r="J19" i="37"/>
  <c r="AC19" i="37" s="1"/>
  <c r="G75" i="37"/>
  <c r="F19" i="37"/>
  <c r="AA19" i="37"/>
  <c r="H19" i="37"/>
  <c r="J17" i="37"/>
  <c r="AC17" i="37" s="1"/>
  <c r="S15" i="37"/>
  <c r="AC10" i="37"/>
  <c r="AC21" i="37"/>
  <c r="W21" i="37"/>
  <c r="AC9" i="37"/>
  <c r="W32" i="37"/>
  <c r="U35" i="37"/>
  <c r="U8" i="37"/>
  <c r="AB25" i="37"/>
  <c r="AB21" i="37"/>
  <c r="U21" i="37"/>
  <c r="S37" i="37"/>
  <c r="S40" i="37"/>
  <c r="AA11" i="37"/>
  <c r="S10" i="37"/>
  <c r="W46" i="34"/>
  <c r="AC45" i="34"/>
  <c r="AA40" i="34"/>
  <c r="W33" i="34"/>
  <c r="U30" i="34"/>
  <c r="S32" i="34"/>
  <c r="AB33" i="34"/>
  <c r="AA12" i="34"/>
  <c r="AA30" i="34"/>
  <c r="AC32" i="34"/>
  <c r="AA33" i="34"/>
  <c r="U44" i="34"/>
  <c r="U34" i="34"/>
  <c r="U28" i="34"/>
  <c r="AA27" i="34"/>
  <c r="J25" i="34"/>
  <c r="H25" i="34"/>
  <c r="U25" i="34" s="1"/>
  <c r="F25" i="34"/>
  <c r="J23" i="34"/>
  <c r="AC23" i="34" s="1"/>
  <c r="F86" i="34"/>
  <c r="G86" i="34"/>
  <c r="F23" i="34"/>
  <c r="H23" i="34"/>
  <c r="U23" i="34" s="1"/>
  <c r="W17" i="34"/>
  <c r="AC11" i="34"/>
  <c r="U11" i="34"/>
  <c r="W10" i="34"/>
  <c r="U10" i="34"/>
  <c r="W37" i="34"/>
  <c r="W44" i="34"/>
  <c r="W19" i="34"/>
  <c r="W29" i="34"/>
  <c r="AC21" i="34"/>
  <c r="W21" i="34"/>
  <c r="U15" i="34"/>
  <c r="AB21" i="34"/>
  <c r="U21" i="34"/>
  <c r="U27" i="34"/>
  <c r="U19" i="34"/>
  <c r="AB41" i="34"/>
  <c r="AA41" i="34"/>
  <c r="S9" i="34"/>
  <c r="S10" i="34"/>
  <c r="U39" i="33"/>
  <c r="U37" i="33"/>
  <c r="S35" i="33"/>
  <c r="W34" i="33"/>
  <c r="AC12" i="33"/>
  <c r="AB11" i="33"/>
  <c r="U36" i="33"/>
  <c r="AC35" i="33"/>
  <c r="S29"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36" i="33"/>
  <c r="W39" i="21"/>
  <c r="AC34" i="21"/>
  <c r="U35" i="21"/>
  <c r="AA37" i="21"/>
  <c r="W28" i="21"/>
  <c r="AC46" i="21"/>
  <c r="AC26" i="21"/>
  <c r="F85" i="21"/>
  <c r="G85" i="21" s="1"/>
  <c r="J23" i="21"/>
  <c r="W23" i="21" s="1"/>
  <c r="F23" i="21"/>
  <c r="AA23" i="21" s="1"/>
  <c r="H23" i="21"/>
  <c r="U23" i="21" s="1"/>
  <c r="AA17" i="21"/>
  <c r="F15" i="21"/>
  <c r="S15" i="21" s="1"/>
  <c r="F77" i="21"/>
  <c r="G77" i="21" s="1"/>
  <c r="J15" i="21"/>
  <c r="W15" i="21" s="1"/>
  <c r="H15" i="21"/>
  <c r="AC11" i="21"/>
  <c r="AB11" i="21"/>
  <c r="W13" i="21"/>
  <c r="AA11" i="21"/>
  <c r="AC23" i="21"/>
  <c r="AC21" i="21"/>
  <c r="W21" i="21"/>
  <c r="W44" i="21"/>
  <c r="AB21" i="21"/>
  <c r="U21" i="21"/>
  <c r="W33" i="40"/>
  <c r="S35" i="40"/>
  <c r="U15" i="40"/>
  <c r="S14" i="40"/>
  <c r="AB13" i="40"/>
  <c r="S16" i="40"/>
  <c r="W11" i="40"/>
  <c r="AA21" i="40"/>
  <c r="U21" i="40"/>
  <c r="U25" i="40"/>
  <c r="W42" i="40"/>
  <c r="U35" i="40"/>
  <c r="F37" i="40"/>
  <c r="J37" i="40"/>
  <c r="AC37" i="40" s="1"/>
  <c r="H37" i="40"/>
  <c r="AB37" i="40" s="1"/>
  <c r="G113" i="40"/>
  <c r="H113" i="40"/>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c r="F19" i="40"/>
  <c r="H19" i="40"/>
  <c r="U19" i="40" s="1"/>
  <c r="J19" i="40"/>
  <c r="W17" i="40"/>
  <c r="AC17" i="40"/>
  <c r="F17" i="40"/>
  <c r="AA17" i="40" s="1"/>
  <c r="H17" i="40"/>
  <c r="AB17" i="40" s="1"/>
  <c r="W21" i="40"/>
  <c r="AB40" i="40"/>
  <c r="U10" i="40"/>
  <c r="U27" i="40"/>
  <c r="AB27" i="40"/>
  <c r="W13" i="39"/>
  <c r="AB45" i="39"/>
  <c r="AA21" i="39"/>
  <c r="AC19" i="39"/>
  <c r="AC38" i="39"/>
  <c r="S14" i="39"/>
  <c r="AB15" i="39"/>
  <c r="U11" i="39"/>
  <c r="AB38" i="39"/>
  <c r="U31" i="39"/>
  <c r="AB31" i="39"/>
  <c r="S38" i="39"/>
  <c r="D18" i="9"/>
  <c r="M44" i="9" s="1"/>
  <c r="M43" i="9"/>
  <c r="M20" i="15"/>
  <c r="D96" i="9"/>
  <c r="M18" i="15"/>
  <c r="A18" i="64"/>
  <c r="B74" i="63" s="1"/>
  <c r="C53" i="10"/>
  <c r="A25" i="64" s="1"/>
  <c r="A18" i="51"/>
  <c r="B14" i="63"/>
  <c r="BA16" i="3"/>
  <c r="BA17" i="3"/>
  <c r="AZ17" i="3" s="1"/>
  <c r="F3" i="35"/>
  <c r="K1" i="43"/>
  <c r="K1" i="12"/>
  <c r="G1" i="44"/>
  <c r="AZ15" i="3"/>
  <c r="BK5" i="3"/>
  <c r="BO5" i="3"/>
  <c r="BP5" i="3"/>
  <c r="G29" i="6" s="1"/>
  <c r="BN5" i="3"/>
  <c r="BL18" i="3"/>
  <c r="AZ18" i="3" s="1"/>
  <c r="BC5" i="3"/>
  <c r="E8" i="6"/>
  <c r="E53" i="40" s="1"/>
  <c r="BD5" i="3"/>
  <c r="BR5" i="3"/>
  <c r="BS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B56" i="46" s="1"/>
  <c r="A4" i="64"/>
  <c r="A4" i="51"/>
  <c r="C51" i="10"/>
  <c r="H61" i="46"/>
  <c r="H71" i="46"/>
  <c r="H75" i="46"/>
  <c r="H76" i="46"/>
  <c r="I100" i="46"/>
  <c r="C24" i="46"/>
  <c r="N100" i="46"/>
  <c r="H100" i="46"/>
  <c r="F108" i="46"/>
  <c r="H80" i="46"/>
  <c r="B45" i="46"/>
  <c r="E100" i="46"/>
  <c r="G100" i="46"/>
  <c r="H84" i="46"/>
  <c r="H65"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E46" i="36" s="1"/>
  <c r="F46" i="36" s="1"/>
  <c r="G46" i="36" s="1"/>
  <c r="H46" i="36" s="1"/>
  <c r="I46" i="36" s="1"/>
  <c r="J46" i="36" s="1"/>
  <c r="C59" i="34"/>
  <c r="D59" i="34" s="1"/>
  <c r="E59" i="34" s="1"/>
  <c r="F59" i="34" s="1"/>
  <c r="C48" i="35"/>
  <c r="D48" i="35" s="1"/>
  <c r="E48" i="35" s="1"/>
  <c r="F48" i="35" s="1"/>
  <c r="G48" i="35" s="1"/>
  <c r="H48" i="35" s="1"/>
  <c r="I48" i="35" s="1"/>
  <c r="J48" i="35" s="1"/>
  <c r="K48" i="35" s="1"/>
  <c r="L48" i="35" s="1"/>
  <c r="M48" i="35" s="1"/>
  <c r="N48" i="35" s="1"/>
  <c r="O48" i="35" s="1"/>
  <c r="C52" i="37"/>
  <c r="D52" i="37" s="1"/>
  <c r="E52" i="37" s="1"/>
  <c r="F52" i="37" s="1"/>
  <c r="G52" i="37" s="1"/>
  <c r="H52" i="37" s="1"/>
  <c r="I52" i="37" s="1"/>
  <c r="J7" i="33"/>
  <c r="W7" i="33" s="1"/>
  <c r="O19" i="46"/>
  <c r="H77" i="46"/>
  <c r="H73" i="46"/>
  <c r="H69" i="46"/>
  <c r="H74" i="46"/>
  <c r="H86" i="46"/>
  <c r="H82" i="46"/>
  <c r="H63" i="46"/>
  <c r="H64" i="46"/>
  <c r="H10" i="48"/>
  <c r="H87" i="46"/>
  <c r="H85" i="46"/>
  <c r="H83" i="46"/>
  <c r="K10" i="1"/>
  <c r="M10" i="1" s="1"/>
  <c r="S11" i="1"/>
  <c r="R11" i="1"/>
  <c r="S13" i="1"/>
  <c r="R13" i="1"/>
  <c r="B6" i="1"/>
  <c r="E6" i="1" s="1"/>
  <c r="B10" i="1"/>
  <c r="E10" i="1" s="1"/>
  <c r="S10" i="1"/>
  <c r="B8" i="1"/>
  <c r="E8" i="1" s="1"/>
  <c r="B12" i="1"/>
  <c r="E12" i="1" s="1"/>
  <c r="S12" i="1"/>
  <c r="K6" i="1"/>
  <c r="M6" i="1" s="1"/>
  <c r="O12" i="1"/>
  <c r="P12" i="1" s="1"/>
  <c r="G1" i="15"/>
  <c r="F66" i="36"/>
  <c r="G66" i="36" s="1"/>
  <c r="H18" i="36"/>
  <c r="U16" i="36"/>
  <c r="S25" i="36"/>
  <c r="AA34" i="36"/>
  <c r="U23" i="36"/>
  <c r="AC27" i="36"/>
  <c r="W28" i="36"/>
  <c r="AA32" i="36"/>
  <c r="U13" i="36"/>
  <c r="AA22" i="36"/>
  <c r="AA13" i="36"/>
  <c r="W2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C13" i="34"/>
  <c r="S47" i="34"/>
  <c r="AA29" i="34"/>
  <c r="S19" i="34"/>
  <c r="S8" i="34"/>
  <c r="AA19" i="33"/>
  <c r="AC25" i="33"/>
  <c r="S43" i="33"/>
  <c r="AB42" i="33"/>
  <c r="AB14" i="33"/>
  <c r="S26" i="33"/>
  <c r="AB12" i="33"/>
  <c r="S15" i="33"/>
  <c r="S9" i="33"/>
  <c r="S39" i="21"/>
  <c r="AB25" i="21"/>
  <c r="AB45" i="21"/>
  <c r="W25" i="21"/>
  <c r="AA25" i="21"/>
  <c r="AA29" i="21"/>
  <c r="W31" i="21"/>
  <c r="AC27" i="21"/>
  <c r="W29" i="21"/>
  <c r="G96" i="40"/>
  <c r="J27" i="40"/>
  <c r="W27" i="40" s="1"/>
  <c r="S17" i="40"/>
  <c r="W30" i="40"/>
  <c r="S34" i="40"/>
  <c r="U38" i="40"/>
  <c r="S40" i="40"/>
  <c r="S42" i="40"/>
  <c r="G105" i="39"/>
  <c r="J31" i="39"/>
  <c r="AC31" i="39" s="1"/>
  <c r="S45" i="39"/>
  <c r="AB33" i="39"/>
  <c r="AC46" i="39"/>
  <c r="W36" i="39"/>
  <c r="AC37" i="39"/>
  <c r="U14" i="39"/>
  <c r="W16" i="39"/>
  <c r="S15" i="39"/>
  <c r="W45" i="39"/>
  <c r="AA46" i="39"/>
  <c r="W10" i="39"/>
  <c r="W11" i="39"/>
  <c r="S32" i="40"/>
  <c r="C27" i="39"/>
  <c r="C17" i="40"/>
  <c r="C19" i="40"/>
  <c r="C17" i="39"/>
  <c r="C19" i="39"/>
  <c r="C21" i="39"/>
  <c r="C23" i="40"/>
  <c r="B48" i="46"/>
  <c r="B51" i="46"/>
  <c r="B55" i="46"/>
  <c r="B59" i="46"/>
  <c r="B62" i="46"/>
  <c r="B66" i="46"/>
  <c r="B53" i="46"/>
  <c r="B64" i="46"/>
  <c r="D24" i="15"/>
  <c r="F29" i="6"/>
  <c r="S14" i="36"/>
  <c r="AB20" i="36"/>
  <c r="AA20" i="36"/>
  <c r="AC14" i="36"/>
  <c r="W14" i="36"/>
  <c r="AB14" i="36"/>
  <c r="U18" i="36"/>
  <c r="AB18" i="36"/>
  <c r="S26" i="35"/>
  <c r="U26" i="35"/>
  <c r="AB26" i="35"/>
  <c r="W26" i="35"/>
  <c r="AC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15" i="21"/>
  <c r="AB15" i="21"/>
  <c r="AB39" i="40"/>
  <c r="AC39" i="40"/>
  <c r="W39" i="40"/>
  <c r="AA39" i="40"/>
  <c r="U37" i="40"/>
  <c r="AA37" i="40"/>
  <c r="S37" i="40"/>
  <c r="U29" i="40"/>
  <c r="AC29" i="40"/>
  <c r="W29" i="40"/>
  <c r="AA29" i="40"/>
  <c r="S29" i="40"/>
  <c r="W19" i="40"/>
  <c r="AC19" i="40"/>
  <c r="AA19" i="40"/>
  <c r="S19" i="40"/>
  <c r="AB19" i="40"/>
  <c r="AC27" i="40"/>
  <c r="E58" i="39"/>
  <c r="F27" i="6"/>
  <c r="E5" i="6"/>
  <c r="D21" i="12" s="1"/>
  <c r="C21" i="12" s="1"/>
  <c r="AZ16" i="3"/>
  <c r="H70" i="46"/>
  <c r="H72" i="46"/>
  <c r="A9" i="64"/>
  <c r="A9" i="51"/>
  <c r="B9" i="63" s="1"/>
  <c r="A25" i="51"/>
  <c r="B18" i="63" s="1"/>
  <c r="A3" i="55"/>
  <c r="B56" i="63" s="1"/>
  <c r="G59" i="34"/>
  <c r="H59" i="34" s="1"/>
  <c r="I59" i="34"/>
  <c r="J59" i="34" s="1"/>
  <c r="K59" i="34" s="1"/>
  <c r="J18" i="36"/>
  <c r="AC18" i="36" s="1"/>
  <c r="AG6" i="1"/>
  <c r="L20" i="6"/>
  <c r="F7" i="21"/>
  <c r="S7" i="21" s="1"/>
  <c r="J7" i="21"/>
  <c r="AC7" i="21" s="1"/>
  <c r="H7" i="21"/>
  <c r="U7" i="21" s="1"/>
  <c r="J22" i="46"/>
  <c r="S9" i="1"/>
  <c r="R9" i="1"/>
  <c r="C45" i="9"/>
  <c r="O40" i="9"/>
  <c r="K31" i="9"/>
  <c r="K32" i="9" s="1"/>
  <c r="R7" i="54"/>
  <c r="B52" i="63" s="1"/>
  <c r="N76" i="9"/>
  <c r="C46" i="9"/>
  <c r="I14" i="66" s="1"/>
  <c r="B8" i="66" s="1"/>
  <c r="F9" i="67"/>
  <c r="J3" i="65"/>
  <c r="F42" i="15"/>
  <c r="F37" i="44"/>
  <c r="F46" i="44"/>
  <c r="F9" i="15"/>
  <c r="F43" i="71"/>
  <c r="E11" i="67"/>
  <c r="N3" i="65"/>
  <c r="F36" i="15"/>
  <c r="M28" i="15"/>
  <c r="M23" i="15"/>
  <c r="J15" i="15"/>
  <c r="F8" i="15"/>
  <c r="N5" i="65"/>
  <c r="F45" i="44"/>
  <c r="F10" i="67"/>
  <c r="F37" i="15"/>
  <c r="B13" i="67"/>
  <c r="E14" i="67"/>
  <c r="M6" i="15"/>
  <c r="I7" i="65"/>
  <c r="E8" i="67"/>
  <c r="F6" i="15"/>
  <c r="F14" i="67"/>
  <c r="M24" i="44"/>
  <c r="N7" i="65"/>
  <c r="B11" i="67"/>
  <c r="F8" i="67"/>
  <c r="I3" i="65"/>
  <c r="F13" i="67"/>
  <c r="F13" i="15"/>
  <c r="L48" i="15"/>
  <c r="N6" i="65"/>
  <c r="B14" i="67"/>
  <c r="F12" i="67"/>
  <c r="E12" i="67"/>
  <c r="F38" i="44"/>
  <c r="J7" i="65"/>
  <c r="M23" i="44"/>
  <c r="I6" i="65"/>
  <c r="F16" i="15"/>
  <c r="E9" i="67"/>
  <c r="F38" i="15"/>
  <c r="M8" i="44"/>
  <c r="I5" i="65"/>
  <c r="E10" i="67"/>
  <c r="M26" i="15"/>
  <c r="B8" i="67"/>
  <c r="J4" i="65"/>
  <c r="F43" i="15"/>
  <c r="F15" i="44"/>
  <c r="L47" i="15"/>
  <c r="M29" i="15"/>
  <c r="M24" i="15"/>
  <c r="F10" i="44"/>
  <c r="I4" i="65"/>
  <c r="M27" i="15"/>
  <c r="F26" i="15"/>
  <c r="J36" i="15"/>
  <c r="M10" i="44"/>
  <c r="E13" i="67"/>
  <c r="J6" i="65"/>
  <c r="M30" i="44"/>
  <c r="M29" i="44"/>
  <c r="M22" i="15"/>
  <c r="M9" i="15"/>
  <c r="N4" i="65"/>
  <c r="B10" i="67"/>
  <c r="J5" i="65"/>
  <c r="M8" i="15"/>
  <c r="M29" i="71"/>
  <c r="B12" i="67"/>
  <c r="F40" i="44"/>
  <c r="J17" i="44"/>
  <c r="B9" i="67"/>
  <c r="F40" i="15"/>
  <c r="F11" i="44"/>
  <c r="F18" i="44"/>
  <c r="F9" i="44"/>
  <c r="F11" i="67"/>
  <c r="F7" i="15"/>
  <c r="W18" i="36" l="1"/>
  <c r="C16" i="46"/>
  <c r="C5" i="46" s="1"/>
  <c r="F34" i="44"/>
  <c r="F32" i="71"/>
  <c r="F59" i="71" s="1"/>
  <c r="F28" i="71"/>
  <c r="M18" i="71"/>
  <c r="AZ534" i="3"/>
  <c r="U27" i="37"/>
  <c r="AB27" i="37"/>
  <c r="G28" i="6"/>
  <c r="AZ312" i="3"/>
  <c r="K141" i="21"/>
  <c r="K144" i="21"/>
  <c r="K143" i="21"/>
  <c r="AZ513" i="3"/>
  <c r="AZ523" i="3"/>
  <c r="AZ537" i="3"/>
  <c r="AZ548" i="3"/>
  <c r="AZ563" i="3"/>
  <c r="AZ567" i="3"/>
  <c r="AZ378" i="3"/>
  <c r="AZ373" i="3"/>
  <c r="AZ365" i="3"/>
  <c r="AZ347" i="3"/>
  <c r="AZ344" i="3"/>
  <c r="AZ339" i="3"/>
  <c r="AZ379" i="3"/>
  <c r="AZ361" i="3"/>
  <c r="AZ345" i="3"/>
  <c r="AZ329" i="3"/>
  <c r="AZ305" i="3"/>
  <c r="AZ303" i="3"/>
  <c r="AZ300" i="3"/>
  <c r="AA23" i="37"/>
  <c r="S39" i="33"/>
  <c r="S22" i="31"/>
  <c r="AZ502" i="3"/>
  <c r="AZ521" i="3"/>
  <c r="BL572" i="3"/>
  <c r="BH5" i="3"/>
  <c r="BF5" i="3"/>
  <c r="G569" i="3"/>
  <c r="G564" i="3"/>
  <c r="BL563" i="3"/>
  <c r="G555" i="3"/>
  <c r="BL553" i="3"/>
  <c r="AZ553" i="3" s="1"/>
  <c r="G543" i="3"/>
  <c r="BA542" i="3"/>
  <c r="BA541" i="3"/>
  <c r="AZ541" i="3" s="1"/>
  <c r="BA540" i="3"/>
  <c r="G535" i="3"/>
  <c r="G528" i="3"/>
  <c r="G520" i="3"/>
  <c r="G511" i="3"/>
  <c r="G500" i="3"/>
  <c r="G490" i="3"/>
  <c r="G482" i="3"/>
  <c r="G15" i="3"/>
  <c r="G389" i="3"/>
  <c r="BL389" i="3"/>
  <c r="BL391" i="3"/>
  <c r="AZ391" i="3" s="1"/>
  <c r="BA392" i="3"/>
  <c r="AZ392" i="3" s="1"/>
  <c r="BL394" i="3"/>
  <c r="AZ394" i="3" s="1"/>
  <c r="BA395" i="3"/>
  <c r="AZ395" i="3" s="1"/>
  <c r="AZ127" i="3"/>
  <c r="AZ572" i="3"/>
  <c r="AZ555" i="3"/>
  <c r="BA570" i="3"/>
  <c r="AZ570" i="3" s="1"/>
  <c r="BT5" i="3"/>
  <c r="BI5" i="3"/>
  <c r="BG5" i="3"/>
  <c r="K145" i="2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AZ406" i="3"/>
  <c r="AZ409" i="3"/>
  <c r="AZ468" i="3"/>
  <c r="BA387" i="3"/>
  <c r="AZ387" i="3" s="1"/>
  <c r="AZ214" i="3"/>
  <c r="AZ242" i="3"/>
  <c r="AZ272" i="3"/>
  <c r="BL133" i="3"/>
  <c r="BA135" i="3"/>
  <c r="AZ135" i="3" s="1"/>
  <c r="BL136" i="3"/>
  <c r="G139" i="3"/>
  <c r="BA140" i="3"/>
  <c r="AZ140" i="3" s="1"/>
  <c r="G143" i="3"/>
  <c r="G146" i="3"/>
  <c r="G149" i="3"/>
  <c r="BL149" i="3"/>
  <c r="BA151" i="3"/>
  <c r="AZ151" i="3" s="1"/>
  <c r="G154" i="3"/>
  <c r="G157" i="3"/>
  <c r="G160" i="3"/>
  <c r="BL160" i="3"/>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G21" i="3"/>
  <c r="G22" i="3"/>
  <c r="BA23" i="3"/>
  <c r="AZ23" i="3" s="1"/>
  <c r="BL23" i="3"/>
  <c r="G24" i="3"/>
  <c r="BL24" i="3"/>
  <c r="AZ24" i="3" s="1"/>
  <c r="G25" i="3"/>
  <c r="BA388" i="3"/>
  <c r="AZ388" i="3" s="1"/>
  <c r="BA205" i="3"/>
  <c r="AZ205" i="3" s="1"/>
  <c r="BL207" i="3"/>
  <c r="AZ207" i="3" s="1"/>
  <c r="BA208" i="3"/>
  <c r="AZ208" i="3" s="1"/>
  <c r="BA209" i="3"/>
  <c r="AZ209" i="3" s="1"/>
  <c r="G212" i="3"/>
  <c r="G213" i="3"/>
  <c r="G214" i="3"/>
  <c r="BL214" i="3"/>
  <c r="BA216" i="3"/>
  <c r="AZ216" i="3" s="1"/>
  <c r="BA217" i="3"/>
  <c r="AZ217" i="3" s="1"/>
  <c r="G220" i="3"/>
  <c r="G221" i="3"/>
  <c r="G222" i="3"/>
  <c r="BL222" i="3"/>
  <c r="AZ222" i="3" s="1"/>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BA243" i="3"/>
  <c r="AZ243" i="3" s="1"/>
  <c r="BA244" i="3"/>
  <c r="AZ244" i="3" s="1"/>
  <c r="BA245" i="3"/>
  <c r="AZ245" i="3" s="1"/>
  <c r="BL247" i="3"/>
  <c r="AZ247" i="3" s="1"/>
  <c r="BA248" i="3"/>
  <c r="AZ248" i="3" s="1"/>
  <c r="BA249" i="3"/>
  <c r="AZ249" i="3" s="1"/>
  <c r="G252" i="3"/>
  <c r="G253"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BL274" i="3"/>
  <c r="AZ274" i="3" s="1"/>
  <c r="BA275" i="3"/>
  <c r="AZ275" i="3" s="1"/>
  <c r="BA276" i="3"/>
  <c r="AZ276" i="3" s="1"/>
  <c r="BL278" i="3"/>
  <c r="AZ278" i="3" s="1"/>
  <c r="BA279" i="3"/>
  <c r="AZ279" i="3" s="1"/>
  <c r="BL281" i="3"/>
  <c r="AZ281" i="3" s="1"/>
  <c r="G284" i="3"/>
  <c r="G285" i="3"/>
  <c r="BL285" i="3"/>
  <c r="AZ285" i="3" s="1"/>
  <c r="G288" i="3"/>
  <c r="BL288" i="3"/>
  <c r="AZ288" i="3" s="1"/>
  <c r="BL290" i="3"/>
  <c r="AZ290" i="3" s="1"/>
  <c r="BA291" i="3"/>
  <c r="AZ291" i="3" s="1"/>
  <c r="BA292" i="3"/>
  <c r="AZ292" i="3" s="1"/>
  <c r="G295" i="3"/>
  <c r="G296" i="3"/>
  <c r="BL296" i="3"/>
  <c r="AZ296" i="3" s="1"/>
  <c r="BA113" i="3"/>
  <c r="AZ113" i="3" s="1"/>
  <c r="BL114" i="3"/>
  <c r="AZ114" i="3" s="1"/>
  <c r="BA116" i="3"/>
  <c r="AZ116" i="3" s="1"/>
  <c r="G119" i="3"/>
  <c r="BL121" i="3"/>
  <c r="AZ121" i="3" s="1"/>
  <c r="BA123" i="3"/>
  <c r="AZ123" i="3" s="1"/>
  <c r="G125" i="3"/>
  <c r="BL125" i="3"/>
  <c r="AZ125" i="3" s="1"/>
  <c r="BA127" i="3"/>
  <c r="BL128" i="3"/>
  <c r="AZ128" i="3" s="1"/>
  <c r="BA129" i="3"/>
  <c r="AZ129" i="3" s="1"/>
  <c r="BL130" i="3"/>
  <c r="AZ130" i="3" s="1"/>
  <c r="BA132" i="3"/>
  <c r="AZ132" i="3" s="1"/>
  <c r="BA22" i="3"/>
  <c r="AZ22" i="3" s="1"/>
  <c r="BA27" i="3"/>
  <c r="AZ27" i="3" s="1"/>
  <c r="G26" i="3"/>
  <c r="BL26" i="3"/>
  <c r="G27"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G54" i="3"/>
  <c r="BL54" i="3"/>
  <c r="BL56" i="3"/>
  <c r="AZ56" i="3" s="1"/>
  <c r="G58" i="3"/>
  <c r="BL58" i="3"/>
  <c r="BA60" i="3"/>
  <c r="AZ60" i="3" s="1"/>
  <c r="G63" i="3"/>
  <c r="G64" i="3"/>
  <c r="BL64" i="3"/>
  <c r="AZ64" i="3" s="1"/>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O13" i="1" s="1"/>
  <c r="P13" i="1" s="1"/>
  <c r="C42" i="1"/>
  <c r="C15" i="43" s="1"/>
  <c r="J51" i="71"/>
  <c r="I15" i="57"/>
  <c r="B74" i="46"/>
  <c r="S31" i="39"/>
  <c r="C28" i="59"/>
  <c r="AB3" i="59"/>
  <c r="P27" i="6"/>
  <c r="C21" i="59"/>
  <c r="D68" i="59"/>
  <c r="C63" i="59"/>
  <c r="D63" i="59" s="1"/>
  <c r="C56" i="59"/>
  <c r="C55" i="59" s="1"/>
  <c r="D55" i="59" s="1"/>
  <c r="D19" i="59"/>
  <c r="E15" i="59"/>
  <c r="E16" i="59" s="1"/>
  <c r="E17" i="59" s="1"/>
  <c r="U17" i="59" s="1"/>
  <c r="X15" i="59"/>
  <c r="AA3" i="59"/>
  <c r="X16" i="59"/>
  <c r="AA16" i="59"/>
  <c r="X17" i="59"/>
  <c r="AA17" i="59"/>
  <c r="AB19" i="59"/>
  <c r="AB20" i="59"/>
  <c r="AB21" i="59"/>
  <c r="F23" i="59"/>
  <c r="F24" i="59" s="1"/>
  <c r="F25" i="59" s="1"/>
  <c r="V25" i="59" s="1"/>
  <c r="X23" i="59"/>
  <c r="C36" i="59"/>
  <c r="P75" i="15"/>
  <c r="BA5" i="3"/>
  <c r="E27" i="6" s="1"/>
  <c r="F70" i="71"/>
  <c r="M8" i="1"/>
  <c r="F34" i="15"/>
  <c r="F61" i="15" s="1"/>
  <c r="F34" i="71"/>
  <c r="M20" i="71"/>
  <c r="AC43" i="39"/>
  <c r="AC38" i="21"/>
  <c r="AC37" i="21"/>
  <c r="U19" i="21"/>
  <c r="U40" i="21"/>
  <c r="U39" i="21"/>
  <c r="AB36" i="21"/>
  <c r="AB32" i="21"/>
  <c r="AA9" i="21"/>
  <c r="S8" i="21"/>
  <c r="S23" i="21"/>
  <c r="S42" i="21"/>
  <c r="W43" i="21"/>
  <c r="S44" i="21"/>
  <c r="U43" i="21"/>
  <c r="W42" i="21"/>
  <c r="AC40" i="21"/>
  <c r="AA38" i="21"/>
  <c r="U42" i="21"/>
  <c r="U38" i="21"/>
  <c r="S35" i="21"/>
  <c r="W32" i="21"/>
  <c r="AB23" i="21"/>
  <c r="S21" i="21"/>
  <c r="AC19" i="21"/>
  <c r="W17" i="21"/>
  <c r="AC15" i="21"/>
  <c r="AA15" i="21"/>
  <c r="W10" i="21"/>
  <c r="AB10" i="21"/>
  <c r="W9" i="21"/>
  <c r="U34" i="39"/>
  <c r="H126" i="39"/>
  <c r="I126" i="39" s="1"/>
  <c r="J126" i="39" s="1"/>
  <c r="K126" i="39" s="1"/>
  <c r="L126" i="39" s="1"/>
  <c r="M126" i="39" s="1"/>
  <c r="H43" i="39"/>
  <c r="F43" i="39"/>
  <c r="S43" i="39" s="1"/>
  <c r="J42" i="39"/>
  <c r="H42" i="39"/>
  <c r="F42" i="39"/>
  <c r="AB29" i="39"/>
  <c r="F101" i="39"/>
  <c r="G101" i="39" s="1"/>
  <c r="F27" i="39"/>
  <c r="AA27" i="39" s="1"/>
  <c r="J27" i="39"/>
  <c r="AC27" i="39" s="1"/>
  <c r="H27" i="39"/>
  <c r="F99" i="39"/>
  <c r="G99" i="39" s="1"/>
  <c r="J25" i="39"/>
  <c r="H25" i="39"/>
  <c r="U25" i="39" s="1"/>
  <c r="F25" i="39"/>
  <c r="AA25" i="39" s="1"/>
  <c r="AA44" i="39"/>
  <c r="AA43" i="39"/>
  <c r="S34" i="39"/>
  <c r="S29" i="39"/>
  <c r="AA19" i="39"/>
  <c r="S11" i="39"/>
  <c r="AC44" i="39"/>
  <c r="W31" i="39"/>
  <c r="W27" i="39"/>
  <c r="S25" i="39"/>
  <c r="AB25" i="39"/>
  <c r="AB21" i="39"/>
  <c r="AC17" i="39"/>
  <c r="S17" i="39"/>
  <c r="A2" i="55"/>
  <c r="B55" i="63" s="1"/>
  <c r="S41" i="39"/>
  <c r="W41" i="39"/>
  <c r="U41" i="39"/>
  <c r="W23" i="39"/>
  <c r="U23" i="39"/>
  <c r="S23" i="39"/>
  <c r="L16" i="4"/>
  <c r="K17" i="4" s="1"/>
  <c r="A22" i="51" s="1"/>
  <c r="B16" i="63" s="1"/>
  <c r="C72" i="39"/>
  <c r="D70" i="39"/>
  <c r="AC7" i="33"/>
  <c r="V48" i="33" s="1"/>
  <c r="I48" i="33" s="1"/>
  <c r="J51" i="15"/>
  <c r="E14" i="52"/>
  <c r="F28" i="15"/>
  <c r="D86" i="9"/>
  <c r="F32" i="15"/>
  <c r="F59" i="15" s="1"/>
  <c r="F27" i="43"/>
  <c r="C27" i="43" s="1"/>
  <c r="C92" i="9"/>
  <c r="AZ13" i="3"/>
  <c r="H16" i="1"/>
  <c r="BQ5" i="3"/>
  <c r="F28" i="6" s="1"/>
  <c r="F30" i="6" s="1"/>
  <c r="E12" i="6"/>
  <c r="E11" i="6"/>
  <c r="E10" i="6"/>
  <c r="G30" i="6"/>
  <c r="G31" i="6" s="1"/>
  <c r="E29" i="6"/>
  <c r="E14" i="6"/>
  <c r="D12" i="11"/>
  <c r="C12" i="11" s="1"/>
  <c r="C25" i="12"/>
  <c r="C67" i="40"/>
  <c r="D65" i="40"/>
  <c r="C28" i="15"/>
  <c r="W7" i="21"/>
  <c r="C31" i="43"/>
  <c r="AP16" i="1"/>
  <c r="F22" i="11" s="1"/>
  <c r="L59" i="34"/>
  <c r="M59" i="34" s="1"/>
  <c r="N59" i="34" s="1"/>
  <c r="O59" i="34" s="1"/>
  <c r="J52" i="37"/>
  <c r="K52" i="37" s="1"/>
  <c r="L52" i="37" s="1"/>
  <c r="M52" i="37" s="1"/>
  <c r="N52" i="37" s="1"/>
  <c r="O52" i="37" s="1"/>
  <c r="K46" i="36"/>
  <c r="L46" i="36" s="1"/>
  <c r="M46" i="36" s="1"/>
  <c r="N46" i="36" s="1"/>
  <c r="O46" i="36" s="1"/>
  <c r="I52" i="33"/>
  <c r="J52" i="33" s="1"/>
  <c r="O10" i="1"/>
  <c r="P10" i="1" s="1"/>
  <c r="H22" i="46"/>
  <c r="AB11" i="46"/>
  <c r="AE11" i="46"/>
  <c r="AE13" i="46" s="1"/>
  <c r="AJ11" i="46"/>
  <c r="AF11" i="46"/>
  <c r="Y11" i="46"/>
  <c r="Y13" i="46" s="1"/>
  <c r="AG11" i="46"/>
  <c r="AG13" i="46" s="1"/>
  <c r="AC11" i="46"/>
  <c r="AC13" i="46" s="1"/>
  <c r="E22" i="46"/>
  <c r="H101" i="46"/>
  <c r="M101" i="46"/>
  <c r="D101" i="46"/>
  <c r="I101" i="46"/>
  <c r="G22" i="46"/>
  <c r="AI11" i="46"/>
  <c r="AI13" i="46" s="1"/>
  <c r="Z11" i="46"/>
  <c r="Z13" i="46" s="1"/>
  <c r="N101" i="46"/>
  <c r="Z7" i="46"/>
  <c r="F22" i="46"/>
  <c r="N104" i="45"/>
  <c r="AA11" i="46"/>
  <c r="AA13" i="46" s="1"/>
  <c r="C23" i="46"/>
  <c r="C21" i="46" s="1"/>
  <c r="AH11" i="46"/>
  <c r="AD11" i="46"/>
  <c r="F101" i="46"/>
  <c r="K101" i="46"/>
  <c r="E101" i="46"/>
  <c r="L101" i="46"/>
  <c r="B113" i="46"/>
  <c r="J101" i="46"/>
  <c r="G101" i="46"/>
  <c r="C101" i="46"/>
  <c r="K33" i="9"/>
  <c r="K34" i="9" s="1"/>
  <c r="O41" i="9"/>
  <c r="R8" i="54" s="1"/>
  <c r="B54" i="63" s="1"/>
  <c r="H14" i="66"/>
  <c r="B7" i="66" s="1"/>
  <c r="AA7" i="21"/>
  <c r="AB7" i="21"/>
  <c r="F7" i="35"/>
  <c r="F31" i="6"/>
  <c r="O6" i="1"/>
  <c r="P6" i="1" s="1"/>
  <c r="C15" i="12" s="1"/>
  <c r="F109" i="46"/>
  <c r="R22" i="31"/>
  <c r="B21" i="31" s="1"/>
  <c r="B20" i="31"/>
  <c r="S36" i="37"/>
  <c r="AA36" i="37"/>
  <c r="W41" i="34"/>
  <c r="AC41" i="34"/>
  <c r="AC5" i="3"/>
  <c r="G494" i="3"/>
  <c r="AZ488" i="3"/>
  <c r="AZ520" i="3"/>
  <c r="AZ493" i="3"/>
  <c r="AZ505" i="3"/>
  <c r="AC25" i="35"/>
  <c r="W25" i="35"/>
  <c r="AC31" i="34"/>
  <c r="W31" i="34"/>
  <c r="U40" i="37"/>
  <c r="AB40" i="37"/>
  <c r="AC37" i="37"/>
  <c r="W37" i="37"/>
  <c r="W11" i="36"/>
  <c r="AC11" i="36"/>
  <c r="AC27" i="33"/>
  <c r="W27" i="33"/>
  <c r="AA45" i="21"/>
  <c r="S45" i="21"/>
  <c r="AB46" i="21"/>
  <c r="U46" i="21"/>
  <c r="AB28" i="21"/>
  <c r="U28" i="21"/>
  <c r="S44" i="34"/>
  <c r="AA44" i="34"/>
  <c r="AC33" i="36"/>
  <c r="W33" i="36"/>
  <c r="Q16" i="1"/>
  <c r="J7" i="36"/>
  <c r="H7" i="35"/>
  <c r="J7" i="35"/>
  <c r="H7" i="34"/>
  <c r="E13" i="6"/>
  <c r="E15" i="6"/>
  <c r="A17" i="51"/>
  <c r="B13" i="63" s="1"/>
  <c r="G6" i="1"/>
  <c r="G16" i="1" s="1"/>
  <c r="W34" i="39"/>
  <c r="U17" i="40"/>
  <c r="W37" i="40"/>
  <c r="S27" i="21"/>
  <c r="U27" i="21"/>
  <c r="AB13" i="34"/>
  <c r="AB28" i="37"/>
  <c r="U10" i="36"/>
  <c r="H60" i="46"/>
  <c r="H59" i="46"/>
  <c r="H7" i="33"/>
  <c r="F7" i="33"/>
  <c r="H66" i="46"/>
  <c r="H62" i="46"/>
  <c r="D5" i="46"/>
  <c r="AC21" i="39"/>
  <c r="W29" i="39"/>
  <c r="S27" i="39"/>
  <c r="W25" i="40"/>
  <c r="S15" i="40"/>
  <c r="U33" i="40"/>
  <c r="AA31" i="21"/>
  <c r="AB29" i="21"/>
  <c r="AB37" i="21"/>
  <c r="AA44" i="33"/>
  <c r="W10" i="33"/>
  <c r="AB15" i="33"/>
  <c r="W31" i="33"/>
  <c r="AB41" i="33"/>
  <c r="S13" i="34"/>
  <c r="AC40" i="34"/>
  <c r="AC35" i="34"/>
  <c r="AC11" i="37"/>
  <c r="AA35" i="35"/>
  <c r="W13" i="35"/>
  <c r="W20" i="35"/>
  <c r="AA27" i="36"/>
  <c r="AC25" i="36"/>
  <c r="F30" i="44"/>
  <c r="C30" i="44" s="1"/>
  <c r="M20" i="44"/>
  <c r="F70" i="9"/>
  <c r="AA34" i="33"/>
  <c r="W32" i="40"/>
  <c r="AB37" i="39"/>
  <c r="S33" i="40"/>
  <c r="AC14" i="40"/>
  <c r="F71" i="9"/>
  <c r="F66" i="9"/>
  <c r="P72" i="9" s="1"/>
  <c r="AZ491" i="3"/>
  <c r="AZ503" i="3"/>
  <c r="AZ506" i="3"/>
  <c r="AZ511" i="3"/>
  <c r="U25" i="35"/>
  <c r="AB28" i="33"/>
  <c r="S42" i="33"/>
  <c r="AZ299" i="3"/>
  <c r="AZ377" i="3"/>
  <c r="U31" i="37"/>
  <c r="AB44" i="33"/>
  <c r="AA10" i="35"/>
  <c r="S10" i="35"/>
  <c r="AZ492" i="3"/>
  <c r="AZ516" i="3"/>
  <c r="AZ544" i="3"/>
  <c r="AZ554" i="3"/>
  <c r="AZ558" i="3"/>
  <c r="AZ562" i="3"/>
  <c r="AZ487" i="3"/>
  <c r="AC13" i="36"/>
  <c r="S46" i="33"/>
  <c r="S46" i="21"/>
  <c r="W27" i="37"/>
  <c r="AC27" i="37"/>
  <c r="AA27" i="37"/>
  <c r="S27" i="37"/>
  <c r="U35" i="35"/>
  <c r="AB35" i="35"/>
  <c r="AC35" i="35"/>
  <c r="W35" i="35"/>
  <c r="AA45" i="34"/>
  <c r="S45" i="34"/>
  <c r="U45" i="34"/>
  <c r="AB45" i="34"/>
  <c r="AC46" i="33"/>
  <c r="W46" i="33"/>
  <c r="AC44" i="33"/>
  <c r="W44" i="33"/>
  <c r="W29" i="33"/>
  <c r="AC29" i="33"/>
  <c r="S27" i="33"/>
  <c r="AA27" i="33"/>
  <c r="U13" i="21"/>
  <c r="AB13" i="21"/>
  <c r="U14" i="21"/>
  <c r="AB14" i="21"/>
  <c r="W37" i="33"/>
  <c r="AC37" i="33"/>
  <c r="BL552" i="3"/>
  <c r="AZ552" i="3" s="1"/>
  <c r="BL542" i="3"/>
  <c r="AZ542" i="3" s="1"/>
  <c r="BL540" i="3"/>
  <c r="H5" i="3"/>
  <c r="AZ412" i="3"/>
  <c r="AZ419" i="3"/>
  <c r="AZ425" i="3"/>
  <c r="AZ429" i="3"/>
  <c r="AZ445" i="3"/>
  <c r="AZ448" i="3"/>
  <c r="AZ472" i="3"/>
  <c r="AZ206" i="3"/>
  <c r="AZ210" i="3"/>
  <c r="AB10" i="35"/>
  <c r="AB36" i="34"/>
  <c r="U32" i="33"/>
  <c r="AA43" i="21"/>
  <c r="AB16" i="35"/>
  <c r="S19" i="21"/>
  <c r="J30" i="21"/>
  <c r="F30" i="21"/>
  <c r="S22" i="35"/>
  <c r="AB30" i="36"/>
  <c r="W40" i="33"/>
  <c r="S38" i="33"/>
  <c r="U29" i="36"/>
  <c r="U9" i="21"/>
  <c r="AB27" i="35"/>
  <c r="W33" i="33"/>
  <c r="U33" i="33"/>
  <c r="W24" i="35"/>
  <c r="S34" i="35"/>
  <c r="H12" i="21"/>
  <c r="J9" i="36"/>
  <c r="H9" i="36"/>
  <c r="F9" i="36"/>
  <c r="J24" i="36"/>
  <c r="H24" i="36"/>
  <c r="G540" i="3"/>
  <c r="G516" i="3"/>
  <c r="G504" i="3"/>
  <c r="G496" i="3"/>
  <c r="O8" i="1"/>
  <c r="P8" i="1" s="1"/>
  <c r="AZ389" i="3"/>
  <c r="AZ404" i="3"/>
  <c r="AZ416" i="3"/>
  <c r="AZ421" i="3"/>
  <c r="AZ440" i="3"/>
  <c r="AZ464" i="3"/>
  <c r="AZ386" i="3"/>
  <c r="AZ218" i="3"/>
  <c r="AZ230" i="3"/>
  <c r="AZ234"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30" i="64"/>
  <c r="A30" i="51"/>
  <c r="B22" i="63" s="1"/>
  <c r="AZ52" i="3"/>
  <c r="AZ54" i="3"/>
  <c r="AZ58" i="3"/>
  <c r="AZ69" i="3"/>
  <c r="AZ80" i="3"/>
  <c r="AZ89" i="3"/>
  <c r="AZ100" i="3"/>
  <c r="AZ105" i="3"/>
  <c r="I21" i="57"/>
  <c r="D1" i="57" s="1"/>
  <c r="E10" i="57" s="1"/>
  <c r="D22" i="15"/>
  <c r="D23" i="15"/>
  <c r="D28" i="59"/>
  <c r="C29" i="59"/>
  <c r="F51" i="59"/>
  <c r="Q52" i="59"/>
  <c r="B54" i="46"/>
  <c r="C27" i="40"/>
  <c r="S27" i="40"/>
  <c r="S21" i="34"/>
  <c r="S18" i="35"/>
  <c r="T45" i="59"/>
  <c r="C41" i="59"/>
  <c r="C49" i="59"/>
  <c r="D56" i="59"/>
  <c r="D47" i="59"/>
  <c r="D39" i="59"/>
  <c r="AA13" i="59"/>
  <c r="X10" i="59"/>
  <c r="X14" i="59"/>
  <c r="B15" i="59"/>
  <c r="B16" i="59" s="1"/>
  <c r="B17" i="59" s="1"/>
  <c r="S17" i="59" s="1"/>
  <c r="X3" i="59"/>
  <c r="X11" i="59"/>
  <c r="X13" i="59"/>
  <c r="AA14" i="59"/>
  <c r="Y16" i="59"/>
  <c r="Z16" i="59" s="1"/>
  <c r="Y18" i="59"/>
  <c r="Z18" i="59" s="1"/>
  <c r="AB18" i="59"/>
  <c r="F19" i="59"/>
  <c r="F20" i="59" s="1"/>
  <c r="F21" i="59" s="1"/>
  <c r="V21" i="59" s="1"/>
  <c r="Y19" i="59"/>
  <c r="Z19" i="59" s="1"/>
  <c r="Y20" i="59"/>
  <c r="Z20" i="59" s="1"/>
  <c r="Y21" i="59"/>
  <c r="Z21" i="59" s="1"/>
  <c r="X22" i="59"/>
  <c r="B23" i="59"/>
  <c r="B24" i="59" s="1"/>
  <c r="B25" i="59" s="1"/>
  <c r="S25" i="59" s="1"/>
  <c r="AA22" i="59"/>
  <c r="E52" i="59"/>
  <c r="P53" i="59"/>
  <c r="U61" i="59"/>
  <c r="E60" i="59"/>
  <c r="E59" i="59" s="1"/>
  <c r="B12" i="59"/>
  <c r="B11" i="59" s="1"/>
  <c r="S13" i="59"/>
  <c r="N4" i="63"/>
  <c r="AF12" i="46"/>
  <c r="AF13" i="46" s="1"/>
  <c r="Y9" i="59"/>
  <c r="Z9" i="59" s="1"/>
  <c r="AB9" i="59"/>
  <c r="C51" i="59"/>
  <c r="D52" i="59"/>
  <c r="C15" i="59"/>
  <c r="Y14" i="59"/>
  <c r="Z14" i="59" s="1"/>
  <c r="AA15" i="59"/>
  <c r="AA10" i="59"/>
  <c r="AA12" i="59"/>
  <c r="AA18" i="59"/>
  <c r="E19" i="59"/>
  <c r="E20" i="59" s="1"/>
  <c r="E21" i="59" s="1"/>
  <c r="U21" i="59" s="1"/>
  <c r="C23" i="59"/>
  <c r="Y22" i="59"/>
  <c r="Z22" i="59" s="1"/>
  <c r="N53" i="59"/>
  <c r="B52" i="59"/>
  <c r="S53" i="59"/>
  <c r="V53" i="59"/>
  <c r="Q53" i="59"/>
  <c r="T61" i="59"/>
  <c r="D61" i="59"/>
  <c r="C13" i="59"/>
  <c r="Y10" i="59"/>
  <c r="Z10" i="59" s="1"/>
  <c r="Y11" i="59"/>
  <c r="Z11" i="59" s="1"/>
  <c r="Y12" i="59"/>
  <c r="Z12" i="59" s="1"/>
  <c r="Y13" i="59"/>
  <c r="Z13" i="59" s="1"/>
  <c r="Y3" i="59"/>
  <c r="Z3" i="59" s="1"/>
  <c r="F13" i="59"/>
  <c r="AB13" i="59"/>
  <c r="AB10" i="59"/>
  <c r="AB12" i="59"/>
  <c r="A28" i="64"/>
  <c r="AJ10" i="46"/>
  <c r="AJ12" i="46"/>
  <c r="AJ13" i="46" s="1"/>
  <c r="AH10" i="46"/>
  <c r="AH12" i="46"/>
  <c r="AH13" i="46" s="1"/>
  <c r="AD10" i="46"/>
  <c r="AD12" i="46"/>
  <c r="AB10" i="46"/>
  <c r="AB12" i="46"/>
  <c r="AB13" i="46" s="1"/>
  <c r="D9" i="59"/>
  <c r="C8" i="59"/>
  <c r="V9" i="59"/>
  <c r="F8" i="59"/>
  <c r="F7" i="59" s="1"/>
  <c r="F6" i="59" s="1"/>
  <c r="F5" i="59" s="1"/>
  <c r="Y8" i="59"/>
  <c r="Z8" i="59" s="1"/>
  <c r="Y7" i="59"/>
  <c r="Z7" i="59" s="1"/>
  <c r="AB8" i="59"/>
  <c r="Y6" i="59"/>
  <c r="Z6" i="59" s="1"/>
  <c r="AB6" i="59"/>
  <c r="X6" i="59"/>
  <c r="AA6" i="59"/>
  <c r="AB14" i="59"/>
  <c r="Y15" i="59"/>
  <c r="Z15" i="59" s="1"/>
  <c r="AB16" i="59"/>
  <c r="Y17" i="59"/>
  <c r="Z17" i="59" s="1"/>
  <c r="X18" i="59"/>
  <c r="AA19" i="59"/>
  <c r="X20" i="59"/>
  <c r="AA21" i="59"/>
  <c r="E12" i="59"/>
  <c r="E11" i="59" s="1"/>
  <c r="O76" i="9"/>
  <c r="K76" i="9"/>
  <c r="K77" i="9" s="1"/>
  <c r="K79" i="9" s="1"/>
  <c r="K81" i="9" s="1"/>
  <c r="X9" i="59"/>
  <c r="X8" i="59"/>
  <c r="AA8" i="59"/>
  <c r="AA9" i="59"/>
  <c r="AA7" i="59"/>
  <c r="X7" i="59"/>
  <c r="AB7" i="59"/>
  <c r="X5" i="59"/>
  <c r="AA5"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36" i="44"/>
  <c r="F63" i="15"/>
  <c r="F67" i="15"/>
  <c r="C4" i="65"/>
  <c r="B39" i="1" s="1"/>
  <c r="J22" i="44"/>
  <c r="Q72" i="15"/>
  <c r="I1" i="65"/>
  <c r="F64" i="15"/>
  <c r="C27" i="15"/>
  <c r="F65" i="15"/>
  <c r="F50" i="15"/>
  <c r="L59" i="15"/>
  <c r="L58" i="15"/>
  <c r="F49" i="15"/>
  <c r="M7" i="15"/>
  <c r="J6" i="15" s="1"/>
  <c r="F70" i="15"/>
  <c r="M9" i="44"/>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9" i="44"/>
  <c r="F58" i="15"/>
  <c r="F31" i="15"/>
  <c r="M17" i="15"/>
  <c r="M6" i="71"/>
  <c r="L48" i="44"/>
  <c r="J15" i="71"/>
  <c r="F26" i="71"/>
  <c r="M11" i="44"/>
  <c r="E2" i="65"/>
  <c r="M22" i="71"/>
  <c r="F9" i="71"/>
  <c r="F6" i="71"/>
  <c r="L48" i="71"/>
  <c r="F16" i="71"/>
  <c r="M23" i="71"/>
  <c r="M31" i="44"/>
  <c r="F39" i="44"/>
  <c r="M24" i="71"/>
  <c r="F36" i="71"/>
  <c r="F13" i="71"/>
  <c r="J36" i="71"/>
  <c r="M9" i="71"/>
  <c r="F40" i="71"/>
  <c r="F42" i="71"/>
  <c r="L49" i="44"/>
  <c r="C16" i="15"/>
  <c r="C18" i="44"/>
  <c r="C19" i="44"/>
  <c r="E3" i="65"/>
  <c r="F8" i="44"/>
  <c r="M28" i="71"/>
  <c r="F8" i="71"/>
  <c r="F37" i="71"/>
  <c r="M8" i="71"/>
  <c r="F38" i="71"/>
  <c r="F28" i="44"/>
  <c r="L47" i="71"/>
  <c r="F7" i="71"/>
  <c r="M26" i="71"/>
  <c r="M27" i="71"/>
  <c r="M26" i="44"/>
  <c r="F43" i="44"/>
  <c r="M25" i="44"/>
  <c r="M28" i="44"/>
  <c r="C27" i="71" l="1"/>
  <c r="F67" i="71"/>
  <c r="Q72" i="71"/>
  <c r="M7" i="71"/>
  <c r="J6" i="71" s="1"/>
  <c r="F49" i="71"/>
  <c r="F63" i="71"/>
  <c r="L59" i="71"/>
  <c r="L58" i="71"/>
  <c r="F65" i="71"/>
  <c r="F64" i="71"/>
  <c r="L56" i="71"/>
  <c r="L60" i="71"/>
  <c r="L57" i="71"/>
  <c r="J53" i="71"/>
  <c r="C6" i="71"/>
  <c r="F50" i="71"/>
  <c r="D21" i="59"/>
  <c r="T21" i="59"/>
  <c r="I54" i="71"/>
  <c r="J57" i="71"/>
  <c r="J55" i="71" s="1"/>
  <c r="J58" i="71" s="1"/>
  <c r="Q51" i="71" s="1"/>
  <c r="D36" i="59"/>
  <c r="C37" i="59"/>
  <c r="C28" i="71"/>
  <c r="F61" i="71"/>
  <c r="M11" i="71"/>
  <c r="J10" i="71" s="1"/>
  <c r="F11" i="71"/>
  <c r="U43" i="39"/>
  <c r="AB43" i="39"/>
  <c r="AB42" i="39"/>
  <c r="U42" i="39"/>
  <c r="AA42" i="39"/>
  <c r="S42" i="39"/>
  <c r="AC42" i="39"/>
  <c r="W42" i="39"/>
  <c r="AB27" i="39"/>
  <c r="U27" i="39"/>
  <c r="AC25" i="39"/>
  <c r="W25" i="39"/>
  <c r="K15" i="1"/>
  <c r="L19" i="6"/>
  <c r="L27" i="6" s="1"/>
  <c r="F7" i="37"/>
  <c r="AA7" i="37" s="1"/>
  <c r="R42" i="37" s="1"/>
  <c r="E70" i="39"/>
  <c r="D72" i="39"/>
  <c r="E28" i="6"/>
  <c r="E58" i="40"/>
  <c r="E63" i="39"/>
  <c r="E61" i="40"/>
  <c r="E66" i="39"/>
  <c r="K23" i="6"/>
  <c r="M23" i="6" s="1"/>
  <c r="I23" i="6" s="1"/>
  <c r="S23" i="6" s="1"/>
  <c r="K21" i="6"/>
  <c r="K26" i="6"/>
  <c r="M26" i="6" s="1"/>
  <c r="I26" i="6" s="1"/>
  <c r="S26" i="6" s="1"/>
  <c r="K24" i="6"/>
  <c r="M24" i="6" s="1"/>
  <c r="I24" i="6" s="1"/>
  <c r="S24" i="6" s="1"/>
  <c r="K22" i="6"/>
  <c r="M22" i="6" s="1"/>
  <c r="I22" i="6" s="1"/>
  <c r="S22" i="6" s="1"/>
  <c r="K25" i="6"/>
  <c r="M25" i="6" s="1"/>
  <c r="I25" i="6" s="1"/>
  <c r="S25" i="6" s="1"/>
  <c r="E30" i="6"/>
  <c r="E31" i="6" s="1"/>
  <c r="E64" i="39"/>
  <c r="E59" i="40"/>
  <c r="AD13" i="46"/>
  <c r="D67" i="40"/>
  <c r="E65" i="40"/>
  <c r="J7" i="34"/>
  <c r="AC7" i="34" s="1"/>
  <c r="V49" i="34" s="1"/>
  <c r="I49" i="34" s="1"/>
  <c r="H7" i="36"/>
  <c r="H7" i="37"/>
  <c r="AB7" i="37" s="1"/>
  <c r="T42" i="37" s="1"/>
  <c r="G42" i="37" s="1"/>
  <c r="F7" i="36"/>
  <c r="J7" i="37"/>
  <c r="W7" i="37" s="1"/>
  <c r="F7" i="34"/>
  <c r="C8" i="44"/>
  <c r="L59" i="44"/>
  <c r="Q75" i="44" s="1"/>
  <c r="L60" i="44"/>
  <c r="Q76" i="44" s="1"/>
  <c r="C29" i="44"/>
  <c r="Q73" i="44"/>
  <c r="J54" i="44"/>
  <c r="Q54" i="44" s="1"/>
  <c r="J58" i="44"/>
  <c r="J56" i="44" s="1"/>
  <c r="J59" i="44" s="1"/>
  <c r="Q52" i="44" s="1"/>
  <c r="J61" i="44"/>
  <c r="Q50" i="44" s="1"/>
  <c r="J60" i="44"/>
  <c r="I55" i="44"/>
  <c r="L57" i="44"/>
  <c r="J8" i="44"/>
  <c r="D23" i="59"/>
  <c r="C24" i="59"/>
  <c r="D41" i="59"/>
  <c r="T41" i="59"/>
  <c r="D29" i="59"/>
  <c r="T29" i="59"/>
  <c r="AB24" i="36"/>
  <c r="U24" i="36"/>
  <c r="AA9" i="36"/>
  <c r="S9" i="36"/>
  <c r="AC9" i="36"/>
  <c r="W9" i="36"/>
  <c r="W30" i="21"/>
  <c r="AC30" i="21"/>
  <c r="AZ540" i="3"/>
  <c r="AZ5" i="3" s="1"/>
  <c r="BL5" i="3"/>
  <c r="U7" i="33"/>
  <c r="AB7" i="33"/>
  <c r="T48" i="33" s="1"/>
  <c r="G48" i="33" s="1"/>
  <c r="E67" i="39"/>
  <c r="E62" i="40"/>
  <c r="W7" i="34"/>
  <c r="W7" i="35"/>
  <c r="AC7" i="35"/>
  <c r="V38" i="35" s="1"/>
  <c r="I38" i="35" s="1"/>
  <c r="AB7" i="36"/>
  <c r="T36" i="36" s="1"/>
  <c r="G36" i="36" s="1"/>
  <c r="U7" i="36"/>
  <c r="F33" i="12"/>
  <c r="C34" i="12" s="1"/>
  <c r="D33" i="12" s="1"/>
  <c r="F18" i="11"/>
  <c r="C18" i="11" s="1"/>
  <c r="F24" i="43"/>
  <c r="C26" i="43" s="1"/>
  <c r="D24" i="43" s="1"/>
  <c r="U7" i="37"/>
  <c r="AA7" i="35"/>
  <c r="R38" i="35" s="1"/>
  <c r="S7" i="35"/>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E104" i="46"/>
  <c r="E106" i="46"/>
  <c r="E105" i="46"/>
  <c r="E109" i="46"/>
  <c r="E103" i="46"/>
  <c r="E102" i="46"/>
  <c r="E107" i="46"/>
  <c r="F107" i="46"/>
  <c r="F105" i="46"/>
  <c r="F102" i="46"/>
  <c r="F106" i="46"/>
  <c r="F103" i="46"/>
  <c r="F104" i="46"/>
  <c r="N109" i="46"/>
  <c r="N105" i="46"/>
  <c r="N102" i="46"/>
  <c r="N107" i="46"/>
  <c r="N103" i="46"/>
  <c r="N106" i="46"/>
  <c r="N104" i="46"/>
  <c r="D102" i="46"/>
  <c r="D104" i="46"/>
  <c r="D109" i="46"/>
  <c r="D103" i="46"/>
  <c r="D105" i="46"/>
  <c r="D106" i="46"/>
  <c r="D107" i="46"/>
  <c r="H104" i="46"/>
  <c r="H105" i="46"/>
  <c r="H106" i="46"/>
  <c r="H109" i="46"/>
  <c r="H102" i="46"/>
  <c r="H103" i="46"/>
  <c r="H107" i="46"/>
  <c r="AA7" i="36"/>
  <c r="R36" i="36" s="1"/>
  <c r="S7" i="36"/>
  <c r="AC7" i="37"/>
  <c r="V42" i="37" s="1"/>
  <c r="I42" i="37" s="1"/>
  <c r="S7" i="34"/>
  <c r="AA7" i="34"/>
  <c r="R49" i="34" s="1"/>
  <c r="C7" i="59"/>
  <c r="D8" i="59"/>
  <c r="V13" i="59"/>
  <c r="F12" i="59"/>
  <c r="F11" i="59" s="1"/>
  <c r="T13" i="59"/>
  <c r="C12" i="59"/>
  <c r="D13" i="59"/>
  <c r="B51" i="59"/>
  <c r="N52" i="59"/>
  <c r="D15" i="59"/>
  <c r="C16" i="59"/>
  <c r="O51" i="59"/>
  <c r="O50" i="59"/>
  <c r="D51" i="59"/>
  <c r="E51" i="59"/>
  <c r="P52" i="59"/>
  <c r="D49" i="59"/>
  <c r="T49" i="59"/>
  <c r="Q51" i="59"/>
  <c r="Q50" i="59"/>
  <c r="W24" i="36"/>
  <c r="AC24" i="36"/>
  <c r="AB9" i="36"/>
  <c r="U9" i="36"/>
  <c r="AB12" i="21"/>
  <c r="U12" i="21"/>
  <c r="S30" i="21"/>
  <c r="AA30" i="21"/>
  <c r="S7" i="33"/>
  <c r="AA7" i="33"/>
  <c r="R48" i="33" s="1"/>
  <c r="H12" i="39"/>
  <c r="F12" i="39"/>
  <c r="J12" i="39"/>
  <c r="J12" i="40"/>
  <c r="H12" i="40"/>
  <c r="F12" i="40"/>
  <c r="E60" i="40"/>
  <c r="E65" i="39"/>
  <c r="U7" i="34"/>
  <c r="AB7" i="34"/>
  <c r="T49" i="34" s="1"/>
  <c r="G49" i="34" s="1"/>
  <c r="AB7" i="35"/>
  <c r="T38" i="35" s="1"/>
  <c r="G38" i="35" s="1"/>
  <c r="U7" i="35"/>
  <c r="AC7" i="36"/>
  <c r="V36" i="36" s="1"/>
  <c r="I36" i="36" s="1"/>
  <c r="W7" i="36"/>
  <c r="S7" i="37"/>
  <c r="C106" i="46"/>
  <c r="C105" i="46"/>
  <c r="C102" i="46"/>
  <c r="C104" i="46"/>
  <c r="C107" i="46"/>
  <c r="C109" i="46"/>
  <c r="C103" i="46"/>
  <c r="J104" i="46"/>
  <c r="J103" i="46"/>
  <c r="J105" i="46"/>
  <c r="J109" i="46"/>
  <c r="J102" i="46"/>
  <c r="J107" i="46"/>
  <c r="J106" i="46"/>
  <c r="L102" i="46"/>
  <c r="L105" i="46"/>
  <c r="L104" i="46"/>
  <c r="L106" i="46"/>
  <c r="L109" i="46"/>
  <c r="L107" i="46"/>
  <c r="L103" i="46"/>
  <c r="K109" i="46"/>
  <c r="K104" i="46"/>
  <c r="K105" i="46"/>
  <c r="K103" i="46"/>
  <c r="K107" i="46"/>
  <c r="K106" i="46"/>
  <c r="K102" i="46"/>
  <c r="I102" i="46"/>
  <c r="I109" i="46"/>
  <c r="I107" i="46"/>
  <c r="I104" i="46"/>
  <c r="I106" i="46"/>
  <c r="I105" i="46"/>
  <c r="I103" i="46"/>
  <c r="M104" i="46"/>
  <c r="M103" i="46"/>
  <c r="M105" i="46"/>
  <c r="M107" i="46"/>
  <c r="M109" i="46"/>
  <c r="M102" i="46"/>
  <c r="M106" i="46"/>
  <c r="D22" i="46"/>
  <c r="G5" i="3"/>
  <c r="B3" i="3" s="1"/>
  <c r="E16" i="6"/>
  <c r="C48" i="15"/>
  <c r="F17" i="11"/>
  <c r="C17" i="11" s="1"/>
  <c r="B40" i="1"/>
  <c r="F24" i="71" s="1"/>
  <c r="O17" i="46"/>
  <c r="P17" i="46"/>
  <c r="M17" i="46"/>
  <c r="N17" i="46"/>
  <c r="Q61" i="15"/>
  <c r="Q74" i="15"/>
  <c r="F13" i="44"/>
  <c r="C12" i="44" s="1"/>
  <c r="M11" i="15"/>
  <c r="J10" i="15" s="1"/>
  <c r="J5" i="15" s="1"/>
  <c r="F11" i="15"/>
  <c r="M13" i="44"/>
  <c r="J12" i="44" s="1"/>
  <c r="F1" i="15"/>
  <c r="Q53" i="15"/>
  <c r="Q75" i="15"/>
  <c r="Q62" i="15"/>
  <c r="AE6" i="1"/>
  <c r="F33" i="44"/>
  <c r="C16" i="71"/>
  <c r="AE7" i="1"/>
  <c r="J5" i="71" l="1"/>
  <c r="J24" i="71" s="1"/>
  <c r="Q53" i="71"/>
  <c r="F1" i="71"/>
  <c r="Q67" i="71"/>
  <c r="Q58" i="71"/>
  <c r="Q62" i="71"/>
  <c r="Q75" i="71"/>
  <c r="D37" i="59"/>
  <c r="T37" i="59"/>
  <c r="C48" i="71"/>
  <c r="Q61" i="71"/>
  <c r="Q74" i="71"/>
  <c r="C52" i="71"/>
  <c r="C10" i="71"/>
  <c r="C5" i="71" s="1"/>
  <c r="C24" i="71"/>
  <c r="L47" i="44"/>
  <c r="Q62" i="44"/>
  <c r="M21" i="6"/>
  <c r="I21" i="6" s="1"/>
  <c r="S21" i="6" s="1"/>
  <c r="S8" i="1"/>
  <c r="F1" i="44"/>
  <c r="E72" i="39"/>
  <c r="F70" i="39"/>
  <c r="C19" i="11"/>
  <c r="J7" i="44"/>
  <c r="J26" i="44" s="1"/>
  <c r="K20" i="6"/>
  <c r="K19" i="6"/>
  <c r="S6" i="1" s="1"/>
  <c r="K14" i="1"/>
  <c r="S6" i="46"/>
  <c r="S2" i="46"/>
  <c r="S3" i="46"/>
  <c r="S7" i="46"/>
  <c r="S4" i="46"/>
  <c r="S5" i="46"/>
  <c r="C7" i="44"/>
  <c r="C40" i="44" s="1"/>
  <c r="E67" i="40"/>
  <c r="F65" i="40"/>
  <c r="Q63" i="44"/>
  <c r="E3" i="6"/>
  <c r="C33" i="21" s="1"/>
  <c r="AY6" i="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29" i="3"/>
  <c r="E559" i="3"/>
  <c r="E176" i="3"/>
  <c r="E150" i="3"/>
  <c r="E256" i="3"/>
  <c r="E228" i="3"/>
  <c r="E314" i="3"/>
  <c r="E491" i="3"/>
  <c r="E324" i="3"/>
  <c r="E525" i="3"/>
  <c r="E502" i="3"/>
  <c r="E319" i="3"/>
  <c r="E334" i="3"/>
  <c r="K6" i="3"/>
  <c r="E489" i="3"/>
  <c r="E456" i="3"/>
  <c r="E325" i="3"/>
  <c r="E353" i="3"/>
  <c r="E286" i="3"/>
  <c r="E569" i="3"/>
  <c r="E396" i="3"/>
  <c r="E50" i="3"/>
  <c r="E183" i="3"/>
  <c r="AJ6" i="3"/>
  <c r="E216" i="3"/>
  <c r="E236" i="3"/>
  <c r="E320" i="3"/>
  <c r="E392" i="3"/>
  <c r="E474" i="3"/>
  <c r="E45" i="3"/>
  <c r="E15" i="3"/>
  <c r="E171" i="3"/>
  <c r="E284" i="3"/>
  <c r="E251" i="3"/>
  <c r="E360" i="3"/>
  <c r="E354" i="3"/>
  <c r="E42" i="3"/>
  <c r="E56" i="3"/>
  <c r="T6" i="3"/>
  <c r="E531" i="3"/>
  <c r="E181" i="3"/>
  <c r="E122" i="3"/>
  <c r="E144" i="3"/>
  <c r="E495" i="3"/>
  <c r="E269" i="3"/>
  <c r="E208" i="3"/>
  <c r="E219" i="3"/>
  <c r="E344" i="3"/>
  <c r="E338" i="3"/>
  <c r="E485" i="3"/>
  <c r="E506" i="3"/>
  <c r="E335" i="3"/>
  <c r="E483" i="3"/>
  <c r="E366" i="3"/>
  <c r="E518" i="3"/>
  <c r="E532" i="3"/>
  <c r="E497" i="3"/>
  <c r="E330" i="3"/>
  <c r="E167" i="3"/>
  <c r="E566" i="3"/>
  <c r="E350" i="3"/>
  <c r="E515" i="3"/>
  <c r="E521" i="3"/>
  <c r="E553" i="3"/>
  <c r="E130" i="3"/>
  <c r="E273" i="3"/>
  <c r="E352" i="3"/>
  <c r="E542" i="3"/>
  <c r="E461" i="3"/>
  <c r="E563" i="3"/>
  <c r="E138" i="3"/>
  <c r="E254" i="3"/>
  <c r="E328" i="3"/>
  <c r="E112" i="3"/>
  <c r="E519" i="3"/>
  <c r="E341" i="3"/>
  <c r="E155" i="3"/>
  <c r="E268" i="3"/>
  <c r="E252" i="3"/>
  <c r="E316" i="3"/>
  <c r="E346" i="3"/>
  <c r="E175" i="3"/>
  <c r="E318" i="3"/>
  <c r="E541" i="3"/>
  <c r="E565" i="3"/>
  <c r="E523" i="3"/>
  <c r="E557" i="3"/>
  <c r="E503" i="3"/>
  <c r="E297" i="3"/>
  <c r="M6" i="3"/>
  <c r="E475" i="3"/>
  <c r="E241" i="3"/>
  <c r="E114" i="3"/>
  <c r="E206" i="3"/>
  <c r="E446" i="3"/>
  <c r="E132" i="3"/>
  <c r="E152" i="3"/>
  <c r="E439" i="3"/>
  <c r="E394" i="3"/>
  <c r="E437" i="3"/>
  <c r="E459" i="3"/>
  <c r="E55" i="3"/>
  <c r="E117" i="3"/>
  <c r="E282" i="3"/>
  <c r="E221" i="3"/>
  <c r="E359" i="3"/>
  <c r="E457" i="3"/>
  <c r="E195" i="3"/>
  <c r="E31" i="3"/>
  <c r="E470" i="3"/>
  <c r="E409" i="3"/>
  <c r="E349" i="3"/>
  <c r="E36" i="3"/>
  <c r="E376" i="3"/>
  <c r="E149" i="3"/>
  <c r="E86" i="3"/>
  <c r="E561" i="3"/>
  <c r="E68" i="3"/>
  <c r="E192" i="3"/>
  <c r="E135" i="3"/>
  <c r="E421" i="3"/>
  <c r="E69" i="3"/>
  <c r="E147" i="3"/>
  <c r="E348" i="3"/>
  <c r="E22" i="3"/>
  <c r="E93" i="3"/>
  <c r="E333" i="3"/>
  <c r="E91" i="3"/>
  <c r="E46" i="3"/>
  <c r="E115" i="3"/>
  <c r="E231" i="3"/>
  <c r="E570" i="3"/>
  <c r="E528" i="3"/>
  <c r="E375" i="3"/>
  <c r="E391" i="3"/>
  <c r="X6" i="3"/>
  <c r="E321"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340" i="3"/>
  <c r="E362" i="3"/>
  <c r="E534" i="3"/>
  <c r="E546" i="3"/>
  <c r="E562" i="3"/>
  <c r="E13" i="3"/>
  <c r="E380" i="3"/>
  <c r="E373" i="3"/>
  <c r="E571" i="3"/>
  <c r="E526" i="3"/>
  <c r="E544" i="3"/>
  <c r="E554" i="3"/>
  <c r="G40" i="36"/>
  <c r="H40" i="36" s="1"/>
  <c r="G41" i="36"/>
  <c r="H41" i="36" s="1"/>
  <c r="E496" i="3"/>
  <c r="D24" i="59"/>
  <c r="C25" i="59"/>
  <c r="G53" i="34"/>
  <c r="H53" i="34" s="1"/>
  <c r="G54" i="34"/>
  <c r="H54" i="34" s="1"/>
  <c r="AA12" i="40"/>
  <c r="S12" i="40"/>
  <c r="W12" i="40"/>
  <c r="AC12" i="40"/>
  <c r="S12" i="39"/>
  <c r="AA12" i="39"/>
  <c r="R49" i="33"/>
  <c r="E48" i="33"/>
  <c r="E540" i="3"/>
  <c r="N51" i="59"/>
  <c r="N50" i="59"/>
  <c r="C11" i="59"/>
  <c r="D11" i="59" s="1"/>
  <c r="D12" i="59"/>
  <c r="E36" i="36"/>
  <c r="R37" i="36"/>
  <c r="E494" i="3"/>
  <c r="R43" i="37"/>
  <c r="E42" i="37"/>
  <c r="I40" i="36"/>
  <c r="J40" i="36" s="1"/>
  <c r="G42" i="35"/>
  <c r="H42" i="35" s="1"/>
  <c r="G43" i="35"/>
  <c r="H43" i="35" s="1"/>
  <c r="AB12" i="40"/>
  <c r="U12" i="40"/>
  <c r="AC12" i="39"/>
  <c r="W12" i="39"/>
  <c r="AB12" i="39"/>
  <c r="U12" i="39"/>
  <c r="E504" i="3"/>
  <c r="P51" i="59"/>
  <c r="P50" i="59"/>
  <c r="D16" i="59"/>
  <c r="C17" i="59"/>
  <c r="D7" i="59"/>
  <c r="C6" i="59"/>
  <c r="R50" i="34"/>
  <c r="E49" i="34"/>
  <c r="I46" i="37"/>
  <c r="J46" i="37" s="1"/>
  <c r="C115" i="46"/>
  <c r="D113" i="46" s="1"/>
  <c r="R39" i="35"/>
  <c r="E38" i="35"/>
  <c r="G47" i="37"/>
  <c r="H47" i="37" s="1"/>
  <c r="G46" i="37"/>
  <c r="H46" i="37" s="1"/>
  <c r="I42" i="35"/>
  <c r="J42" i="35" s="1"/>
  <c r="I43" i="35"/>
  <c r="J43" i="35" s="1"/>
  <c r="I53" i="34"/>
  <c r="J53" i="34" s="1"/>
  <c r="I54" i="34"/>
  <c r="J54" i="34" s="1"/>
  <c r="G52" i="33"/>
  <c r="H52" i="33" s="1"/>
  <c r="G53" i="33"/>
  <c r="H53" i="33" s="1"/>
  <c r="E516" i="3"/>
  <c r="F21" i="43"/>
  <c r="C23" i="43" s="1"/>
  <c r="D21" i="43" s="1"/>
  <c r="F24" i="15"/>
  <c r="C24" i="15" s="1"/>
  <c r="F26" i="44"/>
  <c r="C26" i="44" s="1"/>
  <c r="F26" i="12"/>
  <c r="C20" i="11"/>
  <c r="C21" i="11" s="1"/>
  <c r="C22" i="11" s="1"/>
  <c r="C23" i="11" s="1"/>
  <c r="B2" i="11" s="1"/>
  <c r="C52" i="15"/>
  <c r="C47" i="15" s="1"/>
  <c r="C10" i="15"/>
  <c r="C5" i="15" s="1"/>
  <c r="J26" i="15"/>
  <c r="J24" i="15"/>
  <c r="J18" i="15"/>
  <c r="C17" i="71"/>
  <c r="AE8" i="1"/>
  <c r="L52" i="44"/>
  <c r="F41" i="71"/>
  <c r="F41" i="15"/>
  <c r="J18" i="71" l="1"/>
  <c r="J26" i="71"/>
  <c r="J29" i="71" s="1"/>
  <c r="C47" i="71"/>
  <c r="C60" i="71" s="1"/>
  <c r="J28" i="44"/>
  <c r="J31" i="44" s="1"/>
  <c r="Q67" i="44" s="1"/>
  <c r="H33" i="21"/>
  <c r="J33" i="21"/>
  <c r="F33" i="21"/>
  <c r="F68" i="71"/>
  <c r="C38" i="71"/>
  <c r="C33" i="71"/>
  <c r="C32" i="71"/>
  <c r="M20" i="6"/>
  <c r="I20" i="6" s="1"/>
  <c r="S20" i="6" s="1"/>
  <c r="S7" i="1"/>
  <c r="S16" i="1" s="1"/>
  <c r="G70" i="39"/>
  <c r="F72" i="39"/>
  <c r="F68" i="15"/>
  <c r="J29" i="15"/>
  <c r="C34" i="44"/>
  <c r="J20" i="44"/>
  <c r="M19" i="6"/>
  <c r="K27" i="6"/>
  <c r="H6" i="3"/>
  <c r="AC6" i="3"/>
  <c r="M14" i="1"/>
  <c r="K16" i="1"/>
  <c r="G65" i="40"/>
  <c r="F67" i="40"/>
  <c r="C50" i="34"/>
  <c r="B3" i="34" s="1"/>
  <c r="B2" i="34" s="1"/>
  <c r="C49" i="34"/>
  <c r="E46" i="37"/>
  <c r="F46" i="37" s="1"/>
  <c r="E47" i="37"/>
  <c r="F47" i="37" s="1"/>
  <c r="E41" i="36"/>
  <c r="F41" i="36" s="1"/>
  <c r="E40" i="36"/>
  <c r="F40" i="36" s="1"/>
  <c r="E52" i="33"/>
  <c r="F52" i="33" s="1"/>
  <c r="E53" i="33"/>
  <c r="F53" i="33" s="1"/>
  <c r="I53" i="33"/>
  <c r="J53" i="33"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E42" i="35"/>
  <c r="F42" i="35" s="1"/>
  <c r="E43" i="35"/>
  <c r="F43" i="35" s="1"/>
  <c r="C38" i="35"/>
  <c r="C39" i="35"/>
  <c r="B3" i="35" s="1"/>
  <c r="B2" i="35" s="1"/>
  <c r="I47" i="37"/>
  <c r="J47" i="37" s="1"/>
  <c r="E54" i="34"/>
  <c r="F54" i="34" s="1"/>
  <c r="E53" i="34"/>
  <c r="F53" i="34" s="1"/>
  <c r="C5" i="59"/>
  <c r="D6" i="59"/>
  <c r="D17" i="59"/>
  <c r="T17" i="59"/>
  <c r="I41" i="36"/>
  <c r="J41" i="36" s="1"/>
  <c r="C42" i="37"/>
  <c r="C43" i="37"/>
  <c r="B3" i="37" s="1"/>
  <c r="B2" i="37" s="1"/>
  <c r="C36" i="36"/>
  <c r="C37" i="36"/>
  <c r="B3" i="36" s="1"/>
  <c r="B2" i="36" s="1"/>
  <c r="C49" i="33"/>
  <c r="B3" i="33" s="1"/>
  <c r="B2" i="33" s="1"/>
  <c r="C48" i="33"/>
  <c r="D25" i="59"/>
  <c r="T25" i="59"/>
  <c r="D16" i="43"/>
  <c r="C16" i="43" s="1"/>
  <c r="C21" i="4"/>
  <c r="O5" i="54" s="1"/>
  <c r="B45" i="63" s="1"/>
  <c r="D10" i="11"/>
  <c r="D16" i="12"/>
  <c r="E6" i="6"/>
  <c r="L38" i="9"/>
  <c r="B14" i="66" s="1"/>
  <c r="B1" i="66" s="1"/>
  <c r="D45" i="9"/>
  <c r="D46" i="9"/>
  <c r="Q69" i="44"/>
  <c r="L58" i="44"/>
  <c r="L61" i="44" s="1"/>
  <c r="C32" i="15"/>
  <c r="C38" i="15"/>
  <c r="B5" i="11"/>
  <c r="B3" i="11"/>
  <c r="B4" i="11"/>
  <c r="C59" i="15"/>
  <c r="C65" i="15"/>
  <c r="C27" i="12"/>
  <c r="D26" i="12" s="1"/>
  <c r="C32" i="12" s="1"/>
  <c r="D30" i="12" s="1"/>
  <c r="Q49" i="44"/>
  <c r="Q55" i="44" s="1"/>
  <c r="C17" i="15"/>
  <c r="C59" i="71" l="1"/>
  <c r="C65" i="71"/>
  <c r="Q58" i="44"/>
  <c r="W33" i="21"/>
  <c r="AC33" i="21"/>
  <c r="V48" i="21" s="1"/>
  <c r="I48" i="21" s="1"/>
  <c r="S33" i="21"/>
  <c r="AA33" i="21"/>
  <c r="R48" i="21" s="1"/>
  <c r="U33" i="21"/>
  <c r="AB33" i="21"/>
  <c r="T48" i="21" s="1"/>
  <c r="G48" i="21" s="1"/>
  <c r="E6" i="3"/>
  <c r="F40" i="39"/>
  <c r="J40" i="39"/>
  <c r="H40" i="39"/>
  <c r="H70" i="39"/>
  <c r="G72" i="39"/>
  <c r="T13" i="1"/>
  <c r="T7" i="1"/>
  <c r="T11" i="1"/>
  <c r="M16" i="1"/>
  <c r="N16" i="1" s="1"/>
  <c r="C29" i="43" s="1"/>
  <c r="T8" i="1"/>
  <c r="O14" i="1"/>
  <c r="O16" i="1" s="1"/>
  <c r="T9" i="1"/>
  <c r="T12" i="1"/>
  <c r="T10" i="1"/>
  <c r="T6" i="1"/>
  <c r="M27" i="6"/>
  <c r="I19" i="6"/>
  <c r="G67" i="40"/>
  <c r="H65" i="40"/>
  <c r="D13" i="11"/>
  <c r="C13" i="11" s="1"/>
  <c r="D22" i="12"/>
  <c r="C22" i="12" s="1"/>
  <c r="C20" i="12" s="1"/>
  <c r="C8" i="66"/>
  <c r="C7" i="66"/>
  <c r="D19" i="12"/>
  <c r="C19" i="12" s="1"/>
  <c r="C16" i="12"/>
  <c r="D5" i="59"/>
  <c r="M20" i="46" s="1"/>
  <c r="C19" i="46" s="1"/>
  <c r="E63" i="40"/>
  <c r="C22" i="4"/>
  <c r="D19" i="6"/>
  <c r="D21" i="6"/>
  <c r="D25" i="6"/>
  <c r="D10" i="6"/>
  <c r="D13" i="6"/>
  <c r="H21" i="6"/>
  <c r="H24" i="6"/>
  <c r="D6" i="6"/>
  <c r="D23" i="6"/>
  <c r="D14" i="6"/>
  <c r="D28" i="6"/>
  <c r="D20" i="6"/>
  <c r="D8" i="6"/>
  <c r="H23" i="6"/>
  <c r="H19" i="6"/>
  <c r="D24" i="6"/>
  <c r="D22" i="6"/>
  <c r="D12" i="6"/>
  <c r="H25" i="6"/>
  <c r="D5" i="6"/>
  <c r="H22" i="6"/>
  <c r="D15" i="6"/>
  <c r="E68" i="39"/>
  <c r="K38" i="9"/>
  <c r="C14" i="66" s="1"/>
  <c r="B2" i="66" s="1"/>
  <c r="D26" i="6"/>
  <c r="D11" i="6"/>
  <c r="H20" i="6"/>
  <c r="D9" i="6"/>
  <c r="D29" i="6"/>
  <c r="H26" i="6"/>
  <c r="F46" i="9"/>
  <c r="F45" i="9"/>
  <c r="E46" i="9"/>
  <c r="E45" i="9"/>
  <c r="Q68" i="44"/>
  <c r="Q77" i="44" s="1"/>
  <c r="Q59" i="44"/>
  <c r="C16" i="44"/>
  <c r="C14" i="15"/>
  <c r="C14" i="71"/>
  <c r="Q64" i="44" l="1"/>
  <c r="G53" i="21"/>
  <c r="H53" i="21" s="1"/>
  <c r="G52" i="21"/>
  <c r="H52" i="21" s="1"/>
  <c r="R49" i="21"/>
  <c r="E48" i="21"/>
  <c r="I52" i="21"/>
  <c r="J52" i="21" s="1"/>
  <c r="I53" i="21"/>
  <c r="J53" i="21" s="1"/>
  <c r="C18" i="71"/>
  <c r="C15" i="71"/>
  <c r="P14" i="1"/>
  <c r="P16" i="1" s="1"/>
  <c r="C13" i="12" s="1"/>
  <c r="C17" i="12" s="1"/>
  <c r="R24" i="6"/>
  <c r="AC40" i="39"/>
  <c r="W40" i="39"/>
  <c r="AB40" i="39"/>
  <c r="U40" i="39"/>
  <c r="AA40" i="39"/>
  <c r="S40" i="39"/>
  <c r="I70" i="39"/>
  <c r="H72" i="39"/>
  <c r="H27" i="6"/>
  <c r="C20" i="44"/>
  <c r="C17" i="44"/>
  <c r="C15" i="15"/>
  <c r="C18" i="15"/>
  <c r="D16" i="6"/>
  <c r="D30" i="6"/>
  <c r="I27" i="6"/>
  <c r="S19" i="6"/>
  <c r="S27" i="6" s="1"/>
  <c r="T16" i="1"/>
  <c r="L16" i="1"/>
  <c r="C13" i="43"/>
  <c r="R23" i="6"/>
  <c r="R26" i="6"/>
  <c r="I65" i="40"/>
  <c r="H67"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D8" i="66"/>
  <c r="D7" i="66"/>
  <c r="R20" i="6"/>
  <c r="R7" i="1" s="1"/>
  <c r="R21" i="6"/>
  <c r="R8" i="1" s="1"/>
  <c r="A6" i="51"/>
  <c r="B7" i="63" s="1"/>
  <c r="A20" i="64"/>
  <c r="A20" i="51"/>
  <c r="B15" i="63" s="1"/>
  <c r="N5" i="54"/>
  <c r="B43" i="63" s="1"/>
  <c r="A6" i="64"/>
  <c r="R22" i="6"/>
  <c r="R25" i="6"/>
  <c r="R19" i="6"/>
  <c r="D27" i="6"/>
  <c r="F35" i="71"/>
  <c r="M21" i="71"/>
  <c r="D31" i="6" l="1"/>
  <c r="I6" i="6" s="1"/>
  <c r="F62" i="71"/>
  <c r="C61" i="71" s="1"/>
  <c r="C58" i="71" s="1"/>
  <c r="C34" i="71"/>
  <c r="C31" i="71" s="1"/>
  <c r="J20" i="71"/>
  <c r="E53" i="21"/>
  <c r="F53" i="21" s="1"/>
  <c r="E52" i="21"/>
  <c r="F52" i="21" s="1"/>
  <c r="C48" i="21"/>
  <c r="C49" i="21"/>
  <c r="B3" i="21" s="1"/>
  <c r="C19" i="71"/>
  <c r="C20" i="71" s="1"/>
  <c r="C26" i="71" s="1"/>
  <c r="C14" i="12"/>
  <c r="C18" i="12" s="1"/>
  <c r="C23" i="12" s="1"/>
  <c r="I72" i="39"/>
  <c r="J70" i="39"/>
  <c r="C21" i="44"/>
  <c r="C22" i="44" s="1"/>
  <c r="C25" i="44" s="1"/>
  <c r="C19" i="15"/>
  <c r="C20" i="15" s="1"/>
  <c r="C26" i="15" s="1"/>
  <c r="R27" i="6"/>
  <c r="R6" i="1"/>
  <c r="C17" i="43"/>
  <c r="C14" i="43"/>
  <c r="J65" i="40"/>
  <c r="I67" i="40"/>
  <c r="E34" i="46"/>
  <c r="G34" i="46"/>
  <c r="I34" i="46" s="1"/>
  <c r="G39" i="46"/>
  <c r="I39" i="46" s="1"/>
  <c r="E39" i="46"/>
  <c r="G36" i="46"/>
  <c r="I36" i="46" s="1"/>
  <c r="E36" i="46"/>
  <c r="E33" i="46"/>
  <c r="G33" i="46"/>
  <c r="I33" i="46" s="1"/>
  <c r="I5" i="6"/>
  <c r="E38" i="46"/>
  <c r="G38" i="46"/>
  <c r="I38" i="46" s="1"/>
  <c r="G37" i="46"/>
  <c r="I37" i="46" s="1"/>
  <c r="E37" i="46"/>
  <c r="E29" i="46"/>
  <c r="C30" i="46"/>
  <c r="E30" i="46" s="1"/>
  <c r="E35" i="46"/>
  <c r="G35" i="46"/>
  <c r="I35" i="46" s="1"/>
  <c r="M21" i="15"/>
  <c r="F7" i="67"/>
  <c r="F35" i="15"/>
  <c r="C8" i="12" l="1"/>
  <c r="B2" i="21"/>
  <c r="C10" i="12" s="1"/>
  <c r="C23" i="71"/>
  <c r="C29" i="71" s="1"/>
  <c r="J20" i="15"/>
  <c r="F62" i="15"/>
  <c r="C61" i="15" s="1"/>
  <c r="C34" i="15"/>
  <c r="R16" i="1"/>
  <c r="J72" i="39"/>
  <c r="K70" i="39"/>
  <c r="C18" i="43"/>
  <c r="C19" i="43" s="1"/>
  <c r="C25" i="43" s="1"/>
  <c r="C24" i="43" s="1"/>
  <c r="C28" i="44"/>
  <c r="C31" i="44" s="1"/>
  <c r="C23" i="15"/>
  <c r="C29" i="15" s="1"/>
  <c r="C36" i="15" s="1"/>
  <c r="J67" i="40"/>
  <c r="K65" i="40"/>
  <c r="E4" i="67"/>
  <c r="C27" i="46"/>
  <c r="C26" i="46"/>
  <c r="E7" i="67"/>
  <c r="Q50" i="71" l="1"/>
  <c r="C56" i="71"/>
  <c r="C63" i="71" s="1"/>
  <c r="J14" i="71"/>
  <c r="C36" i="71"/>
  <c r="J19" i="71"/>
  <c r="J17" i="71" s="1"/>
  <c r="J59" i="71"/>
  <c r="J60" i="71" s="1"/>
  <c r="Q49" i="71" s="1"/>
  <c r="C13" i="71"/>
  <c r="L70" i="39"/>
  <c r="K72" i="39"/>
  <c r="J19" i="15"/>
  <c r="J17" i="15" s="1"/>
  <c r="C33" i="15"/>
  <c r="C31" i="15" s="1"/>
  <c r="Q50" i="15"/>
  <c r="C56" i="15"/>
  <c r="C60" i="15" s="1"/>
  <c r="C58" i="15" s="1"/>
  <c r="Q51" i="44"/>
  <c r="J21" i="44"/>
  <c r="J19" i="44" s="1"/>
  <c r="J16" i="44"/>
  <c r="J24" i="44" s="1"/>
  <c r="C13" i="15"/>
  <c r="C37" i="15" s="1"/>
  <c r="C30" i="15" s="1"/>
  <c r="C39" i="15" s="1"/>
  <c r="J14" i="15"/>
  <c r="J22" i="15" s="1"/>
  <c r="J59" i="15"/>
  <c r="J60" i="15" s="1"/>
  <c r="C35" i="44"/>
  <c r="C33" i="44" s="1"/>
  <c r="C15" i="44"/>
  <c r="Q72" i="44" s="1"/>
  <c r="C38" i="44"/>
  <c r="C22" i="43"/>
  <c r="C21" i="43" s="1"/>
  <c r="C28" i="43" s="1"/>
  <c r="C30" i="43" s="1"/>
  <c r="C32" i="43" s="1"/>
  <c r="B2" i="43" s="1"/>
  <c r="K67" i="40"/>
  <c r="L65" i="40"/>
  <c r="E3" i="67"/>
  <c r="B2" i="46"/>
  <c r="B7" i="67"/>
  <c r="L51" i="15"/>
  <c r="C37" i="71" l="1"/>
  <c r="C30" i="71" s="1"/>
  <c r="C39" i="71" s="1"/>
  <c r="Q71" i="71"/>
  <c r="J35" i="71"/>
  <c r="C55" i="71"/>
  <c r="C64" i="71" s="1"/>
  <c r="C57" i="71" s="1"/>
  <c r="C66" i="71" s="1"/>
  <c r="C67" i="71" s="1"/>
  <c r="J22" i="71"/>
  <c r="J13" i="71"/>
  <c r="J23" i="71" s="1"/>
  <c r="L72" i="39"/>
  <c r="M70" i="39"/>
  <c r="C63" i="15"/>
  <c r="Q49" i="15"/>
  <c r="J35" i="15"/>
  <c r="J39" i="15" s="1"/>
  <c r="J40" i="15" s="1"/>
  <c r="C55" i="15"/>
  <c r="C64" i="15" s="1"/>
  <c r="C39" i="44"/>
  <c r="C32" i="44" s="1"/>
  <c r="C42" i="44" s="1"/>
  <c r="Q71" i="44" s="1"/>
  <c r="Q70" i="44" s="1"/>
  <c r="Q71" i="15"/>
  <c r="C43" i="44"/>
  <c r="J13" i="15"/>
  <c r="J23" i="15" s="1"/>
  <c r="J16" i="15" s="1"/>
  <c r="J25" i="15" s="1"/>
  <c r="J15" i="44"/>
  <c r="J25" i="44" s="1"/>
  <c r="J18" i="44" s="1"/>
  <c r="J27" i="44" s="1"/>
  <c r="L57" i="15"/>
  <c r="L60" i="15" s="1"/>
  <c r="L46" i="15" s="1"/>
  <c r="Q68" i="15"/>
  <c r="C40" i="15"/>
  <c r="Q70" i="15"/>
  <c r="B4" i="43"/>
  <c r="B3" i="43"/>
  <c r="B5" i="43"/>
  <c r="L67" i="40"/>
  <c r="M65" i="40"/>
  <c r="B2" i="67"/>
  <c r="D4" i="46"/>
  <c r="B3" i="46"/>
  <c r="B4" i="46"/>
  <c r="L51" i="71"/>
  <c r="Q68" i="71" l="1"/>
  <c r="C70" i="71"/>
  <c r="Q70" i="71"/>
  <c r="Q69" i="71" s="1"/>
  <c r="C40" i="71"/>
  <c r="J16" i="71"/>
  <c r="J25" i="71" s="1"/>
  <c r="J39" i="71"/>
  <c r="J40" i="71" s="1"/>
  <c r="M72" i="39"/>
  <c r="F9" i="39" s="1"/>
  <c r="AA9" i="39" s="1"/>
  <c r="R49" i="39" s="1"/>
  <c r="N70" i="39"/>
  <c r="N72" i="39" s="1"/>
  <c r="H9" i="39" s="1"/>
  <c r="C57" i="15"/>
  <c r="C66" i="15" s="1"/>
  <c r="C67" i="15" s="1"/>
  <c r="C70" i="15" s="1"/>
  <c r="Q69" i="15"/>
  <c r="C44" i="44"/>
  <c r="C45" i="44" s="1"/>
  <c r="B2" i="44" s="1"/>
  <c r="B3" i="44" s="1"/>
  <c r="Q48" i="15"/>
  <c r="Q54" i="15" s="1"/>
  <c r="B2" i="15"/>
  <c r="D10" i="12" s="1"/>
  <c r="Q66" i="15"/>
  <c r="C43" i="15"/>
  <c r="Q57" i="15"/>
  <c r="J42" i="15"/>
  <c r="J43" i="15" s="1"/>
  <c r="Q67" i="15"/>
  <c r="Q58" i="15"/>
  <c r="N65" i="40"/>
  <c r="N67" i="40" s="1"/>
  <c r="M67" i="40"/>
  <c r="B3" i="67"/>
  <c r="B4" i="67"/>
  <c r="Q66" i="71" l="1"/>
  <c r="Q76" i="71" s="1"/>
  <c r="Q48" i="71"/>
  <c r="Q54" i="71" s="1"/>
  <c r="B2" i="71"/>
  <c r="Q57" i="71"/>
  <c r="Q63" i="71" s="1"/>
  <c r="C43" i="71"/>
  <c r="J42" i="71"/>
  <c r="J43" i="71" s="1"/>
  <c r="C46" i="71"/>
  <c r="S9" i="39"/>
  <c r="AB9" i="39"/>
  <c r="T49" i="39" s="1"/>
  <c r="G49" i="39" s="1"/>
  <c r="G53" i="39" s="1"/>
  <c r="H53" i="39" s="1"/>
  <c r="U9" i="39"/>
  <c r="J9" i="39"/>
  <c r="B3" i="15"/>
  <c r="D8" i="12" s="1"/>
  <c r="Q76" i="15"/>
  <c r="B4" i="44"/>
  <c r="C46" i="15"/>
  <c r="B5" i="44"/>
  <c r="Q63" i="15"/>
  <c r="J9" i="40"/>
  <c r="H9" i="40"/>
  <c r="F9" i="40"/>
  <c r="E49" i="39"/>
  <c r="E10" i="12" l="1"/>
  <c r="C6" i="12" s="1"/>
  <c r="C29" i="12" s="1"/>
  <c r="B3" i="71"/>
  <c r="W9" i="39"/>
  <c r="AC9" i="39"/>
  <c r="V49" i="39" s="1"/>
  <c r="I49" i="39" s="1"/>
  <c r="S9" i="40"/>
  <c r="AA9" i="40"/>
  <c r="R44" i="40" s="1"/>
  <c r="E54" i="39"/>
  <c r="F54" i="39" s="1"/>
  <c r="E53" i="39"/>
  <c r="F53" i="39" s="1"/>
  <c r="U9" i="40"/>
  <c r="AB9" i="40"/>
  <c r="T44" i="40" s="1"/>
  <c r="G44" i="40" s="1"/>
  <c r="W9" i="40"/>
  <c r="AC9" i="40"/>
  <c r="V44" i="40" s="1"/>
  <c r="I44" i="40" s="1"/>
  <c r="C24" i="12" l="1"/>
  <c r="C35" i="12" s="1"/>
  <c r="C33" i="12" s="1"/>
  <c r="R50" i="39"/>
  <c r="I53" i="39"/>
  <c r="J53" i="39" s="1"/>
  <c r="G54" i="39"/>
  <c r="H54" i="39" s="1"/>
  <c r="I54" i="39"/>
  <c r="J54" i="39" s="1"/>
  <c r="I48" i="40"/>
  <c r="J48" i="40" s="1"/>
  <c r="G49" i="40"/>
  <c r="H49" i="40" s="1"/>
  <c r="G48" i="40"/>
  <c r="H48" i="40" s="1"/>
  <c r="R45" i="40"/>
  <c r="E44" i="40"/>
  <c r="I49" i="40" s="1"/>
  <c r="J49" i="40" s="1"/>
  <c r="C28" i="12" l="1"/>
  <c r="C26" i="12" s="1"/>
  <c r="C31" i="12" s="1"/>
  <c r="C30" i="12" s="1"/>
  <c r="C36" i="12" s="1"/>
  <c r="B2" i="12" s="1"/>
  <c r="C49" i="39"/>
  <c r="C50" i="39"/>
  <c r="C44" i="40"/>
  <c r="C45" i="40"/>
  <c r="E49" i="40"/>
  <c r="F49" i="40" s="1"/>
  <c r="E48" i="40"/>
  <c r="F48" i="40" s="1"/>
  <c r="D19" i="9"/>
  <c r="B65" i="39" l="1"/>
  <c r="F65" i="39" s="1"/>
  <c r="B63" i="39"/>
  <c r="F63" i="39" s="1"/>
  <c r="B64" i="39"/>
  <c r="F64" i="39" s="1"/>
  <c r="B58" i="39"/>
  <c r="F58" i="39" s="1"/>
  <c r="B59" i="39"/>
  <c r="F59" i="39" s="1"/>
  <c r="B60" i="39"/>
  <c r="F60" i="39" s="1"/>
  <c r="B62" i="39"/>
  <c r="F62" i="39" s="1"/>
  <c r="B66" i="39"/>
  <c r="F66" i="39" s="1"/>
  <c r="B61" i="39"/>
  <c r="F61" i="39" s="1"/>
  <c r="B67" i="39"/>
  <c r="F67" i="39" s="1"/>
  <c r="L44" i="9"/>
  <c r="B5" i="12"/>
  <c r="B3" i="12"/>
  <c r="B4" i="12"/>
  <c r="B60" i="40"/>
  <c r="F60" i="40" s="1"/>
  <c r="B54" i="40"/>
  <c r="F54" i="40" s="1"/>
  <c r="B55" i="40"/>
  <c r="F55" i="40" s="1"/>
  <c r="B62" i="40"/>
  <c r="F62" i="40" s="1"/>
  <c r="B53" i="40"/>
  <c r="F53" i="40" s="1"/>
  <c r="B57" i="40"/>
  <c r="F57" i="40" s="1"/>
  <c r="F63" i="40"/>
  <c r="B2" i="40" s="1"/>
  <c r="B56" i="40"/>
  <c r="F56" i="40" s="1"/>
  <c r="B61" i="40"/>
  <c r="F61" i="40" s="1"/>
  <c r="B58" i="40"/>
  <c r="F58" i="40" s="1"/>
  <c r="B59" i="40"/>
  <c r="F59" i="40" s="1"/>
  <c r="D20" i="9"/>
  <c r="D21" i="9"/>
  <c r="F68" i="39" l="1"/>
  <c r="B2" i="39" s="1"/>
  <c r="B3" i="40"/>
  <c r="B4" i="40"/>
  <c r="B5" i="40"/>
  <c r="C19" i="9"/>
  <c r="G19" i="9" l="1"/>
  <c r="K20" i="9" s="1"/>
  <c r="L43" i="9"/>
  <c r="D22" i="9"/>
  <c r="B3" i="39"/>
  <c r="B4" i="39"/>
  <c r="B5" i="39"/>
  <c r="C20" i="9"/>
  <c r="C21" i="9"/>
  <c r="G20" i="9" l="1"/>
  <c r="G21" i="9"/>
  <c r="N43" i="9"/>
  <c r="G22" i="9"/>
  <c r="C32" i="9"/>
  <c r="C33" i="9" l="1"/>
  <c r="O43" i="9"/>
  <c r="O38" i="9"/>
  <c r="C34" i="9"/>
  <c r="C35" i="9"/>
  <c r="F42" i="9" s="1"/>
  <c r="C42" i="9"/>
  <c r="C44" i="9" l="1"/>
  <c r="N68" i="9"/>
  <c r="D63" i="9"/>
  <c r="R5" i="54"/>
  <c r="B48" i="63" s="1"/>
  <c r="D14" i="66"/>
  <c r="M38" i="9"/>
  <c r="K27" i="9" s="1"/>
  <c r="E42" i="9"/>
  <c r="P5" i="54" s="1"/>
  <c r="B46" i="63" s="1"/>
  <c r="K25" i="9"/>
  <c r="K26" i="9"/>
  <c r="D42" i="9"/>
  <c r="Q5" i="54" s="1"/>
  <c r="B47" i="63" s="1"/>
  <c r="N38" i="9"/>
  <c r="K28" i="9" s="1"/>
  <c r="B5" i="66" l="1"/>
  <c r="E14" i="66"/>
  <c r="F14" i="66"/>
  <c r="C96" i="9"/>
  <c r="C91" i="9" s="1"/>
  <c r="C103" i="9"/>
  <c r="D70" i="9"/>
  <c r="C82" i="9"/>
  <c r="C81" i="9" s="1"/>
  <c r="C85" i="9" s="1"/>
  <c r="C86" i="9" s="1"/>
  <c r="D72" i="9" s="1"/>
  <c r="D77" i="9"/>
  <c r="N75" i="9" s="1"/>
  <c r="C111" i="9"/>
  <c r="C104" i="9" s="1"/>
  <c r="D71" i="9"/>
  <c r="D66" i="9" s="1"/>
  <c r="N72" i="9" s="1"/>
  <c r="C90" i="9"/>
  <c r="O39" i="9"/>
  <c r="N69" i="9"/>
  <c r="F44" i="9"/>
  <c r="D44" i="9"/>
  <c r="G14" i="66"/>
  <c r="B6" i="66" s="1"/>
  <c r="E44" i="9"/>
  <c r="C97" i="9" l="1"/>
  <c r="C98" i="9" s="1"/>
  <c r="E98" i="9" s="1"/>
  <c r="E99" i="9" s="1"/>
  <c r="C6" i="66"/>
  <c r="D6" i="66"/>
  <c r="K29" i="9"/>
  <c r="K30" i="9" s="1"/>
  <c r="R6" i="54"/>
  <c r="B50" i="63" s="1"/>
  <c r="M84" i="9"/>
  <c r="N84" i="9" s="1"/>
  <c r="M86" i="9"/>
  <c r="N86" i="9" s="1"/>
  <c r="M87" i="9"/>
  <c r="N87" i="9" s="1"/>
  <c r="M88" i="9"/>
  <c r="N88" i="9" s="1"/>
  <c r="M83" i="9"/>
  <c r="N83" i="9" s="1"/>
  <c r="M85" i="9"/>
  <c r="N85" i="9" s="1"/>
  <c r="C113" i="9"/>
  <c r="C5" i="66"/>
  <c r="D5" i="66"/>
  <c r="N89" i="9" l="1"/>
  <c r="O89" i="9" s="1"/>
  <c r="C114" i="9"/>
  <c r="E114" i="9" s="1"/>
  <c r="E115" i="9" s="1"/>
  <c r="C99" i="9"/>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<sst xmlns="http://schemas.openxmlformats.org/spreadsheetml/2006/main" count="8029" uniqueCount="3397">
  <si>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</si>
  <si>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</si>
  <si>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</si>
  <si>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</si>
  <si>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</si>
  <si>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</si>
  <si>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</si>
  <si>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</si>
  <si>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</si>
  <si>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</si>
  <si>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</si>
  <si>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</si>
  <si>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</si>
  <si>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</si>
  <si>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</si>
  <si>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</si>
  <si>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</si>
  <si>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</si>
  <si>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</si>
  <si>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</si>
  <si>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</si>
  <si>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</si>
  <si>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</si>
  <si>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</si>
  <si>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</si>
  <si>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</si>
  <si>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</si>
  <si>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</si>
  <si>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</si>
  <si>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</si>
  <si>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</si>
  <si>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</si>
  <si>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</si>
  <si>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</si>
  <si>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</si>
  <si>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</si>
  <si>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</si>
  <si>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</si>
  <si>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</si>
  <si>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</si>
  <si>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</si>
  <si>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</si>
  <si>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</si>
  <si>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</si>
  <si>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</si>
  <si>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</si>
  <si>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</si>
  <si>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</si>
  <si>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</si>
  <si>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</si>
  <si>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</si>
  <si>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</si>
  <si>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</si>
  <si>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</si>
  <si>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</si>
  <si>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</si>
  <si>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</si>
  <si>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</si>
  <si>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</si>
  <si>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</si>
  <si>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</si>
  <si>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</si>
  <si>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</si>
  <si>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</si>
  <si>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</si>
  <si>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</si>
  <si>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</si>
  <si>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</si>
  <si>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</si>
  <si>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</si>
  <si>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</si>
  <si>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</si>
  <si>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</si>
  <si>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</si>
  <si>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</si>
  <si>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</si>
  <si>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</si>
  <si>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</si>
  <si>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</si>
  <si>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</si>
  <si>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</si>
  <si>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</si>
  <si>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</si>
  <si>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</si>
  <si>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</si>
  <si>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</si>
  <si>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</si>
  <si>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</si>
  <si>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</si>
  <si>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</si>
  <si>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</si>
  <si>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</si>
  <si>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</si>
  <si>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</si>
  <si>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</si>
  <si>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</si>
  <si>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</si>
  <si>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</si>
  <si>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</si>
  <si>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</si>
  <si>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</si>
  <si>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</si>
  <si>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</si>
  <si>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</si>
  <si>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</si>
  <si>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</si>
  <si>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</si>
  <si>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</si>
  <si>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</si>
  <si>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</si>
  <si>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</si>
  <si>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</si>
  <si>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</si>
  <si>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</si>
  <si>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</si>
  <si>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</si>
  <si>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</si>
  <si>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</si>
  <si>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</si>
  <si>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</si>
  <si>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</si>
  <si>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</si>
  <si>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</si>
  <si>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</si>
  <si>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</si>
  <si>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</si>
  <si>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</si>
  <si>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</si>
  <si>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</si>
  <si>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</si>
  <si>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</si>
  <si>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</si>
  <si>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</si>
  <si>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</si>
  <si>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</si>
  <si>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</si>
  <si>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</si>
  <si>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</si>
  <si>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</si>
  <si>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</si>
  <si>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</si>
  <si>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</si>
  <si>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</si>
  <si>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</si>
  <si>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</si>
  <si>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</si>
  <si>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</si>
  <si>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</si>
  <si>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</si>
  <si>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</si>
  <si>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</si>
  <si>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</si>
  <si>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</si>
  <si>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</si>
  <si>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</si>
  <si>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</si>
  <si>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</si>
  <si>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</si>
  <si>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</si>
  <si>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</si>
  <si>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</si>
  <si>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</si>
  <si>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</si>
  <si>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</si>
  <si>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</si>
  <si>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</si>
  <si>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</si>
  <si>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</si>
  <si>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</si>
  <si>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</si>
  <si>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</si>
  <si>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</si>
  <si>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</si>
  <si>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</si>
  <si>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</si>
  <si>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</si>
  <si>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</si>
  <si>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</si>
  <si>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</si>
  <si>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</si>
  <si>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</si>
  <si>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</si>
  <si>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</si>
  <si>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</si>
  <si>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</si>
  <si>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</si>
  <si>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</si>
  <si>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</si>
  <si>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</si>
  <si>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</si>
  <si>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</si>
  <si>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</si>
  <si>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</si>
  <si>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</si>
  <si>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</si>
  <si>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</si>
  <si>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</si>
  <si>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</si>
  <si>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</si>
  <si>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</si>
  <si>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</si>
  <si>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</si>
  <si>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</si>
  <si>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</si>
  <si>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</si>
  <si>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</si>
  <si>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</si>
  <si>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</si>
  <si>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</si>
  <si>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</si>
  <si>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</si>
  <si>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</si>
  <si>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</si>
  <si>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</si>
  <si>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</si>
  <si>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</si>
  <si>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</si>
  <si>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</si>
  <si>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</si>
  <si>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</si>
  <si>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</si>
  <si>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</si>
  <si>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</si>
  <si>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</si>
  <si>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</si>
  <si>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</si>
  <si>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</si>
  <si>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</si>
  <si>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</si>
  <si>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</si>
  <si>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</si>
  <si>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</si>
  <si>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</si>
  <si>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</si>
  <si>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</si>
  <si>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</si>
  <si>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</si>
  <si>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</si>
  <si>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</si>
  <si>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</si>
  <si>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</si>
  <si>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</si>
  <si>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</si>
  <si>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</si>
  <si>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</si>
  <si>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</si>
  <si>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</si>
  <si>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</si>
  <si>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</si>
  <si>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</si>
  <si>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</si>
  <si>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</si>
  <si>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</si>
  <si>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</si>
  <si>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</si>
  <si>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</si>
  <si>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</si>
  <si>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</si>
  <si>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</si>
  <si>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</si>
  <si>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</si>
  <si>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</si>
  <si>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</si>
  <si>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</si>
  <si>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</si>
  <si>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</si>
  <si>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</si>
  <si>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</si>
  <si>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</si>
  <si>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</si>
  <si>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</si>
  <si>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</si>
  <si>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</si>
  <si>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</si>
  <si>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</si>
  <si>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</si>
  <si>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</si>
  <si>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</si>
  <si>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</si>
  <si>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</si>
  <si>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</si>
  <si>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</si>
  <si>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</si>
  <si>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</si>
  <si>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</si>
  <si>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</si>
  <si>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</si>
  <si>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</si>
  <si>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</si>
  <si>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</si>
  <si>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</si>
  <si>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</si>
  <si>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</si>
  <si>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</si>
  <si>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</si>
  <si>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</si>
  <si>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</si>
  <si>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</si>
  <si>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</si>
  <si>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</si>
  <si>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</si>
  <si>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</si>
  <si>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</si>
  <si>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</si>
  <si>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</si>
  <si>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</si>
  <si>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</si>
  <si>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</si>
  <si>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</si>
  <si>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</si>
  <si>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</si>
  <si>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</si>
  <si>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</si>
  <si>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</si>
  <si>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</si>
  <si>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</si>
  <si>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</si>
  <si>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</si>
  <si>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</si>
  <si>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</si>
  <si>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</si>
  <si>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</si>
  <si>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</si>
  <si>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</si>
  <si>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</si>
  <si>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</si>
  <si>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</si>
  <si>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</si>
  <si>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</si>
  <si>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</si>
  <si>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</si>
  <si>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</si>
  <si>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</si>
  <si>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</si>
  <si>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</si>
  <si>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</si>
  <si>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</si>
  <si>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</si>
  <si>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</si>
  <si>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</si>
  <si>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</si>
  <si>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</si>
  <si>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</si>
  <si>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</si>
  <si>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</si>
  <si>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</si>
  <si>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</si>
  <si>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</si>
  <si>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</si>
  <si>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</si>
  <si>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</si>
  <si>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</si>
  <si>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</si>
  <si>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</si>
  <si>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</si>
  <si>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</si>
  <si>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</si>
  <si>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</si>
  <si>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</si>
  <si>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</si>
  <si>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</si>
  <si>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</si>
  <si>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</si>
  <si>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</si>
  <si>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</si>
  <si>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</si>
  <si>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</si>
  <si>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</si>
  <si>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</si>
  <si>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</si>
  <si>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</si>
  <si>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</si>
  <si>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</si>
  <si>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</si>
  <si>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</si>
  <si>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</si>
  <si>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</si>
  <si>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</si>
  <si>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</si>
  <si>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</si>
  <si>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</si>
  <si>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</si>
  <si>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</si>
  <si>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</si>
  <si>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</si>
  <si>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</si>
  <si>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</si>
  <si>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</si>
  <si>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</si>
  <si>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</si>
  <si>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</si>
  <si>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</si>
  <si>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</si>
  <si>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</si>
  <si>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</si>
  <si>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</si>
  <si>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</si>
  <si>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</si>
  <si>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</si>
  <si>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</si>
  <si>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</si>
  <si>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</si>
  <si>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</si>
  <si>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</si>
  <si>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</si>
  <si>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</si>
  <si>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</si>
  <si>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</si>
  <si>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</si>
  <si>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</si>
  <si>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</si>
  <si>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</si>
  <si>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</si>
  <si>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</si>
  <si>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</si>
  <si>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</si>
  <si>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</si>
  <si>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</si>
  <si>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</si>
  <si>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</si>
  <si>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</si>
  <si>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</si>
  <si>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</si>
  <si>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</si>
  <si>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</si>
  <si>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</si>
  <si>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</si>
  <si>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</si>
  <si>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</si>
  <si>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</si>
  <si>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</si>
  <si>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</si>
  <si>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</si>
  <si>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</si>
  <si>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</si>
  <si>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</si>
  <si>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</si>
  <si>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</si>
  <si>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</si>
  <si>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</si>
  <si>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</si>
  <si>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</si>
  <si>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</si>
  <si>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</si>
  <si>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</si>
  <si>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</si>
  <si>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</si>
  <si>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</si>
  <si>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</si>
  <si>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</si>
  <si>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</si>
  <si>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</si>
  <si>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</si>
  <si>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</si>
  <si>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</si>
  <si>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</si>
  <si>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</si>
  <si>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</si>
  <si>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</si>
  <si>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</si>
  <si>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</si>
  <si>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</si>
  <si>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</si>
  <si>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</si>
  <si>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</si>
  <si>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</si>
  <si>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</si>
  <si>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</si>
  <si>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</si>
  <si>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</si>
  <si>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</si>
  <si>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</si>
  <si>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</si>
  <si>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</si>
  <si>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</si>
  <si>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</si>
  <si>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</si>
  <si>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</si>
  <si>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</si>
  <si>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</si>
  <si>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</si>
  <si>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</si>
  <si>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</si>
  <si>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</si>
  <si>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</si>
  <si>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</si>
  <si>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</si>
  <si>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</si>
  <si>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</si>
  <si>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</si>
  <si>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</si>
  <si>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</si>
  <si>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</si>
  <si>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</si>
  <si>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</si>
  <si>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</si>
  <si>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</si>
  <si>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</si>
  <si>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</si>
  <si>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</si>
  <si>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</si>
  <si>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</si>
  <si>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</si>
  <si>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</si>
  <si>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</si>
  <si>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</si>
  <si>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</si>
  <si>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</si>
  <si>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</si>
  <si>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</si>
  <si>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</si>
  <si>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</si>
  <si>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</si>
  <si>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</si>
  <si>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</si>
  <si>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</si>
  <si>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</si>
  <si>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</si>
  <si>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</si>
  <si>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</si>
  <si>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</si>
  <si>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</si>
  <si>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</si>
  <si>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</si>
  <si>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</si>
  <si>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</si>
  <si>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</si>
  <si>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</si>
  <si>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</si>
  <si>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</si>
  <si>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</si>
  <si>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</si>
  <si>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</si>
  <si>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</si>
  <si>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</si>
  <si>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</si>
  <si>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</si>
  <si>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</si>
  <si>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</si>
  <si>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</si>
  <si>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</si>
  <si>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</si>
  <si>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</si>
  <si>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</si>
  <si>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</si>
  <si>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</si>
  <si>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</si>
  <si>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</si>
  <si>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</si>
  <si>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</si>
  <si>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</si>
  <si>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</si>
  <si>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</si>
  <si>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</si>
  <si>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</si>
  <si>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</si>
  <si>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</si>
  <si>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</si>
  <si>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</si>
  <si>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</si>
  <si>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</si>
  <si>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</si>
  <si>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</si>
  <si>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</si>
  <si>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</si>
  <si>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</si>
  <si>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</si>
  <si>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</si>
  <si>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</si>
  <si>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</si>
  <si>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</si>
  <si>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</si>
  <si>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</si>
  <si>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</si>
  <si>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</si>
  <si>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</si>
  <si>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</si>
  <si>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</si>
  <si>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</si>
  <si>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</si>
  <si>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</si>
  <si>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</si>
  <si>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</si>
  <si>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</si>
  <si>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</si>
  <si>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</si>
  <si>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</si>
  <si>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</si>
  <si>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</si>
  <si>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</si>
  <si>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</si>
  <si>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</si>
  <si>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</si>
  <si>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</si>
  <si>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</si>
  <si>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</si>
  <si>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</si>
  <si>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</si>
  <si>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</si>
  <si>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</si>
  <si>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</si>
  <si>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</si>
  <si>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</si>
  <si>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</si>
  <si>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</si>
  <si>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</si>
  <si>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</si>
  <si>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</si>
  <si>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</si>
  <si>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</si>
  <si>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</si>
  <si>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</si>
  <si>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</si>
  <si>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</si>
  <si>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</si>
  <si>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</si>
  <si>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</si>
  <si>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</si>
  <si>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</si>
  <si>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</si>
  <si>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</si>
  <si>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</si>
  <si>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</si>
  <si>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</si>
  <si>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</si>
  <si>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</si>
  <si>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</si>
  <si>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</si>
  <si>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</si>
  <si>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</si>
  <si>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</si>
  <si>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</si>
  <si>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</si>
  <si>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</si>
  <si>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</si>
  <si>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</si>
  <si>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</si>
  <si>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</si>
  <si>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</si>
  <si>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</si>
  <si>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</si>
  <si>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</si>
  <si>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</si>
  <si>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</si>
  <si>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</si>
  <si>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</si>
  <si>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</si>
  <si>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</si>
  <si>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</si>
  <si>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</si>
  <si>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</si>
  <si>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</si>
  <si>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</si>
  <si>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</si>
  <si>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</si>
  <si>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</si>
  <si>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</si>
  <si>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</si>
  <si>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</si>
  <si>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</si>
  <si>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</si>
  <si>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</si>
  <si>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</si>
  <si>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</si>
  <si>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</si>
  <si>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</si>
  <si>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</si>
  <si>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</si>
  <si>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</si>
  <si>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</si>
  <si>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</si>
  <si>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</si>
  <si>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</si>
  <si>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</si>
  <si>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</si>
  <si>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</si>
  <si>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</si>
  <si>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</si>
  <si>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</si>
  <si>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</si>
  <si>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</si>
  <si>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</si>
  <si>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</si>
  <si>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</si>
  <si>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</si>
  <si>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</si>
  <si>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</si>
  <si>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</si>
  <si>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</si>
  <si>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</si>
  <si>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</si>
  <si>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</si>
  <si>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</si>
  <si>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</si>
  <si>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</si>
  <si>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</si>
  <si>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</si>
  <si>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</si>
  <si>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</si>
  <si>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</si>
  <si>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</si>
  <si>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</si>
  <si>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</si>
  <si>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</si>
  <si>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</si>
  <si>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</si>
  <si>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</si>
  <si>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</si>
  <si>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</si>
  <si>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</si>
  <si>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</si>
  <si>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</si>
  <si>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</si>
  <si>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</si>
  <si>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</si>
  <si>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</si>
  <si>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</si>
  <si>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</si>
  <si>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</si>
  <si>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</si>
  <si>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</si>
  <si>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</si>
  <si>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</si>
  <si>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</si>
  <si>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</si>
  <si>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</si>
  <si>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</si>
  <si>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</si>
  <si>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</si>
  <si>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</si>
  <si>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</si>
  <si>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</si>
  <si>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</si>
  <si>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</si>
  <si>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</si>
  <si>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</si>
  <si>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</si>
  <si>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</si>
  <si>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</si>
  <si>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</si>
  <si>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</si>
  <si>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</si>
  <si>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</si>
  <si>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</si>
  <si>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</si>
  <si>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</si>
  <si>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</si>
  <si>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</si>
  <si>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</si>
  <si>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</si>
  <si>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</si>
  <si>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</si>
  <si>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</si>
  <si>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</si>
  <si>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</si>
  <si>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</si>
  <si>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</si>
  <si>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</si>
  <si>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</si>
  <si>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</si>
  <si>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</si>
  <si>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</si>
  <si>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</si>
  <si>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</si>
  <si>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</si>
  <si>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</si>
  <si>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</si>
  <si>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</si>
  <si>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</si>
  <si>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</si>
  <si>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</si>
  <si>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</si>
  <si>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</si>
  <si>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</si>
  <si>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</si>
  <si>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</si>
  <si>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</si>
  <si>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</si>
  <si>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</si>
  <si>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</si>
  <si>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</si>
  <si>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</si>
  <si>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</si>
  <si>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</si>
  <si>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</si>
  <si>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</si>
  <si>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</si>
  <si>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</si>
  <si>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</si>
  <si>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</si>
  <si>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</si>
  <si>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</si>
  <si>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</si>
  <si>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</si>
  <si>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</si>
  <si>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</si>
  <si>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</si>
  <si>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</si>
  <si>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</si>
  <si>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</si>
  <si>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</si>
  <si>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</si>
  <si>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</si>
  <si>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</si>
  <si>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</si>
  <si>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</si>
  <si>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</si>
  <si>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</si>
  <si>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</si>
  <si>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</si>
  <si>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</si>
  <si>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</si>
  <si>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</si>
  <si>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</si>
  <si>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</si>
  <si>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</si>
  <si>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</si>
  <si>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</si>
  <si>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</si>
  <si>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</si>
  <si>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</si>
  <si>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</si>
  <si>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</si>
  <si>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</si>
  <si>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</si>
  <si>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</si>
  <si>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</si>
  <si>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</si>
  <si>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</si>
  <si>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</si>
  <si>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</si>
  <si>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</si>
  <si>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</si>
  <si>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</si>
  <si>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</si>
  <si>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</si>
  <si>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</si>
  <si>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</si>
  <si>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</si>
  <si>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</si>
  <si>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</si>
  <si>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</si>
  <si>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</si>
  <si>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</si>
  <si>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</si>
  <si>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</si>
  <si>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</si>
  <si>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</si>
  <si>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</si>
  <si>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</si>
  <si>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</si>
  <si>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</si>
  <si>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</si>
  <si>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</si>
  <si>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</si>
  <si>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</si>
  <si>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</si>
  <si>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</si>
  <si>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</si>
  <si>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</si>
  <si>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</si>
  <si>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</si>
  <si>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</si>
  <si>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</si>
  <si>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</si>
  <si>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</si>
  <si>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</si>
  <si>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</si>
  <si>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</si>
  <si>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</si>
  <si>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</si>
  <si>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</si>
  <si>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</si>
  <si>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</si>
  <si>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</si>
  <si>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</si>
  <si>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</si>
  <si>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</si>
  <si>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</si>
  <si>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</si>
  <si>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</si>
  <si>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</si>
  <si>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</si>
  <si>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</si>
  <si>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</si>
  <si>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</si>
  <si>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</si>
  <si>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</si>
  <si>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</si>
  <si>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</si>
  <si>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</si>
  <si>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</si>
  <si>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</si>
  <si>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</si>
  <si>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</si>
  <si>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</si>
  <si>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</si>
  <si>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</si>
  <si>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</si>
  <si>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</si>
  <si>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</si>
  <si>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</si>
  <si>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</si>
  <si>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</si>
  <si>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</si>
  <si>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</si>
  <si>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</si>
  <si>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</si>
  <si>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</si>
  <si>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</si>
  <si>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</si>
  <si>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</si>
  <si>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</si>
  <si>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</si>
  <si>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</si>
  <si>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</si>
  <si>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</si>
  <si>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</si>
  <si>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</si>
  <si>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</si>
  <si>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</si>
  <si>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</si>
  <si>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</si>
  <si>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</si>
  <si>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</si>
  <si>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</si>
  <si>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</si>
  <si>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</si>
  <si>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</si>
  <si>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</si>
  <si>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</si>
  <si>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</si>
  <si>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</si>
  <si>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</si>
  <si>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</si>
  <si>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</si>
  <si>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</si>
  <si>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</si>
  <si>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</si>
  <si>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</si>
  <si>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</si>
  <si>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</si>
  <si>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</si>
  <si>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</si>
  <si>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</si>
  <si>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</si>
  <si>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</si>
  <si>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</si>
  <si>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</si>
  <si>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</si>
  <si>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</si>
  <si>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</si>
  <si>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</si>
  <si>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</si>
  <si>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</si>
  <si>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</si>
  <si>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</si>
  <si>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</si>
  <si>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</si>
  <si>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</si>
  <si>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</si>
  <si>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</si>
  <si>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</si>
  <si>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</si>
  <si>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</si>
  <si>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</si>
  <si>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</si>
  <si>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</si>
  <si>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</si>
  <si>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</si>
  <si>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</si>
  <si>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</si>
  <si>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</si>
  <si>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</si>
  <si>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</si>
  <si>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</si>
  <si>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</si>
  <si>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</si>
  <si>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</si>
  <si>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</si>
  <si>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</si>
  <si>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</si>
  <si>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</si>
  <si>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</si>
  <si>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</si>
  <si>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</si>
  <si>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</si>
  <si>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</si>
  <si>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</si>
  <si>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</si>
  <si>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</si>
  <si>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</si>
  <si>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</si>
  <si>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</si>
  <si>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</si>
  <si>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</si>
  <si>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</si>
  <si>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</si>
  <si>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</si>
  <si>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</si>
  <si>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</si>
  <si>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</si>
  <si>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</si>
  <si>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</si>
  <si>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</si>
  <si>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</si>
  <si>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</si>
  <si>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</si>
  <si>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</si>
  <si>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</si>
  <si>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</si>
  <si>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</si>
  <si>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</si>
  <si>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</si>
  <si>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</si>
  <si>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</si>
  <si>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</si>
  <si>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</si>
  <si>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</si>
  <si>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</si>
  <si>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</si>
  <si>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</si>
  <si>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</si>
  <si>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</si>
  <si>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</si>
  <si>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</si>
  <si>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</si>
  <si>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</si>
  <si>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</si>
  <si>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</si>
  <si>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</si>
  <si>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</si>
  <si>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</si>
  <si>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</si>
  <si>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</si>
  <si>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</si>
  <si>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</si>
  <si>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</si>
  <si>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</si>
  <si>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</si>
  <si>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</si>
  <si>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</si>
  <si>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</si>
  <si>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</si>
  <si>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</si>
  <si>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</si>
  <si>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</si>
  <si>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</si>
  <si>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</si>
  <si>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</si>
  <si>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</si>
  <si>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</si>
  <si>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</si>
  <si>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</si>
  <si>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</si>
  <si>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</si>
  <si>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</si>
  <si>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</si>
  <si>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</si>
  <si>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</si>
  <si>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</si>
  <si>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</si>
  <si>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</si>
  <si>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</si>
  <si>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</si>
  <si>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</si>
  <si>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</si>
  <si>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</si>
  <si>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</si>
  <si>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</si>
  <si>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</si>
  <si>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</si>
  <si>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</si>
  <si>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</si>
  <si>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</si>
  <si>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</si>
  <si>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</si>
  <si>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</si>
  <si>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</si>
  <si>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</si>
  <si>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</si>
  <si>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</si>
  <si>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</si>
  <si>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</si>
  <si>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</si>
  <si>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</si>
  <si>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</si>
  <si>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</si>
  <si>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</si>
  <si>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</si>
  <si>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</si>
  <si>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</si>
  <si>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</si>
  <si>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</si>
  <si>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</si>
  <si>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</si>
  <si>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</si>
  <si>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</si>
  <si>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</si>
  <si>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</si>
  <si>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</si>
  <si>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</si>
  <si>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</si>
  <si>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</si>
  <si>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</si>
  <si>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</si>
  <si>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</si>
  <si>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</si>
  <si>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</si>
  <si>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</si>
  <si>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</si>
  <si>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</si>
  <si>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</si>
  <si>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</si>
  <si>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</si>
  <si>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</si>
  <si>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</si>
  <si>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</si>
  <si>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</si>
  <si>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</si>
  <si>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</si>
  <si>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</si>
  <si>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</si>
  <si>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</si>
  <si>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</si>
  <si>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</si>
  <si>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</si>
  <si>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</si>
  <si>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</si>
  <si>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</si>
  <si>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</si>
  <si>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</si>
  <si>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</si>
  <si>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</si>
  <si>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</si>
  <si>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</si>
  <si>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</si>
  <si>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</si>
  <si>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</si>
  <si>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</si>
  <si>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</si>
  <si>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</si>
  <si>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</si>
  <si>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</si>
  <si>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</si>
  <si>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</si>
  <si>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</si>
  <si>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</si>
  <si>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</si>
  <si>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</si>
  <si>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</si>
  <si>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</si>
  <si>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</si>
  <si>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</si>
  <si>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</si>
  <si>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</si>
  <si>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</si>
  <si>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</si>
  <si>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</si>
  <si>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</si>
  <si>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</si>
  <si>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</si>
  <si>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</si>
  <si>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</si>
  <si>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</si>
  <si>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</si>
  <si>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</si>
  <si>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</si>
  <si>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</si>
  <si>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</si>
  <si>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</si>
  <si>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</si>
  <si>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</si>
  <si>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</si>
  <si>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</si>
  <si>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</si>
  <si>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</si>
  <si>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</si>
  <si>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</si>
  <si>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</si>
  <si>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</si>
  <si>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</si>
  <si>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</si>
  <si>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</si>
  <si>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</si>
  <si>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</si>
  <si>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</si>
  <si>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</si>
  <si>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</si>
  <si>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</si>
  <si>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</si>
  <si>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</si>
  <si>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</si>
  <si>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</si>
  <si>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</si>
  <si>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</si>
  <si>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</si>
  <si>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</si>
  <si>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</si>
  <si>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</si>
  <si>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</si>
  <si>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</si>
  <si>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</si>
  <si>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</si>
  <si>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</si>
  <si>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</si>
  <si>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</si>
  <si>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</si>
  <si>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</si>
  <si>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</si>
  <si>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</si>
  <si>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</si>
  <si>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</si>
  <si>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</si>
  <si>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</si>
  <si>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</si>
  <si>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</si>
  <si>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</si>
  <si>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</si>
  <si>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</si>
  <si>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</si>
  <si>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</si>
  <si>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</si>
  <si>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</si>
  <si>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</si>
  <si>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</si>
  <si>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</si>
  <si>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</si>
  <si>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</si>
  <si>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</si>
  <si>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</si>
  <si>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</si>
  <si>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</si>
  <si>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</si>
  <si>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</si>
  <si>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</si>
  <si>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</si>
  <si>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</si>
  <si>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</si>
  <si>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</si>
  <si>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</si>
  <si>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</si>
  <si>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</si>
  <si>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</si>
  <si>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</si>
  <si>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</si>
  <si>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</si>
  <si>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</si>
  <si>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</si>
  <si>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</si>
  <si>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</si>
  <si>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</si>
  <si>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</si>
  <si>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</si>
  <si>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</si>
  <si>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</si>
  <si>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</si>
  <si>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</si>
  <si>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</si>
  <si>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</si>
  <si>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</si>
  <si>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</si>
  <si>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</si>
  <si>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</si>
  <si>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</si>
  <si>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</si>
  <si>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</si>
  <si>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</si>
  <si>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</si>
  <si>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</si>
  <si>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</si>
  <si>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</si>
  <si>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</si>
  <si>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</si>
  <si>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</si>
  <si>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</si>
  <si>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</si>
  <si>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</si>
  <si>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</si>
  <si>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</si>
  <si>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</si>
  <si>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</si>
  <si>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</si>
  <si>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</si>
  <si>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</si>
  <si>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</si>
  <si>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</si>
  <si>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</si>
  <si>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</si>
  <si>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</si>
  <si>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</si>
  <si>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</si>
  <si>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</si>
  <si>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</si>
  <si>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</si>
  <si>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</si>
  <si>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</si>
  <si>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</si>
  <si>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</si>
  <si>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</si>
  <si>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</si>
  <si>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</si>
  <si>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</si>
  <si>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</si>
  <si>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</si>
  <si>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</si>
  <si>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</si>
  <si>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</si>
  <si>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</si>
  <si>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</si>
  <si>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</si>
  <si>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</si>
  <si>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</si>
  <si>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</si>
  <si>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</si>
  <si>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</si>
  <si>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</si>
  <si>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</si>
  <si>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</si>
  <si>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</si>
  <si>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</si>
  <si>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</si>
  <si>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</si>
  <si>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</si>
  <si>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</si>
  <si>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</si>
  <si>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</si>
  <si>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</si>
  <si>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</si>
  <si>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</si>
  <si>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</si>
  <si>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</si>
  <si>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</si>
  <si>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</si>
  <si>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</si>
  <si>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</si>
  <si>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</si>
  <si>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</si>
  <si>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</si>
  <si>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</si>
  <si>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</si>
  <si>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</si>
  <si>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</si>
  <si>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</si>
  <si>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</si>
  <si>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</si>
  <si>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</si>
  <si>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</si>
  <si>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</si>
  <si>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</si>
  <si>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</si>
  <si>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</si>
  <si>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</si>
  <si>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</si>
  <si>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</si>
  <si>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</si>
  <si>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</si>
  <si>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</si>
  <si>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</si>
  <si>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</si>
  <si>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</si>
  <si>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</si>
  <si>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</si>
  <si>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</si>
  <si>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</si>
  <si>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</si>
  <si>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</si>
  <si>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</si>
  <si>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</si>
  <si>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</si>
  <si>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</si>
  <si>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</si>
  <si>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</si>
  <si>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</si>
  <si>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</si>
  <si>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</si>
  <si>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</si>
  <si>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</si>
  <si>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</si>
  <si>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</si>
  <si>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</si>
  <si>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</si>
  <si>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</si>
  <si>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</si>
  <si>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</si>
  <si>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</si>
  <si>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</si>
  <si>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</si>
  <si>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</si>
  <si>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</si>
  <si>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</si>
  <si>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</si>
  <si>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</si>
  <si>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</si>
  <si>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</si>
  <si>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</si>
  <si>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</si>
  <si>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</si>
  <si>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</si>
  <si>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</si>
  <si>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</si>
  <si>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</si>
  <si>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</si>
  <si>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</si>
  <si>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</si>
  <si>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</si>
  <si>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</si>
  <si>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</si>
  <si>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</si>
  <si>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</si>
  <si>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</si>
  <si>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</si>
  <si>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</si>
  <si>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</si>
  <si>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</si>
  <si>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</si>
  <si>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</si>
  <si>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</si>
  <si>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</si>
  <si>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</si>
  <si>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</si>
  <si>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</si>
  <si>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</si>
  <si>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</si>
  <si>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</si>
  <si>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</si>
  <si>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</si>
  <si>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</si>
  <si>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</si>
  <si>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</si>
  <si>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</si>
  <si>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</si>
  <si>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</si>
  <si>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</si>
  <si>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</si>
  <si>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</si>
  <si>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</si>
  <si>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</si>
  <si>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</si>
  <si>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</si>
  <si>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</si>
  <si>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</si>
  <si>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</si>
  <si>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</si>
  <si>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</si>
  <si>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</si>
  <si>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</si>
  <si>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</si>
  <si>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</si>
  <si>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</si>
  <si>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</si>
  <si>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</si>
  <si>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</si>
  <si>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</si>
  <si>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</si>
  <si>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</si>
  <si>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</si>
  <si>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</si>
  <si>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</si>
  <si>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</si>
  <si>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</si>
  <si>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</si>
  <si>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</si>
  <si>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</si>
  <si>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</si>
  <si>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</si>
  <si>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</si>
  <si>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</si>
  <si>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</si>
  <si>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</si>
  <si>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</si>
  <si>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</si>
  <si>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</si>
  <si>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</si>
  <si>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</si>
  <si>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</si>
  <si>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</si>
  <si>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</si>
  <si>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</si>
  <si>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</si>
  <si>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</si>
  <si>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</si>
  <si>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</si>
  <si>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</si>
  <si>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</si>
  <si>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</si>
  <si>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</si>
  <si>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</si>
  <si>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</si>
  <si>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</si>
  <si>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</si>
  <si>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</si>
  <si>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</si>
  <si>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</si>
  <si>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</si>
  <si>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</si>
  <si>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</si>
  <si>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</si>
  <si>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</si>
  <si>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</si>
  <si>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</si>
  <si>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</si>
  <si>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</si>
  <si>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</si>
  <si>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</si>
  <si>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</si>
  <si>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</si>
  <si>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</si>
  <si>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</si>
  <si>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</si>
  <si>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</si>
  <si>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</si>
  <si>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</si>
  <si>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</si>
  <si>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</si>
  <si>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</si>
  <si>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</si>
  <si>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</si>
  <si>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</si>
  <si>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</si>
  <si>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</si>
  <si>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</si>
  <si>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</si>
  <si>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</si>
  <si>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</si>
  <si>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</si>
  <si>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</si>
  <si>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</si>
  <si>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</si>
  <si>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</si>
  <si>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</si>
  <si>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</si>
  <si>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</si>
  <si>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</si>
  <si>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</si>
  <si>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</si>
  <si>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</si>
  <si>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</si>
  <si>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</si>
  <si>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</si>
  <si>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</si>
  <si>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</si>
  <si>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</si>
  <si>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</si>
  <si>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</si>
  <si>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</si>
  <si>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</si>
  <si>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</si>
  <si>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</si>
  <si>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</si>
  <si>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</si>
  <si>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</si>
  <si>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</si>
  <si>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</si>
  <si>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</si>
  <si>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</si>
  <si>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</si>
  <si>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</si>
  <si>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</si>
  <si>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</si>
  <si>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</si>
  <si>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</si>
  <si>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</si>
  <si>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</si>
  <si>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</si>
  <si>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</si>
  <si>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</si>
  <si>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</si>
  <si>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</si>
  <si>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</si>
  <si>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</si>
  <si>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</si>
  <si>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</si>
  <si>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</si>
  <si>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</si>
  <si>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</si>
  <si>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</si>
  <si>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</si>
  <si>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</si>
  <si>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</si>
  <si>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</si>
  <si>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</si>
  <si>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</si>
  <si>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</si>
  <si>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</si>
  <si>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</si>
  <si>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</si>
  <si>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</si>
  <si>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</si>
  <si>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</si>
  <si>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</si>
  <si>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</si>
  <si>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</si>
  <si>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</si>
  <si>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</si>
  <si>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</si>
  <si>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</si>
  <si>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</si>
  <si>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</si>
  <si>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</si>
  <si>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</si>
  <si>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</si>
  <si>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</si>
  <si>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</si>
  <si>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</si>
  <si>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</si>
  <si>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</si>
  <si>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</si>
  <si>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</si>
  <si>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</si>
  <si>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</si>
  <si>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</si>
  <si>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</si>
  <si>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</si>
  <si>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</si>
  <si>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</si>
  <si>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</si>
  <si>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</si>
  <si>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</si>
  <si>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</si>
  <si>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</si>
  <si>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</si>
  <si>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</si>
  <si>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</si>
  <si>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</si>
  <si>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</si>
  <si>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</si>
  <si>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</si>
  <si>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</si>
  <si>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</si>
  <si>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</si>
  <si>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</si>
  <si>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</si>
  <si>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</si>
  <si>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</si>
  <si>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</si>
  <si>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</si>
  <si>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</si>
  <si>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</si>
  <si>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</si>
  <si>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</si>
  <si>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</si>
  <si>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</si>
  <si>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</si>
  <si>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</si>
  <si>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</si>
  <si>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</si>
  <si>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</si>
  <si>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</si>
  <si>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</si>
  <si>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</si>
  <si>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</si>
  <si>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</si>
  <si>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</si>
  <si>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</si>
  <si>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</si>
  <si>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</si>
  <si>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</si>
  <si>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</si>
  <si>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</si>
  <si>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</si>
  <si>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</si>
  <si>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</si>
  <si>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</si>
  <si>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</si>
  <si>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</si>
  <si>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</si>
  <si>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</si>
  <si>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</si>
  <si>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</si>
  <si>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</si>
  <si>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</si>
  <si>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</si>
  <si>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</si>
  <si>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</si>
  <si>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</si>
  <si>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</si>
  <si>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</si>
  <si>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</si>
  <si>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</si>
  <si>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</si>
  <si>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</si>
  <si>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</si>
  <si>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</si>
  <si>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</si>
  <si>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</si>
  <si>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</si>
  <si>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</si>
  <si>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</si>
  <si>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</si>
  <si>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</si>
  <si>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</si>
  <si>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</si>
  <si>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</si>
  <si>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</si>
  <si>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</si>
  <si>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</si>
  <si>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</si>
  <si>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</si>
  <si>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</si>
  <si>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</si>
  <si>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</si>
  <si>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</si>
  <si>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</si>
  <si>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</si>
  <si>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</si>
  <si>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</si>
  <si>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</si>
  <si>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</si>
  <si>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</si>
  <si>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</si>
  <si>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</si>
  <si>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</si>
  <si>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</si>
  <si>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</si>
  <si>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</si>
  <si>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</si>
  <si>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</si>
  <si>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</si>
  <si>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</si>
  <si>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</si>
  <si>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</si>
  <si>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</si>
  <si>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</si>
  <si>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</si>
  <si>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</si>
  <si>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</si>
  <si>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</si>
  <si>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</si>
  <si>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</si>
  <si>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</si>
  <si>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</si>
  <si>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</si>
  <si>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</si>
  <si>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</si>
  <si>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</si>
  <si>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</si>
  <si>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</si>
  <si>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</si>
  <si>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</si>
  <si>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</si>
  <si>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</si>
  <si>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</si>
  <si>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</si>
  <si>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</si>
  <si>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</si>
  <si>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</si>
  <si>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</si>
  <si>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</si>
  <si>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</si>
  <si>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</si>
  <si>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</si>
  <si>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</si>
  <si>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</si>
  <si>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</si>
  <si>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</si>
  <si>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</si>
  <si>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</si>
  <si>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</si>
  <si>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</si>
  <si>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</si>
  <si>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</si>
  <si>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</si>
  <si>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</si>
  <si>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</si>
  <si>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</si>
  <si>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</si>
  <si>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</si>
  <si>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</si>
  <si>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</si>
  <si>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</si>
  <si>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</si>
  <si>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</si>
  <si>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</si>
  <si>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</si>
  <si>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</si>
  <si>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</si>
  <si>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</si>
  <si>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</si>
  <si>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</si>
  <si>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</si>
  <si>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</si>
  <si>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</si>
  <si>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</si>
  <si>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</si>
  <si>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</si>
  <si>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</si>
  <si>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</si>
  <si>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</si>
  <si>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</si>
  <si>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</si>
  <si>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</si>
  <si>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</si>
  <si>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</si>
  <si>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</si>
  <si>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</si>
  <si>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</si>
  <si>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</si>
  <si>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</si>
  <si>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</si>
  <si>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</si>
  <si>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</si>
  <si>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</si>
  <si>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</si>
  <si>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</si>
  <si>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</si>
  <si>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</si>
  <si>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</si>
  <si>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</si>
  <si>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</si>
  <si>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</si>
  <si>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</si>
  <si>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</si>
  <si>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</si>
  <si>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</si>
  <si>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</si>
  <si>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</si>
  <si>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</si>
  <si>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</si>
  <si>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</si>
  <si>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</si>
  <si>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</si>
  <si>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</si>
  <si>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</si>
  <si>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</si>
  <si>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</si>
  <si>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</si>
  <si>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</si>
  <si>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</si>
  <si>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</si>
  <si>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</si>
  <si>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</si>
  <si>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</si>
  <si>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</si>
  <si>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</si>
  <si>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</si>
  <si>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</si>
  <si>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</si>
  <si>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</si>
  <si>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</si>
  <si>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</si>
  <si>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</si>
  <si>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</si>
  <si>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</si>
  <si>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</si>
  <si>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</si>
  <si>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</si>
  <si>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</si>
  <si>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</si>
  <si>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</si>
  <si>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</si>
  <si>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</si>
  <si>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</si>
  <si>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</si>
  <si>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</si>
  <si>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</si>
  <si>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</si>
  <si>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</si>
  <si>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</si>
  <si>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</si>
  <si>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</si>
  <si>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</si>
  <si>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</si>
  <si>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</si>
  <si>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</si>
  <si>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</si>
  <si>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</si>
  <si>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</si>
  <si>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</si>
  <si>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</si>
  <si>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</si>
  <si>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</si>
  <si>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</si>
  <si>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</si>
  <si>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</si>
  <si>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</si>
  <si>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</si>
  <si>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</si>
  <si>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</si>
  <si>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</si>
  <si>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</si>
  <si>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</si>
  <si>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</si>
  <si>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</si>
  <si>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</si>
  <si>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</si>
  <si>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</si>
  <si>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</si>
  <si>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</si>
  <si>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</si>
  <si>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</si>
  <si>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</si>
  <si>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</si>
  <si>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</si>
  <si>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</si>
  <si>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</si>
  <si>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</si>
  <si>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</si>
  <si>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</si>
  <si>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</si>
  <si>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</si>
  <si>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</si>
  <si>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</si>
  <si>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</si>
  <si>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</si>
  <si>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</si>
  <si>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</si>
  <si>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</si>
  <si>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</si>
  <si>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</si>
  <si>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</si>
  <si>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</si>
  <si>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</si>
  <si>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</si>
  <si>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</si>
  <si>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</si>
  <si>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</si>
  <si>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</si>
  <si>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</si>
  <si>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</si>
  <si>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</si>
  <si>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</si>
  <si>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</si>
  <si>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</si>
  <si>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</si>
  <si>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</si>
  <si>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</si>
  <si>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</si>
  <si>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</si>
  <si>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</si>
  <si>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</si>
  <si>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</si>
  <si>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</si>
  <si>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</si>
  <si>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</si>
  <si>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</si>
  <si>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</si>
  <si>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</si>
  <si>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</si>
  <si>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</si>
  <si>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</si>
  <si>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</si>
  <si>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</si>
  <si>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</si>
  <si>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</si>
  <si>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</si>
  <si>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</si>
  <si>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</si>
  <si>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</si>
  <si>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</si>
  <si>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</si>
  <si>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</si>
  <si>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</si>
  <si>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</si>
  <si>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</si>
  <si>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</si>
  <si>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</si>
  <si>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</si>
  <si>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</si>
  <si>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</si>
  <si>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</si>
  <si>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</si>
  <si>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</si>
  <si>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</si>
  <si>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</si>
  <si>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</si>
  <si>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</si>
  <si>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</si>
  <si>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</si>
  <si>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</si>
  <si>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</si>
  <si>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</si>
  <si>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</si>
  <si>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</si>
  <si>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</si>
  <si>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</si>
  <si>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</si>
  <si>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</si>
  <si>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</si>
  <si>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</si>
  <si>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</si>
  <si>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</si>
  <si>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</si>
  <si>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</si>
  <si>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</si>
  <si>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</si>
  <si>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</si>
  <si>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</si>
  <si>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</si>
  <si>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</si>
  <si>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</si>
  <si>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</si>
  <si>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</si>
  <si>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</si>
  <si>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</si>
  <si>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</si>
  <si>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</si>
  <si>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</si>
  <si>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</si>
  <si>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</si>
  <si>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</si>
  <si>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</si>
  <si>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</si>
  <si>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</si>
  <si>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</si>
  <si>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</si>
  <si>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</si>
  <si>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</si>
  <si>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</si>
  <si>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</si>
  <si>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</si>
  <si>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</si>
  <si>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</si>
  <si>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</si>
  <si>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</si>
  <si>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</si>
  <si>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</si>
  <si>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</si>
  <si>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</si>
  <si>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</si>
  <si>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</si>
  <si>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</si>
  <si>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</si>
  <si>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</si>
  <si>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</si>
  <si>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</si>
  <si>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</si>
  <si>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</si>
  <si>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</si>
  <si>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</si>
  <si>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</si>
  <si>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</si>
  <si>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</si>
  <si>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</si>
  <si>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</si>
  <si>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</si>
  <si>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</si>
  <si>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</si>
  <si>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</si>
  <si>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</si>
  <si>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</si>
  <si>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</si>
  <si>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</si>
  <si>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</si>
  <si>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</si>
  <si>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</si>
  <si>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</si>
  <si>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</si>
  <si>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</si>
  <si>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</si>
  <si>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</si>
  <si>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</si>
  <si>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</si>
  <si>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</si>
  <si>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</si>
  <si>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</si>
  <si>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</si>
  <si>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</si>
  <si>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</si>
  <si>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</si>
  <si>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</si>
  <si>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</si>
  <si>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</si>
  <si>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</si>
  <si>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</si>
  <si>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</si>
  <si>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</si>
  <si>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</si>
  <si>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</si>
  <si>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</si>
  <si>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</si>
  <si>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</si>
  <si>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</si>
  <si>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</si>
  <si>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</si>
  <si>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</si>
  <si>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</si>
  <si>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</si>
  <si>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</si>
  <si>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</si>
  <si>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</si>
  <si>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</si>
  <si>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</si>
  <si>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</si>
  <si>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</si>
  <si>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</si>
  <si>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</si>
  <si>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</si>
  <si>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</si>
  <si>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</si>
  <si>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</si>
  <si>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</si>
  <si>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</si>
  <si>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</si>
  <si>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</si>
  <si>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</si>
  <si>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</si>
  <si>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</si>
  <si>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</si>
  <si>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</si>
  <si>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</si>
  <si>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</si>
  <si>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</si>
  <si>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</si>
  <si>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</si>
  <si>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</si>
  <si>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</si>
  <si>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</si>
  <si>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</si>
  <si>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</si>
  <si>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</si>
  <si>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</si>
  <si>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</si>
  <si>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</si>
  <si>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</si>
  <si>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</si>
  <si>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</si>
  <si>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</si>
  <si>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</si>
  <si>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</si>
  <si>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</si>
  <si>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</si>
  <si>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</si>
  <si>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</si>
  <si>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</si>
  <si>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</si>
  <si>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</si>
  <si>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</si>
  <si>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</si>
  <si>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</si>
  <si>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</si>
  <si>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</si>
  <si>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</si>
  <si>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</si>
  <si>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</si>
  <si>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</si>
  <si>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</si>
  <si>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</si>
  <si>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</si>
  <si>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</si>
  <si>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</si>
  <si>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</si>
  <si>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</si>
  <si>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</si>
  <si>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</si>
  <si>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</si>
  <si>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</si>
  <si>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</si>
  <si>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</si>
  <si>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</si>
  <si>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</si>
  <si>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</si>
  <si>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</si>
  <si>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</si>
  <si>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</si>
  <si>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</si>
  <si>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</si>
  <si>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</si>
  <si>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</si>
  <si>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</si>
  <si>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</si>
  <si>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</si>
  <si>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</si>
  <si>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</si>
  <si>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</si>
  <si>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</si>
  <si>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</si>
  <si>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</si>
  <si>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</si>
  <si>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</si>
  <si>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</si>
  <si>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</si>
  <si>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</si>
  <si>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</si>
  <si>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</si>
  <si>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</si>
  <si>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</si>
  <si>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</si>
  <si>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</si>
  <si>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</si>
  <si>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</si>
  <si>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</si>
  <si>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</si>
  <si>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</si>
  <si>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</si>
  <si>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</si>
  <si>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</si>
  <si>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</si>
  <si>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</si>
  <si>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</si>
  <si>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</si>
  <si>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</si>
  <si>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</si>
  <si>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</si>
  <si>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</si>
  <si>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</si>
  <si>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</si>
  <si>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</si>
  <si>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</si>
  <si>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</si>
  <si>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</si>
  <si>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</si>
  <si>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</si>
  <si>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</si>
  <si>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</si>
  <si>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</si>
  <si>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</si>
  <si>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</si>
  <si>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</si>
  <si>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</si>
  <si>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</si>
  <si>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</si>
  <si>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</si>
  <si>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</si>
  <si>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</si>
  <si>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</si>
  <si>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</si>
  <si>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</si>
  <si>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</si>
  <si>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</si>
  <si>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</si>
  <si>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</si>
  <si>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</si>
  <si>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</si>
  <si>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</si>
  <si>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</si>
  <si>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</si>
  <si>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</si>
  <si>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</si>
  <si>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</si>
  <si>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</si>
  <si>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</si>
  <si>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</si>
  <si>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</si>
  <si>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</si>
  <si>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</si>
  <si>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</si>
  <si>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</si>
  <si>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</si>
  <si>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</si>
  <si>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</si>
  <si>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</si>
  <si>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</si>
  <si>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</si>
  <si>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</si>
  <si>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</si>
  <si>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</si>
  <si>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</si>
  <si>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</si>
  <si>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</si>
  <si>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</si>
  <si>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</si>
  <si>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</si>
  <si>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</si>
  <si>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</si>
  <si>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</si>
  <si>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</si>
  <si>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</si>
  <si>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</si>
  <si>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</si>
  <si>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</si>
  <si>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</si>
  <si>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</si>
  <si>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</si>
  <si>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</si>
  <si>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</si>
  <si>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</si>
  <si>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</si>
  <si>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</si>
  <si>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</si>
  <si>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</si>
  <si>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</si>
  <si>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</si>
  <si>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</si>
  <si>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</si>
  <si>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</si>
  <si>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</si>
  <si>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</si>
  <si>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</si>
  <si>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</si>
  <si>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</si>
  <si>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</si>
  <si>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</si>
  <si>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</si>
  <si>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</si>
  <si>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</si>
  <si>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</si>
  <si>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</si>
  <si>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</si>
  <si>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</si>
  <si>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</si>
  <si>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</si>
  <si>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</si>
  <si>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</si>
  <si>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</si>
  <si>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</si>
  <si>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</si>
  <si>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</si>
  <si>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</si>
  <si>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</si>
  <si>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</si>
  <si>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</si>
  <si>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</si>
  <si>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</si>
  <si>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</si>
  <si>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</si>
  <si>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</si>
  <si>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</si>
  <si>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</si>
  <si>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</si>
  <si>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</si>
  <si>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</si>
  <si>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</si>
  <si>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</si>
  <si>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</si>
  <si>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</si>
  <si>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</si>
  <si>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</si>
  <si>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</si>
  <si>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</si>
  <si>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</si>
  <si>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</si>
  <si>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</si>
  <si>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</si>
  <si>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</si>
  <si>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</si>
  <si>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</si>
  <si>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</si>
  <si>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</si>
  <si>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</si>
  <si>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</si>
  <si>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</si>
  <si>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</si>
  <si>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</si>
  <si>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</si>
  <si>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</si>
  <si>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</si>
  <si>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</si>
  <si>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</si>
  <si>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</si>
  <si>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</si>
  <si>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</si>
  <si>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</si>
  <si>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</si>
  <si>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</si>
  <si>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</si>
  <si>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</si>
  <si>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</si>
  <si>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</si>
  <si>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</si>
  <si>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</si>
  <si>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</si>
  <si>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</si>
  <si>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</si>
  <si>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</si>
  <si>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</si>
  <si>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</si>
  <si>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</si>
  <si>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</si>
  <si>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</si>
  <si>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</si>
  <si>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</si>
  <si>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</si>
  <si>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</si>
  <si>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</si>
  <si>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</si>
  <si>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</si>
  <si>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</si>
  <si>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</si>
  <si>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</si>
  <si>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</si>
  <si>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</si>
  <si>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</si>
  <si>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</si>
  <si>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</si>
  <si>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</si>
  <si>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</si>
  <si>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</si>
  <si>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</si>
  <si>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</si>
  <si>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</si>
  <si>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</si>
  <si>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</si>
  <si>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</si>
  <si>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</si>
  <si>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</si>
  <si>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</si>
  <si>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</si>
  <si>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</si>
  <si>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</si>
  <si>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</si>
  <si>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</si>
  <si>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</si>
  <si>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</si>
  <si>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</si>
  <si>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</si>
  <si>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</si>
  <si>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</si>
  <si>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</si>
  <si>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</si>
  <si>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</si>
  <si>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</si>
  <si>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</si>
  <si>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</si>
  <si>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</si>
  <si>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</si>
  <si>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</si>
  <si>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</si>
  <si>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</si>
  <si>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</si>
  <si>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</si>
  <si>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</si>
  <si>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</si>
  <si>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</si>
  <si>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</si>
  <si>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</si>
  <si>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</si>
  <si>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</si>
  <si>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</si>
  <si>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</si>
  <si>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</si>
  <si>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</si>
  <si>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</si>
  <si>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</si>
  <si>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</si>
  <si>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</si>
  <si>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</si>
  <si>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</si>
  <si>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</si>
  <si>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</si>
  <si>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</si>
  <si>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</si>
  <si>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</si>
  <si>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</si>
  <si>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</si>
  <si>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</si>
  <si>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</si>
  <si>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</si>
  <si>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</si>
  <si>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</si>
  <si>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</si>
  <si>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</si>
  <si>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</si>
  <si>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</si>
  <si>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</si>
  <si>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</si>
  <si>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</si>
  <si>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</si>
  <si>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</si>
  <si>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</si>
  <si>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</si>
  <si>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</si>
  <si>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</si>
  <si>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</si>
  <si>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</si>
  <si>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</si>
  <si>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</si>
  <si>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</si>
  <si>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</si>
  <si>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</si>
  <si>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</si>
  <si>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</si>
  <si>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</si>
  <si>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</si>
  <si>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</si>
  <si>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</si>
  <si>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</si>
  <si>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</si>
  <si>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</si>
  <si>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</si>
  <si>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</si>
  <si>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</si>
  <si>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</si>
  <si>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</si>
  <si>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</si>
  <si>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</si>
  <si>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</si>
  <si>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</si>
  <si>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</si>
  <si>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</si>
  <si>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</si>
  <si>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</si>
  <si>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</si>
  <si>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</si>
  <si>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</si>
  <si>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</si>
  <si>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</si>
  <si>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</si>
  <si>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</si>
  <si>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</si>
  <si>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</si>
  <si>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</si>
  <si>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</si>
  <si>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</si>
  <si>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</si>
  <si>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</si>
  <si>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</si>
  <si>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</si>
  <si>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</si>
  <si>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</si>
  <si>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</si>
  <si>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</si>
  <si>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</si>
  <si>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</si>
  <si>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</si>
  <si>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</si>
  <si>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</si>
  <si>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</si>
  <si>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</si>
  <si>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</si>
  <si>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</si>
  <si>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</si>
  <si>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</si>
  <si>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</si>
  <si>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</si>
  <si>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</si>
  <si>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</si>
  <si>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</si>
  <si>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</si>
  <si>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</si>
  <si>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</si>
  <si>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</si>
  <si>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</si>
  <si>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</si>
  <si>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</si>
  <si>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</si>
  <si>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</si>
  <si>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</si>
  <si>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</si>
  <si>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</si>
  <si>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</si>
  <si>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</si>
  <si>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</si>
  <si>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</si>
  <si>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</si>
  <si>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</si>
  <si>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</si>
  <si>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</si>
  <si>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</si>
  <si>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</si>
  <si>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</si>
  <si>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</si>
  <si>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</si>
  <si>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</si>
  <si>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</si>
  <si>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</si>
  <si>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</si>
  <si>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</si>
  <si>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</si>
  <si>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</si>
  <si>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</si>
  <si>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</si>
  <si>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</si>
  <si>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</si>
  <si>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</si>
  <si>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</si>
  <si>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</si>
  <si>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</si>
  <si>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</si>
  <si>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</si>
  <si>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</si>
  <si>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</si>
  <si>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</si>
  <si>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</si>
  <si>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</si>
  <si>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</si>
  <si>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</si>
  <si>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</si>
  <si>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</si>
  <si>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</si>
  <si>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</si>
  <si>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</si>
  <si>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</si>
  <si>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</si>
  <si>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</si>
  <si>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</si>
  <si>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</si>
  <si>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</si>
  <si>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</si>
  <si>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</si>
  <si>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</si>
  <si>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</si>
  <si>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</si>
  <si>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</si>
  <si>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</si>
  <si>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</si>
  <si>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</si>
  <si>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</si>
  <si>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</si>
  <si>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</si>
  <si>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</si>
  <si>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</si>
  <si>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</si>
  <si>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</si>
  <si>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</si>
  <si>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</si>
  <si>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</si>
  <si>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</si>
  <si>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</si>
  <si>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</si>
  <si>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</si>
  <si>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</si>
  <si>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</si>
  <si>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</si>
  <si>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</si>
  <si>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</si>
  <si>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</si>
  <si>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</si>
  <si>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</si>
  <si>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</si>
  <si>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</si>
  <si>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</si>
  <si>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</si>
  <si>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</si>
  <si>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</si>
  <si>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</si>
  <si>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</si>
  <si>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</si>
  <si>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</si>
  <si>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</si>
  <si>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</si>
  <si>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</si>
  <si>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</si>
  <si>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</si>
  <si>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</si>
  <si>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</si>
  <si>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</si>
  <si>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</si>
  <si>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</si>
  <si>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</si>
  <si>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</si>
  <si>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</si>
  <si>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</si>
  <si>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</si>
  <si>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</si>
  <si>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</si>
  <si>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</si>
  <si>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</si>
  <si>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</si>
  <si>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</si>
  <si>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</si>
  <si>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</si>
  <si>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</si>
  <si>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</si>
  <si>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</si>
  <si>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</si>
  <si>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</si>
  <si>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</si>
  <si>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</si>
  <si>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</si>
  <si>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</si>
  <si>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</si>
  <si>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</si>
  <si>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</si>
  <si>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</si>
  <si>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</si>
  <si>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</si>
  <si>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</si>
  <si>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</si>
  <si>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</si>
  <si>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</si>
  <si>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</si>
  <si>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</si>
  <si>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</si>
  <si>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</si>
  <si>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</si>
  <si>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</si>
  <si>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</si>
  <si>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</si>
  <si>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</si>
  <si>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</si>
  <si>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</si>
  <si>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</si>
  <si>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</si>
  <si>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</si>
  <si>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</si>
  <si>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</si>
  <si>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</si>
  <si>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</si>
  <si>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</si>
  <si>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</si>
  <si>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</si>
  <si>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</si>
  <si>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</si>
  <si>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</si>
  <si>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</si>
  <si>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</si>
  <si>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</si>
  <si>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</si>
  <si>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</si>
  <si>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</si>
  <si>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</si>
  <si>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</si>
  <si>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</si>
  <si>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</si>
  <si>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</si>
  <si>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</si>
  <si>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</si>
  <si>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</si>
  <si>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</si>
  <si>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</si>
  <si>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</si>
  <si>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</si>
  <si>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</si>
  <si>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</si>
  <si>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</si>
  <si>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</si>
  <si>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</si>
  <si>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</si>
  <si>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</si>
  <si>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</si>
  <si>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</si>
  <si>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</si>
  <si>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</si>
  <si>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</si>
  <si>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</si>
  <si>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</si>
  <si>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</si>
  <si>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</si>
  <si>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</si>
  <si>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</si>
  <si>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</si>
  <si>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</si>
  <si>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</si>
  <si>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</si>
  <si>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</si>
  <si>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</si>
  <si>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</si>
  <si>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</si>
  <si>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</si>
  <si>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</si>
  <si>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</si>
  <si>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</si>
  <si>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</si>
  <si>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</si>
  <si>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</si>
  <si>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</si>
  <si>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</si>
  <si>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</si>
  <si>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</si>
  <si>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</si>
  <si>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</si>
  <si>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</si>
  <si>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</si>
  <si>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</si>
  <si>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</si>
  <si>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</si>
  <si>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</si>
  <si>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</si>
  <si>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</si>
  <si>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</si>
  <si>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</si>
  <si>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</si>
  <si>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</si>
  <si>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</si>
  <si>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</si>
  <si>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</si>
  <si>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</si>
  <si>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</si>
  <si>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</si>
  <si>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</si>
  <si>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</si>
  <si>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</si>
  <si>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</si>
  <si>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</si>
  <si>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</si>
  <si>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</si>
  <si>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</si>
  <si>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</si>
  <si>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</si>
  <si>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</si>
  <si>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</si>
  <si>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</si>
  <si>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</si>
  <si>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</si>
  <si>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</si>
  <si>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</si>
  <si>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</si>
  <si>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</si>
  <si>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</si>
  <si>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</si>
  <si>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</si>
  <si>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</si>
  <si>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</si>
  <si>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</si>
  <si>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</si>
  <si>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</si>
  <si>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</si>
  <si>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</si>
  <si>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</si>
  <si>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</si>
  <si>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</si>
  <si>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</si>
  <si>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</si>
  <si>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</si>
  <si>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</si>
  <si>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</si>
  <si>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</si>
  <si>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</si>
  <si>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</si>
  <si>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</si>
  <si>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</si>
  <si>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</si>
  <si>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</si>
  <si>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</si>
  <si>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</si>
  <si>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</si>
  <si>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</si>
  <si>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</si>
  <si>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</si>
  <si>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</si>
  <si>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</si>
  <si>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</si>
  <si>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</si>
  <si>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</si>
  <si>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</si>
  <si>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</si>
  <si>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</si>
  <si>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</si>
  <si>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</si>
  <si>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</si>
  <si>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</si>
  <si>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</si>
  <si>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</si>
  <si>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</si>
  <si>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</si>
  <si>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</si>
  <si>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</si>
  <si>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</si>
  <si>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</si>
  <si>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</si>
  <si>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</si>
  <si>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</si>
  <si>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</si>
  <si>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</si>
  <si>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</si>
  <si>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</si>
  <si>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</si>
  <si>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</si>
  <si>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</si>
  <si>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</si>
  <si>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</si>
  <si>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</si>
  <si>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</si>
  <si>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</si>
  <si>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</si>
  <si>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</si>
  <si>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</si>
  <si>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</si>
  <si>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</si>
  <si>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</si>
  <si>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</si>
  <si>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</si>
  <si>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</si>
  <si>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</si>
  <si>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</si>
  <si>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</si>
  <si>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</si>
  <si>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</si>
  <si>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</si>
  <si>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</si>
  <si>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</si>
  <si>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</si>
  <si>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</si>
  <si>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</si>
  <si>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</si>
  <si>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</si>
  <si>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</si>
  <si>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</si>
  <si>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</si>
  <si>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</si>
  <si>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</si>
  <si>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</si>
  <si>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</si>
  <si>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</si>
  <si>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</si>
  <si>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</si>
  <si>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</si>
  <si>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</si>
  <si>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</si>
  <si>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</si>
  <si>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</si>
  <si>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</si>
  <si>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</si>
  <si>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</si>
  <si>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</si>
  <si>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</si>
  <si>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</si>
  <si>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</si>
  <si>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</si>
  <si>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</si>
  <si>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</si>
  <si>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</si>
  <si>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</si>
  <si>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</si>
  <si>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</si>
  <si>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</si>
  <si>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</si>
  <si>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</si>
  <si>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</si>
  <si>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</si>
  <si>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</si>
  <si>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</si>
  <si>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</si>
  <si>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</si>
  <si>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</si>
  <si>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</si>
  <si>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</si>
  <si>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</si>
  <si>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</si>
  <si>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</si>
  <si>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</si>
  <si>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</si>
  <si>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</si>
  <si>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</si>
  <si>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</si>
  <si>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</si>
  <si>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</si>
  <si>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</si>
  <si>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</si>
  <si>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</si>
  <si>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</si>
  <si>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</si>
  <si>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</si>
  <si>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</si>
  <si>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</si>
  <si>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</si>
  <si>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</si>
  <si>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</si>
  <si>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</si>
  <si>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</si>
  <si>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</si>
  <si>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</si>
  <si>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</si>
  <si>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</si>
  <si>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</si>
  <si>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</si>
  <si>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</si>
  <si>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</si>
  <si>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</si>
  <si>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</si>
  <si>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</si>
  <si>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</si>
  <si>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</si>
  <si>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</si>
  <si>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</si>
  <si>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</si>
  <si>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</si>
  <si>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</si>
  <si>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</si>
  <si>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</si>
  <si>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</si>
  <si>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</si>
  <si>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</si>
  <si>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</si>
  <si>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</si>
  <si>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</si>
  <si>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</si>
  <si>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</si>
  <si>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</si>
  <si>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</si>
  <si>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</si>
  <si>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</si>
  <si>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</si>
  <si>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</si>
  <si>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</si>
  <si>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</si>
  <si>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</si>
  <si>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</si>
  <si>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</si>
  <si>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</si>
  <si>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</si>
  <si>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</si>
  <si>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</si>
  <si>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</si>
  <si>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</si>
  <si>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</si>
  <si>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</si>
  <si>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</si>
  <si>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</si>
  <si>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</si>
  <si>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</si>
  <si>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</si>
  <si>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</si>
  <si>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</si>
  <si>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</si>
  <si>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</si>
  <si>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</si>
  <si>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</si>
  <si>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</si>
  <si>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</si>
  <si>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</si>
  <si>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</si>
  <si>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</si>
  <si>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商业</t>
  </si>
  <si>
    <t>出让</t>
  </si>
  <si>
    <t>抵押</t>
  </si>
  <si>
    <t>抵押价格</t>
  </si>
  <si>
    <t>地上</t>
  </si>
  <si>
    <t>否</t>
  </si>
  <si>
    <t>不动产收益法</t>
  </si>
  <si>
    <t>按租金收入计税</t>
  </si>
  <si>
    <t>比较法-住宅、综合</t>
  </si>
  <si>
    <t>剩余法-待开发</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</si>
  <si>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</si>
  <si>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</si>
  <si>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</si>
  <si>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</si>
  <si>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</si>
  <si>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</si>
  <si>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</si>
  <si>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</si>
  <si>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</si>
  <si>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</si>
  <si>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</si>
  <si>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</si>
  <si>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</si>
  <si>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</si>
  <si>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</si>
  <si>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</si>
  <si>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</si>
  <si>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</si>
  <si>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1星</t>
  </si>
  <si>
    <t>3星</t>
  </si>
  <si>
    <t>2星</t>
  </si>
  <si>
    <t>正常</t>
  </si>
  <si>
    <t>楼面地价</t>
  </si>
  <si>
    <t>土地（套用方法）</t>
  </si>
  <si>
    <t>钢混</t>
  </si>
  <si>
    <t>平层住宅</t>
  </si>
  <si>
    <t>底商</t>
  </si>
  <si>
    <t>地下</t>
  </si>
  <si>
    <t>车库</t>
  </si>
  <si>
    <t>萧山城区蜀山单元-1</t>
  </si>
  <si>
    <t>杭州市</t>
  </si>
  <si>
    <t>住宅用地</t>
  </si>
  <si>
    <t>东至规划西河路、规划一路,南至规划B22路、规划一路,北、西至沿河绿地</t>
  </si>
  <si>
    <t>萧政储出[2018]24号</t>
  </si>
  <si>
    <t>A-06-2地块为居住用地</t>
  </si>
  <si>
    <t>≥1≤2.6</t>
  </si>
  <si>
    <t>2018-08-06</t>
  </si>
  <si>
    <t>萧土资告【2018】01012号</t>
  </si>
  <si>
    <t>深圳安创投资管理有限公司</t>
  </si>
  <si>
    <t>住宅70年</t>
  </si>
  <si>
    <t>萧山区蜀山单元F-06-1地块</t>
  </si>
  <si>
    <t>东至通惠路、南至南三路、西至王有史河、北至规划一路</t>
  </si>
  <si>
    <t>萧政储出[2018]23号</t>
  </si>
  <si>
    <t>居住用地</t>
  </si>
  <si>
    <t>≥1≤2.8</t>
  </si>
  <si>
    <t>2018-07-30</t>
  </si>
  <si>
    <t>萧土资告【2018】01011号</t>
  </si>
  <si>
    <t>杭州盛锋商务信息咨询有限公司</t>
  </si>
  <si>
    <t>70年</t>
  </si>
  <si>
    <t>综合用地(含住宅)</t>
  </si>
  <si>
    <t>东至新城路、南至山南路,西至下潦路、北至彩虹大道</t>
  </si>
  <si>
    <t>萧政储出[2018]21号</t>
  </si>
  <si>
    <t>居住用地(含配套商业)</t>
  </si>
  <si>
    <t>≥1.0≤2.5</t>
  </si>
  <si>
    <t>2018-07-11</t>
  </si>
  <si>
    <t>萧土资告【2018】01010号</t>
  </si>
  <si>
    <t>杭州奥克斯置业有限公司</t>
  </si>
  <si>
    <t>住宅70年,商业40年</t>
  </si>
  <si>
    <t>4星</t>
  </si>
  <si>
    <t>萧山区戴村镇</t>
  </si>
  <si>
    <t>东至闻戴公路,南至华城路,西至校前大道,北至恒大路</t>
  </si>
  <si>
    <t>萧政储出[2018]20号</t>
  </si>
  <si>
    <t>商住用地(B/R)</t>
  </si>
  <si>
    <t>≥1.0≤2.6</t>
  </si>
  <si>
    <t>杭州银泰农旅投资发展有限公司&amp;amp;云南城投置业股份有限公司</t>
  </si>
  <si>
    <t>东至河道,南至建设三路、规划体育用地、规划绿地,西至经四路,北至加贸路</t>
  </si>
  <si>
    <t>萧政储出[2018]22号</t>
  </si>
  <si>
    <t>居住用地(R2)</t>
  </si>
  <si>
    <t>成都时盛商贸有限责任公司</t>
  </si>
  <si>
    <t>5星</t>
  </si>
  <si>
    <t>空港新城</t>
  </si>
  <si>
    <t>东至南庄路,南至港城大道,西至南丰路,北至南义路</t>
  </si>
  <si>
    <t>萧政储出[2018]19号</t>
  </si>
  <si>
    <t>商业、居住用地(B/R)</t>
  </si>
  <si>
    <t>≥1.0≤2.1</t>
  </si>
  <si>
    <t>2018-07-04</t>
  </si>
  <si>
    <t>萧土资告【2018】01009号</t>
  </si>
  <si>
    <t>浙江锦玉投资管理有限公司</t>
  </si>
  <si>
    <t>萧山城区市北东单元C-21地块</t>
  </si>
  <si>
    <t>位于市北东单元,东至宁东路,南至建设三路,西至宁安路,北至规划商业商务用地、规划体育用地、绿地等</t>
  </si>
  <si>
    <t>萧政储出[2018]18号</t>
  </si>
  <si>
    <t>≥1≤2.5</t>
  </si>
  <si>
    <t>2018-06-15</t>
  </si>
  <si>
    <t>萧土资告【2018】01008号</t>
  </si>
  <si>
    <t>杭州滨星企业管理有限公司</t>
  </si>
  <si>
    <t>大江东产业集聚区江东片区</t>
  </si>
  <si>
    <t>位于大江东产业集聚区江东片区,东至金融小镇和规划道路,南至规划道路,西至青西一路,北至金领公寓项目</t>
  </si>
  <si>
    <t>杭大江东储出[2018]3号</t>
  </si>
  <si>
    <t>住宅用地(设配套公建)</t>
  </si>
  <si>
    <t>＞1≤2.5</t>
  </si>
  <si>
    <t>2018-06-11</t>
  </si>
  <si>
    <t>杭大江东储出【2018】3号</t>
  </si>
  <si>
    <t>杭州耀邦贸易有限公司</t>
  </si>
  <si>
    <t>70年、40年</t>
  </si>
  <si>
    <t>大江东产业集聚区前进街道</t>
  </si>
  <si>
    <t>位于大江东产业集聚区前进街道,东至规划道路,南至前进小市集,西至梅林大道绿化带,北至江东六路。</t>
  </si>
  <si>
    <t>杭大江东储出[2018]1号</t>
  </si>
  <si>
    <t>住宅用地(租赁住房)</t>
  </si>
  <si>
    <t>2018-06-04</t>
  </si>
  <si>
    <t>杭大江东储出【2018】1、2号</t>
  </si>
  <si>
    <t>杭州市城市土地发展有限公司</t>
  </si>
  <si>
    <t>70年;40年</t>
  </si>
  <si>
    <t>市北西单元兴议村C-21地块</t>
  </si>
  <si>
    <t>位于市北西单元,东至兴议中心河绿化带,南至建设一路,西至萧邮路,北至兴五路</t>
  </si>
  <si>
    <t>萧政储出[2018]17号</t>
  </si>
  <si>
    <t>C-21地块为居住用地(R2)</t>
  </si>
  <si>
    <t>2018-05-21</t>
  </si>
  <si>
    <t>萧土资告【2018】01007号</t>
  </si>
  <si>
    <t>招商局地产(杭州)有限公司</t>
  </si>
  <si>
    <t>萧山新街单元地块</t>
  </si>
  <si>
    <t>位于萧山新街单元,东至香樟路、西至高新九路、南至前解放河、北至建设二路</t>
  </si>
  <si>
    <t>萧政储出[2018]15号</t>
  </si>
  <si>
    <t>≥1≤2.7</t>
  </si>
  <si>
    <t>2018-03-30</t>
  </si>
  <si>
    <t>萧土资告【2018】01005号</t>
  </si>
  <si>
    <t>中铁置业集团上海有限公司</t>
  </si>
  <si>
    <t>位于萧山钱江世纪城M-04地块,东至皓月路,南至金鸡路,西至盈丰路,北至民和路</t>
  </si>
  <si>
    <t>萧政储出[2018]13号</t>
  </si>
  <si>
    <t>≥1≤2.9</t>
  </si>
  <si>
    <t>浙江保利房地产开发有限公司</t>
  </si>
  <si>
    <t>萧山城区蜀山南单元B-18-1地块</t>
  </si>
  <si>
    <t>位于萧山城区蜀山南单元,东至B-18-2地块、南至南五路、西至蜀山西路、北至南四路</t>
  </si>
  <si>
    <t>萧政储出[2018]14号</t>
  </si>
  <si>
    <t>B-18-1地块居住用地(R)</t>
  </si>
  <si>
    <t>浙江恺泽房地产开发有限公司</t>
  </si>
  <si>
    <t>萧山区市北东单元内</t>
  </si>
  <si>
    <t>位于萧山区市北东单元内,东至经十三路,西至佳农路、支一路,北至大地路,南至建设一路辅路</t>
  </si>
  <si>
    <t>萧政储出[2018]10号</t>
  </si>
  <si>
    <t>2018-03-27</t>
  </si>
  <si>
    <t>萧土资告【2018】01004号</t>
  </si>
  <si>
    <t>成都同新商贸有限责任公司</t>
  </si>
  <si>
    <t>萧山城区蜀山南单元地块</t>
  </si>
  <si>
    <t>位于萧山城区蜀山南单元,东至规划蜀山西路,南至规划南五路,西至湘湖三期金西安置房项目地块,北至规划南四路</t>
  </si>
  <si>
    <t>萧政储出[2018]12号</t>
  </si>
  <si>
    <t>浙江佳源杭城房地产集团有限公司</t>
  </si>
  <si>
    <t>萧山城区市北东单元</t>
  </si>
  <si>
    <t>位于萧山城区市北东单元,东至万向路,南至友成路,北至建设一路,西至经十一路</t>
  </si>
  <si>
    <t>萧政储出[2018]11号</t>
  </si>
  <si>
    <t>杭州港中旅城市发展有限公司</t>
  </si>
  <si>
    <t>萧山区党湾镇</t>
  </si>
  <si>
    <t>东至幸福西直湾、南至文化路、西至梅林大道、北至规划支路</t>
  </si>
  <si>
    <t>萧政储出[2018]7号</t>
  </si>
  <si>
    <t>商业服务业设施用地兼容居住用地(B/R*)</t>
  </si>
  <si>
    <t>2018-03-09</t>
  </si>
  <si>
    <t>萧土资告【2018】01002号</t>
  </si>
  <si>
    <t>中量建工股份有限公司</t>
  </si>
  <si>
    <t>萧山区河上镇</t>
  </si>
  <si>
    <t>东至杭州航波纸塑包装有限公司,西至03省道,北至纬三路,南至大泥线</t>
  </si>
  <si>
    <t>萧政储出[2018]6号</t>
  </si>
  <si>
    <t>商业、住宅用地</t>
  </si>
  <si>
    <t>华景川集团有限公司</t>
  </si>
  <si>
    <t>萧山城区上湘湖单元</t>
  </si>
  <si>
    <t>东至规划道路,南至湘溪路,西至东风河沿河绿地,北至规划道路</t>
  </si>
  <si>
    <t>萧政储出[2018]5号</t>
  </si>
  <si>
    <t>居住用地(R21)</t>
  </si>
  <si>
    <t>＞1≤1.01</t>
  </si>
  <si>
    <t>2018-02-05</t>
  </si>
  <si>
    <t>萧土资告【2018】01001号</t>
  </si>
  <si>
    <t>杭州滨江盛元房地产开发有限公司</t>
  </si>
  <si>
    <t>大江东产业集聚区</t>
  </si>
  <si>
    <t>位于大江东产业集聚区新湾街道,东至新四路,南至冯溇路,西至建华路,北至闸口路。</t>
  </si>
  <si>
    <t>杭大江东储出〔2017〕8号</t>
  </si>
  <si>
    <t>＞1.2≤2.2</t>
  </si>
  <si>
    <t>2018-01-29</t>
  </si>
  <si>
    <t>杭大江东告(2017)2号</t>
  </si>
  <si>
    <t>杭州滨江房产集团股份有限公司</t>
  </si>
  <si>
    <t>40、70年</t>
  </si>
  <si>
    <t>萧山城区蜀山单元A-10-1地块</t>
  </si>
  <si>
    <t>东至市心南路,南至规划一路,西至规划西河路,北至规划二路。</t>
  </si>
  <si>
    <t>萧政储出[2018]4号</t>
  </si>
  <si>
    <t>萧土资告【2017】01004号</t>
  </si>
  <si>
    <t>德信地产集团有限公司</t>
  </si>
  <si>
    <t>位于大江东产业集聚区河庄街道,东至钱民花苑,南至至高钱塘一品,西至河庄路,北至纬九路。</t>
  </si>
  <si>
    <t>杭大江东储出〔2017〕9号</t>
  </si>
  <si>
    <t>商住兼容用地</t>
  </si>
  <si>
    <t>≥1.2≤2.8</t>
  </si>
  <si>
    <t>义桥镇FG08-R-13/FG08-R14号地块</t>
  </si>
  <si>
    <t>东至腾飞路,南至新城路,西至新峡路,北至义达路.</t>
  </si>
  <si>
    <t>萧政储出[2018]3号</t>
  </si>
  <si>
    <t>临安临嘉投资管理有限公司</t>
  </si>
  <si>
    <t>铁路杭州南站(萧山站)综合交通枢纽区D-03地块</t>
  </si>
  <si>
    <t>东至高新五路,西至规划公园绿地,北至规划公园绿地,南至规划商业商务用地。</t>
  </si>
  <si>
    <t>萧政储出[2018]2号</t>
  </si>
  <si>
    <t>商住用地</t>
  </si>
  <si>
    <t>重庆业博实业有限公司</t>
  </si>
  <si>
    <t>位于大江东产业集聚区新湾街道,东至规划新二路,南至南沙大堤绿化带,西至新湾大道,北至现状河道绿化带。</t>
  </si>
  <si>
    <t>杭大江东储出〔2017〕7号</t>
  </si>
  <si>
    <t>≥1≤1.2</t>
  </si>
  <si>
    <t>杭州嘉裕房地产开发经营有限公司</t>
  </si>
  <si>
    <t>杨岐山单元控规内地块</t>
  </si>
  <si>
    <t>北至规划商住用地,西至规划沿河绿地,东至规划绿地,南至规划杨岐山路、商业用地及居住用地</t>
  </si>
  <si>
    <t>萧政储出[2017]26号</t>
  </si>
  <si>
    <t>普通商品住房用地/商业、居住用地</t>
  </si>
  <si>
    <t>≥1≤1.6</t>
  </si>
  <si>
    <t>2017-12-31</t>
  </si>
  <si>
    <t>萧土资告【2017】01003号</t>
  </si>
  <si>
    <t>浙江保亿投资有限公司</t>
  </si>
  <si>
    <t>住宅70年、商业40年</t>
  </si>
  <si>
    <t>蜀山街道朝阳社区</t>
  </si>
  <si>
    <t>东至市心南路西侧绿化带,南至规划南六路,西至规划西河路,北至规划南五路</t>
  </si>
  <si>
    <t>萧政储出(2017)23号</t>
  </si>
  <si>
    <t>＞1≤2.8</t>
  </si>
  <si>
    <t>2017-12-07</t>
  </si>
  <si>
    <t>萧土资告[2017]01001</t>
  </si>
  <si>
    <t>杭州致谦投资有限公司</t>
  </si>
  <si>
    <t>核心区北二路南地块</t>
  </si>
  <si>
    <t>东、南至国环三路,西至青六路,北至北二路</t>
  </si>
  <si>
    <t>杭大江东储出(2017)4号</t>
  </si>
  <si>
    <t>商业地产、商务、住宅用地、服务设施用地</t>
  </si>
  <si>
    <t>≥2≤3.2</t>
  </si>
  <si>
    <t>2017-10-30</t>
  </si>
  <si>
    <t>杭大江东储出告字[2017]3号</t>
  </si>
  <si>
    <t>宁波弘禄房地产信息咨询有限公司</t>
  </si>
  <si>
    <t>义蓬街道住宅地块</t>
  </si>
  <si>
    <t>东至青六路,南至向阳路,西至规划道路,北至规划地块</t>
  </si>
  <si>
    <t>杭大江东储出(2017)5号</t>
  </si>
  <si>
    <t>杭州荣都企业管理有限公司</t>
  </si>
  <si>
    <t>萧山城区下湘湖单元</t>
  </si>
  <si>
    <t>东至规划经三路,南至穿村河,西至西兴路,北至彩虹大道</t>
  </si>
  <si>
    <t>萧政储出[2017]20号</t>
  </si>
  <si>
    <t>居住用地(R2)(含配套商业)</t>
  </si>
  <si>
    <t>＞1≤2.6</t>
  </si>
  <si>
    <t>2017-09-14</t>
  </si>
  <si>
    <t>萧政储出告字[2017]20号</t>
  </si>
  <si>
    <t>杭州大文投资管理有限公司</t>
  </si>
  <si>
    <t>萧山宁围单元A-30地块</t>
  </si>
  <si>
    <t>东至规划生兴路、南至规划A一37幼儿园地块、西至规划学东路、北至规划利华路</t>
  </si>
  <si>
    <t>萧政储出[2017]16号</t>
  </si>
  <si>
    <t>萧政储出告字[2017]16号</t>
  </si>
  <si>
    <t>位于空港新城,东至南阳大道,南至港城大道,西至南庄路,北至南义路</t>
  </si>
  <si>
    <t>萧政储出[2017]19号</t>
  </si>
  <si>
    <t>＞1≤2.2</t>
  </si>
  <si>
    <t>萧政储出告字[2017]19号</t>
  </si>
  <si>
    <t>浙江润庆投资管理有限公司</t>
  </si>
  <si>
    <t>位于萧山区市北东单元内</t>
  </si>
  <si>
    <t>位于萧山区市北东单元内,东至规划绿化带、西至经十二路、南至规划绿化带、北至建设一路。</t>
  </si>
  <si>
    <t>萧政储出(2017)21号</t>
  </si>
  <si>
    <t>1＜≤2.5</t>
  </si>
  <si>
    <t>2017-09-11</t>
  </si>
  <si>
    <t>萧政储出告字[2017]21号</t>
  </si>
  <si>
    <t>杭州新城创宏房地产开发有限公司</t>
  </si>
  <si>
    <t>萧山区市北西单元</t>
  </si>
  <si>
    <t>东至萧邮路,南至规划B6路,西至风情大道防护绿带,北至浙江省边防总队</t>
  </si>
  <si>
    <t>萧政储出[2017]17号</t>
  </si>
  <si>
    <t>＞1≤2.7</t>
  </si>
  <si>
    <t>萧政储出告字[2017]17号</t>
  </si>
  <si>
    <t>温州时代集团大地房地产开发有限公司</t>
  </si>
  <si>
    <t>萧山区市北东单元</t>
  </si>
  <si>
    <t>东至通惠北路、南至建设一路、西至规划公园绿地/交通场站用地、北至规划支路及规划服务设施用地</t>
  </si>
  <si>
    <t>萧政储出[2017]18号</t>
  </si>
  <si>
    <t>萧政储出告字[2017]18号</t>
  </si>
  <si>
    <t>上海名城汇实业发展有限公司</t>
  </si>
  <si>
    <t>所前单元D15-2地块</t>
  </si>
  <si>
    <t>东至现状道路,南至商贸路,西至规划公园绿地,北至府前路</t>
  </si>
  <si>
    <t>萧政储出(2017)15号</t>
  </si>
  <si>
    <t>≥1≤3</t>
  </si>
  <si>
    <t>2017-08-16</t>
  </si>
  <si>
    <t>萧政储出告字[2017]15号</t>
  </si>
  <si>
    <t>杭州凯鑫置业有限公司</t>
  </si>
  <si>
    <t>蜀山南单元</t>
  </si>
  <si>
    <t>东至蜀山路,南至第二桥河,西至北辰奥园,北至南三路</t>
  </si>
  <si>
    <t>萧政储出[2017]13号</t>
  </si>
  <si>
    <t>商业、居住用地</t>
  </si>
  <si>
    <t>＞1≤2.4</t>
  </si>
  <si>
    <t>萧政储出告字[2017]13号</t>
  </si>
  <si>
    <t>萧山城区蜀山南单元C-03、C-08地块</t>
  </si>
  <si>
    <t>东至现状铁路,南至第四桥横河,西至规划河道,北至规划南三路</t>
  </si>
  <si>
    <t>萧政储出(2017)14号</t>
  </si>
  <si>
    <t>C-03区块为商住用地(R/B),C-08区块为居住用地(R)</t>
  </si>
  <si>
    <t>萧政储出告字[2017]14号</t>
  </si>
  <si>
    <t>浙江锦森投资管理有限公司</t>
  </si>
  <si>
    <t>萧山城区湘北单元</t>
  </si>
  <si>
    <t>东至金鸡路,南至规划萧杭路,西至规划A6路,北至山阴路</t>
  </si>
  <si>
    <t>萧政储出[2017]12号</t>
  </si>
  <si>
    <t>＞1≤1.7</t>
  </si>
  <si>
    <t>萧政储出告字[2017]12号</t>
  </si>
  <si>
    <t>萧山城区北干东单元B-16-2地块</t>
  </si>
  <si>
    <t>东至通惠路,南至金城路,西至大浦河沿河公用绿地,北至大浦河沿河公用绿地</t>
  </si>
  <si>
    <t>萧政储出[2017]8号</t>
  </si>
  <si>
    <t>＞1≤3.3</t>
  </si>
  <si>
    <t>2017-06-29</t>
  </si>
  <si>
    <t>萧政储出告字[2017]8、10号</t>
  </si>
  <si>
    <t>旭辉</t>
  </si>
  <si>
    <t>益农镇兴裕村</t>
  </si>
  <si>
    <t>东至益农供电所与汽车站,南至兴贸路,西至学工路,北至规划支路</t>
  </si>
  <si>
    <t>萧政储出(2017)11号</t>
  </si>
  <si>
    <t>≥1≤1.8</t>
  </si>
  <si>
    <t>萧政储出告字[2017]6.11号</t>
  </si>
  <si>
    <t>杭州高运房地产开发有限公司</t>
  </si>
  <si>
    <t>蜀山单元C-06地块</t>
  </si>
  <si>
    <t>东至通惠路,南至姚江河,西至姚江河,北至规划商务用地</t>
  </si>
  <si>
    <t>萧政储出[2017]9号</t>
  </si>
  <si>
    <t>杭州东原致方科技有限公司</t>
  </si>
  <si>
    <t>开发区市北东单元D-28地块</t>
  </si>
  <si>
    <t>萧政储出[2017]7号</t>
  </si>
  <si>
    <t>萧政储出告字[2017]7号</t>
  </si>
  <si>
    <t>前进街道</t>
  </si>
  <si>
    <t>东至八工段直河绿化带,南至江东一路绿化带,西至规划道路,北至江东二路绿化带</t>
  </si>
  <si>
    <t>杭大江东储出(2017)1号</t>
  </si>
  <si>
    <t>＞1≤2.3</t>
  </si>
  <si>
    <t>2017-06-09</t>
  </si>
  <si>
    <t>大江东储出告字[2017]1号</t>
  </si>
  <si>
    <t>杭州市房地产开发集团有限公司</t>
  </si>
  <si>
    <t>新湾街道</t>
  </si>
  <si>
    <t>东至规划道路,南至农居,西至新四路,北至蓝商路</t>
  </si>
  <si>
    <t>杭大江东储出(2017)2号</t>
  </si>
  <si>
    <t>杭州宏立房地产开发有限公司</t>
  </si>
  <si>
    <t>萧山区靖江街道花神庙地块</t>
  </si>
  <si>
    <t>东至新港路、南至广场路、西至童家殿湾、北至凤凰家园</t>
  </si>
  <si>
    <t>萧政储出[2017]4号</t>
  </si>
  <si>
    <t>＞1≤2</t>
  </si>
  <si>
    <t>2017-05-27</t>
  </si>
  <si>
    <t>萧政储出告字[2017]4号</t>
  </si>
  <si>
    <t>杭州福溢融信企业管理咨询有限公司</t>
  </si>
  <si>
    <t>住宅70年*商业40年</t>
  </si>
  <si>
    <t>蜀山单元F-01地块</t>
  </si>
  <si>
    <t>东至通惠路、南至姚江河、西至王有史直河、北至规划南三路</t>
  </si>
  <si>
    <t>萧政储出[2017]3号</t>
  </si>
  <si>
    <t>普通商品住房用地</t>
  </si>
  <si>
    <t>萧政储出告字[2017]3号</t>
  </si>
  <si>
    <t>上海康泰房地产开发有限公司</t>
  </si>
  <si>
    <t>萧政储出(2017)2号</t>
  </si>
  <si>
    <t>2017-03-24</t>
  </si>
  <si>
    <t>恒大地产集团上海盛建置业有限公司</t>
  </si>
  <si>
    <t>萧政储出(2017)1号</t>
  </si>
  <si>
    <t>杭州华合企业管理咨询有限公司</t>
  </si>
  <si>
    <t>临浦新区商住地块二</t>
  </si>
  <si>
    <t>萧政储出(2016)32号</t>
  </si>
  <si>
    <t>2017-01-19</t>
  </si>
  <si>
    <t>温州益聚投资管理有限公司</t>
  </si>
  <si>
    <t>工程进度</t>
  </si>
  <si>
    <t>萧山区南站单元</t>
    <phoneticPr fontId="228" type="noConversion"/>
  </si>
  <si>
    <t>萧山钱江世纪城M-04地块</t>
    <phoneticPr fontId="228" type="noConversion"/>
  </si>
  <si>
    <t>较好</t>
  </si>
  <si>
    <t>一般</t>
  </si>
  <si>
    <t>规则</t>
  </si>
  <si>
    <t>规则</t>
    <phoneticPr fontId="26" type="noConversion"/>
  </si>
  <si>
    <t>较规则</t>
  </si>
  <si>
    <t>较规则</t>
    <phoneticPr fontId="26" type="noConversion"/>
  </si>
  <si>
    <t>项目全部</t>
  </si>
  <si>
    <t>土地</t>
  </si>
  <si>
    <t>王鹏</t>
  </si>
  <si>
    <t>郑燚</t>
  </si>
  <si>
    <t>五矿信托</t>
    <phoneticPr fontId="6" type="noConversion"/>
  </si>
  <si>
    <t>其他：</t>
  </si>
  <si>
    <t>企业</t>
  </si>
  <si>
    <t>一致</t>
  </si>
  <si>
    <t>符合</t>
  </si>
  <si>
    <t>售价</t>
  </si>
  <si>
    <t>住宅</t>
    <phoneticPr fontId="26" type="noConversion"/>
  </si>
  <si>
    <t>六通</t>
  </si>
  <si>
    <t>次干道</t>
  </si>
  <si>
    <t>次干道</t>
    <phoneticPr fontId="26" type="noConversion"/>
  </si>
  <si>
    <t>较合适</t>
  </si>
  <si>
    <t>较合适</t>
    <phoneticPr fontId="26" type="noConversion"/>
  </si>
  <si>
    <t>六通一平</t>
  </si>
  <si>
    <t>较好</t>
    <phoneticPr fontId="26" type="noConversion"/>
  </si>
  <si>
    <t>六通一平</t>
    <phoneticPr fontId="26" type="noConversion"/>
  </si>
  <si>
    <t>三通一平</t>
  </si>
  <si>
    <t>三通一平</t>
    <phoneticPr fontId="26" type="noConversion"/>
  </si>
  <si>
    <t>萧山经济技术开发区市北东部区块</t>
    <phoneticPr fontId="228" type="noConversion"/>
  </si>
  <si>
    <t>融信杭州世纪</t>
    <phoneticPr fontId="3" type="noConversion"/>
  </si>
  <si>
    <t>市心北路与建设一路交汇处东约200米</t>
    <phoneticPr fontId="3" type="noConversion"/>
  </si>
  <si>
    <t>住宅</t>
    <phoneticPr fontId="21" type="noConversion"/>
  </si>
  <si>
    <t>60-70（含）</t>
  </si>
  <si>
    <t>高层</t>
  </si>
  <si>
    <t>高层</t>
    <phoneticPr fontId="21" type="noConversion"/>
  </si>
  <si>
    <t>平层</t>
  </si>
  <si>
    <t>高档</t>
    <phoneticPr fontId="21" type="noConversion"/>
  </si>
  <si>
    <t>中高档</t>
  </si>
  <si>
    <t>中高档</t>
    <phoneticPr fontId="21" type="noConversion"/>
  </si>
  <si>
    <t>中档</t>
    <phoneticPr fontId="21" type="noConversion"/>
  </si>
  <si>
    <t>精装修</t>
  </si>
  <si>
    <t>精装修</t>
    <phoneticPr fontId="21" type="noConversion"/>
  </si>
  <si>
    <t>专业</t>
    <phoneticPr fontId="21" type="noConversion"/>
  </si>
  <si>
    <t>品牌</t>
  </si>
  <si>
    <t>品牌</t>
    <phoneticPr fontId="21" type="noConversion"/>
  </si>
  <si>
    <t>六通</t>
    <phoneticPr fontId="21" type="noConversion"/>
  </si>
  <si>
    <t>豪华装修</t>
    <phoneticPr fontId="21" type="noConversion"/>
  </si>
  <si>
    <t>精装修</t>
    <phoneticPr fontId="21" type="noConversion"/>
  </si>
  <si>
    <t>平层</t>
    <phoneticPr fontId="21" type="noConversion"/>
  </si>
  <si>
    <t>钢混</t>
    <phoneticPr fontId="21" type="noConversion"/>
  </si>
  <si>
    <t>滨江新希望拥潮府</t>
    <phoneticPr fontId="3" type="noConversion"/>
  </si>
  <si>
    <t>市心路与建设三路交叉口向东约200米</t>
    <phoneticPr fontId="3" type="noConversion"/>
  </si>
  <si>
    <t>合景天誉</t>
    <phoneticPr fontId="3" type="noConversion"/>
  </si>
  <si>
    <t>萧山区山阴路与工人路交叉口西南角</t>
    <phoneticPr fontId="3" type="noConversion"/>
  </si>
  <si>
    <t>押二</t>
  </si>
  <si>
    <t>自定义</t>
  </si>
  <si>
    <t>不动产收益法车库</t>
  </si>
  <si>
    <t>不动产收益法车库</t>
    <phoneticPr fontId="14" type="noConversion"/>
  </si>
  <si>
    <t>200-270</t>
    <phoneticPr fontId="21" type="noConversion"/>
  </si>
  <si>
    <t>128-146</t>
    <phoneticPr fontId="21" type="noConversion"/>
  </si>
  <si>
    <t>91-117</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</si>
</sst>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7" fillId="0" borderId="0" xfId="0" applyFont="1" applyAlignment="1"/>
    <xf numFmtId="0" fontId="145" fillId="0" borderId="0" xfId="0" applyFont="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7" fillId="6" borderId="0" xfId="0" applyFont="1" applyFill="1" applyAlignment="1"/>
    <xf numFmtId="0" fontId="274" fillId="0" borderId="0" xfId="0" applyFont="1" applyAlignment="1"/>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81" fontId="152" fillId="17" borderId="2" xfId="0" applyNumberFormat="1" applyFont="1" applyFill="1" applyBorder="1" applyAlignment="1" applyProtection="1">
      <alignment horizontal="center" vertical="center"/>
      <protection locked="0"/>
    </xf>
    <xf numFmtId="181" fontId="71" fillId="17" borderId="2" xfId="0" applyNumberFormat="1" applyFont="1" applyFill="1" applyBorder="1" applyAlignment="1" applyProtection="1">
      <alignment horizontal="center" vertical="center"/>
      <protection locked="0"/>
    </xf>
    <xf numFmtId="177" fontId="76" fillId="17" borderId="2" xfId="2" applyNumberFormat="1" applyFont="1" applyFill="1" applyBorder="1" applyAlignment="1" applyProtection="1">
      <alignment horizontal="center" vertical="center"/>
      <protection locked="0"/>
    </xf>
    <xf numFmtId="181" fontId="76" fillId="17" borderId="12" xfId="0" applyNumberFormat="1" applyFont="1" applyFill="1" applyBorder="1" applyAlignment="1" applyProtection="1">
      <alignment horizontal="center" vertical="center"/>
      <protection locked="0"/>
    </xf>
    <xf numFmtId="0" fontId="71" fillId="17" borderId="17" xfId="0" applyFont="1" applyFill="1" applyBorder="1" applyAlignment="1" applyProtection="1">
      <alignment horizontal="center" vertical="center" wrapText="1"/>
    </xf>
    <xf numFmtId="0" fontId="84" fillId="17" borderId="1" xfId="0" applyNumberFormat="1" applyFont="1" applyFill="1" applyBorder="1" applyAlignment="1" applyProtection="1">
      <alignment horizontal="center" vertical="center" wrapText="1"/>
      <protection locked="0"/>
    </xf>
    <xf numFmtId="0" fontId="84" fillId="17" borderId="7" xfId="0" applyNumberFormat="1" applyFont="1" applyFill="1" applyBorder="1" applyAlignment="1" applyProtection="1">
      <alignment horizontal="center" vertical="center" wrapText="1"/>
    </xf>
    <xf numFmtId="0" fontId="84" fillId="17" borderId="6" xfId="0" applyNumberFormat="1" applyFont="1" applyFill="1" applyBorder="1" applyAlignment="1" applyProtection="1">
      <alignment horizontal="center" vertical="center" wrapText="1"/>
      <protection locked="0"/>
    </xf>
    <xf numFmtId="0" fontId="71" fillId="17" borderId="5" xfId="0" applyFont="1" applyFill="1" applyBorder="1" applyAlignment="1" applyProtection="1">
      <alignment horizontal="center" vertical="center" wrapText="1"/>
    </xf>
    <xf numFmtId="49" fontId="84" fillId="17" borderId="11" xfId="0" applyNumberFormat="1" applyFont="1" applyFill="1" applyBorder="1" applyAlignment="1" applyProtection="1">
      <alignment horizontal="center" vertical="center" wrapText="1"/>
      <protection locked="0"/>
    </xf>
    <xf numFmtId="0" fontId="84" fillId="17" borderId="12" xfId="0" applyNumberFormat="1" applyFont="1" applyFill="1" applyBorder="1" applyAlignment="1" applyProtection="1">
      <alignment horizontal="center" vertical="center" wrapText="1"/>
    </xf>
    <xf numFmtId="0" fontId="84" fillId="17" borderId="5" xfId="0" applyNumberFormat="1" applyFont="1" applyFill="1" applyBorder="1" applyAlignment="1" applyProtection="1">
      <alignment horizontal="center" vertical="center" wrapText="1"/>
    </xf>
    <xf numFmtId="0" fontId="106" fillId="17" borderId="16" xfId="0" applyNumberFormat="1" applyFont="1" applyFill="1" applyBorder="1" applyAlignment="1" applyProtection="1">
      <alignment horizontal="center" vertical="center" wrapText="1"/>
      <protection locked="0"/>
    </xf>
    <xf numFmtId="176" fontId="71" fillId="17"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1" fillId="0" borderId="60" xfId="0" applyFont="1" applyFill="1" applyBorder="1" applyAlignment="1" applyProtection="1">
      <alignment horizontal="center" vertical="center" wrapText="1"/>
      <protection locked="0"/>
    </xf>
    <xf numFmtId="0" fontId="261" fillId="0" borderId="48" xfId="0" applyFont="1" applyFill="1" applyBorder="1" applyAlignment="1" applyProtection="1">
      <alignment horizontal="center" vertical="center" wrapText="1"/>
      <protection locked="0"/>
    </xf>
    <xf numFmtId="0" fontId="261" fillId="0" borderId="64" xfId="0" applyFont="1" applyFill="1" applyBorder="1" applyAlignment="1" applyProtection="1">
      <alignment horizontal="center" vertical="center" wrapText="1"/>
      <protection locked="0"/>
    </xf>
    <xf numFmtId="0" fontId="261" fillId="0" borderId="16" xfId="0"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28143</xdr:colOff>
      <xdr:row>13</xdr:row>
      <xdr:rowOff>104483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57143" cy="2333333"/>
        </a:xfrm>
        <a:prstGeom prst="rect">
          <a:avLst/>
        </a:prstGeom>
      </xdr:spPr>
    </xdr:pic>
    <xdr:clientData/>
  </xdr:twoCellAnchor>
  <xdr:twoCellAnchor editAs="oneCell">
    <xdr:from>
      <xdr:col>0</xdr:col>
      <xdr:colOff>419100</xdr:colOff>
      <xdr:row>14</xdr:row>
      <xdr:rowOff>123825</xdr:rowOff>
    </xdr:from>
    <xdr:to>
      <xdr:col>11</xdr:col>
      <xdr:colOff>104775</xdr:colOff>
      <xdr:row>44</xdr:row>
      <xdr:rowOff>114300</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9100" y="2524125"/>
          <a:ext cx="7229475" cy="51339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2657</v>
      </c>
      <c r="B1" s="2868" t="s">
        <v>2754</v>
      </c>
    </row>
    <row r="2" spans="1:55" s="2872" customFormat="1" ht="15" thickTop="1">
      <c r="A2" s="2870" t="s">
        <v>2661</v>
      </c>
      <c r="B2" s="2871" t="str">
        <f>'预评函-封皮'!B37</f>
        <v>出让国有建设用地使用权抵押价格预评估</v>
      </c>
      <c r="AX2" s="2873"/>
      <c r="AZ2" s="2873"/>
      <c r="BA2" s="2874"/>
      <c r="BC2" s="2874"/>
    </row>
    <row r="3" spans="1:55" s="2875" customFormat="1">
      <c r="A3" s="2854" t="s">
        <v>2662</v>
      </c>
      <c r="B3" s="2857" t="str">
        <f>'预评函-封皮'!B40</f>
        <v>五矿信托</v>
      </c>
    </row>
    <row r="4" spans="1:55" s="2856" customFormat="1">
      <c r="A4" s="2854" t="s">
        <v>2663</v>
      </c>
      <c r="B4" s="2855" t="str">
        <f>'预评函-封皮'!B46</f>
        <v>王鹏、郑燚</v>
      </c>
      <c r="N4" s="2856" t="str">
        <f>'预评函-1'!A28</f>
        <v/>
      </c>
    </row>
    <row r="5" spans="1:55" s="2869" customFormat="1" ht="15" thickBot="1">
      <c r="A5" s="2876" t="s">
        <v>2664</v>
      </c>
      <c r="B5" s="2877" t="str">
        <f>'预评函-封皮'!B49</f>
        <v>康正预评字号</v>
      </c>
    </row>
    <row r="6" spans="1:55" s="2878" customFormat="1" ht="15" thickTop="1">
      <c r="A6" s="2870" t="s">
        <v>2706</v>
      </c>
      <c r="B6" s="2871" t="str">
        <f>'预评函-1'!A4</f>
        <v>受贵公司委托，我公司对出让国有建设用地使用权抵押价格进行了预评估。</v>
      </c>
      <c r="AM6" s="2879"/>
    </row>
    <row r="7" spans="1:55" s="2853" customFormat="1">
      <c r="A7" s="2854" t="s">
        <v>2658</v>
      </c>
      <c r="B7" s="2855" t="str">
        <f>'预评函-1'!A6</f>
        <v>估价对象为使用的、位于出让国有建设用地使用权。根据《国有土地使用证》[]，估价对象（分摊）出让国有建设用地使用权面积为47625平方米。根据《建设工程规划许可证》[]、《出让合同》[]，估价对象规划建筑面积为183566.61平方米。</v>
      </c>
    </row>
    <row r="8" spans="1:55" s="2853" customFormat="1">
      <c r="A8" s="2854" t="s">
        <v>2659</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2709</v>
      </c>
      <c r="B9" s="2855"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53" customFormat="1">
      <c r="A10" s="2854" t="s">
        <v>2660</v>
      </c>
      <c r="B10" s="2855" t="str">
        <f>'预评函-1'!A11</f>
        <v>2019年1月25日（评估专业人员勘察现场之日）</v>
      </c>
    </row>
    <row r="11" spans="1:55" s="2853" customFormat="1">
      <c r="A11" s="2854" t="s">
        <v>2666</v>
      </c>
      <c r="B11" s="2855" t="str">
        <f>'预评函-1'!A14</f>
        <v>根据《国有土地使用证》[]，本次评估估价对象证载（地类）用途为。</v>
      </c>
    </row>
    <row r="12" spans="1:55" s="2853" customFormat="1">
      <c r="A12" s="2854" t="s">
        <v>2667</v>
      </c>
      <c r="B12" s="2855" t="str">
        <f>'预评函-1'!A15</f>
        <v>本次评估设定用途即为证载用途。</v>
      </c>
    </row>
    <row r="13" spans="1:55" s="2853" customFormat="1">
      <c r="A13" s="2854" t="s">
        <v>2668</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2669</v>
      </c>
      <c r="B14" s="2855" t="str">
        <f>'预评函-1'!A18</f>
        <v>。本次评估设定土地开发程度为红线外市政基础设施达“七通”、宗地红线内场地平整。</v>
      </c>
    </row>
    <row r="15" spans="1:55" s="2853" customFormat="1">
      <c r="A15" s="2854" t="s">
        <v>2665</v>
      </c>
      <c r="B15" s="2855" t="str">
        <f>'预评函-1'!A20</f>
        <v>根据《国有土地使用证》[]，估价对象（分摊）出让国有建设用地使用权面积为47625平方米。根据《建设工程规划许可证》[]、《出让合同》[]，估价对象规划建筑面积为183566.61平方米。</v>
      </c>
    </row>
    <row r="16" spans="1:55" s="2853" customFormat="1">
      <c r="A16" s="2854" t="s">
        <v>2670</v>
      </c>
      <c r="B16" s="2855" t="str">
        <f>'预评函-1'!A22</f>
        <v>本次估价对象为出让国有建设用地使用权，《国有土地使用证》[]证载土地终止日期为住宅2088年4月20日、商业2058年4月20日地下车库2068年4月20日。截至估价期日，出让国有建设用地使用权剩余土地使用年限为。</v>
      </c>
    </row>
    <row r="17" spans="1:48" s="2853" customFormat="1">
      <c r="A17" s="2854" t="s">
        <v>2671</v>
      </c>
      <c r="B17" s="2855" t="str">
        <f>'预评函-1'!A23</f>
        <v>本次评估设定估价对象剩余土地使用年限为。</v>
      </c>
    </row>
    <row r="18" spans="1:48" s="2853" customFormat="1">
      <c r="A18" s="2854" t="s">
        <v>2672</v>
      </c>
      <c r="B18" s="2855" t="str">
        <f>'预评函-1'!A25</f>
        <v>本次估价的“出让国有建设用地使用权价格”是指在估价对象土地所有权为国家所有，使用权性质为出让，在公开市场条件下、于估价期日2019年1月25日，在规划利用条件下、设定土地开发程度为红线外“七通”、宗地内场地，设定用途为，剩余土地使用年限为的出让国有建设用地使用权价格。</v>
      </c>
    </row>
    <row r="19" spans="1:48" s="2853" customFormat="1">
      <c r="A19" s="2854" t="s">
        <v>2673</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2674</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2675</v>
      </c>
      <c r="B21" s="2877" t="str">
        <f>'预评函-1'!A28</f>
        <v/>
      </c>
    </row>
    <row r="22" spans="1:48" ht="15" thickTop="1">
      <c r="A22" s="2865" t="s">
        <v>2676</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2677</v>
      </c>
      <c r="B23" s="2855" t="str">
        <f>'预评函-2'!K2</f>
        <v>估价期日：2019年1月25日</v>
      </c>
    </row>
    <row r="24" spans="1:48">
      <c r="A24" s="2854" t="s">
        <v>2678</v>
      </c>
      <c r="B24" s="2855" t="str">
        <f>'预评函-2'!R2</f>
        <v>估价期日的国有建设用地使用权性质：出让</v>
      </c>
    </row>
    <row r="25" spans="1:48">
      <c r="A25" s="2854" t="s">
        <v>2734</v>
      </c>
      <c r="B25" s="2855" t="str">
        <f>'预评函-2'!A3</f>
        <v>估价期日土地使用者</v>
      </c>
    </row>
    <row r="26" spans="1:48">
      <c r="A26" s="2854" t="s">
        <v>2710</v>
      </c>
      <c r="B26" s="2855" t="str">
        <f>'预评函-2'!A5</f>
        <v>中信开发</v>
      </c>
    </row>
    <row r="27" spans="1:48">
      <c r="A27" s="2854" t="s">
        <v>2735</v>
      </c>
      <c r="B27" s="2855" t="str">
        <f>'预评函-2'!B3</f>
        <v>宗地编号/不动产单元号</v>
      </c>
    </row>
    <row r="28" spans="1:48">
      <c r="A28" s="2854" t="s">
        <v>2711</v>
      </c>
      <c r="B28" s="2855" t="str">
        <f>'预评函-2'!B5</f>
        <v>11111111111</v>
      </c>
    </row>
    <row r="29" spans="1:48">
      <c r="A29" s="2854" t="s">
        <v>2737</v>
      </c>
      <c r="B29" s="2855">
        <f>'预评函-2'!C5</f>
        <v>22</v>
      </c>
    </row>
    <row r="30" spans="1:48">
      <c r="A30" s="2854" t="s">
        <v>2738</v>
      </c>
      <c r="B30" s="2855" t="str">
        <f>'预评函-2'!D3</f>
        <v>土地使用证编号/不动产权证书编号</v>
      </c>
    </row>
    <row r="31" spans="1:48">
      <c r="A31" s="2854" t="s">
        <v>2712</v>
      </c>
      <c r="B31" s="2855" t="str">
        <f>'预评函-2'!D5</f>
        <v>京国土字第111号</v>
      </c>
    </row>
    <row r="32" spans="1:48">
      <c r="A32" s="2854" t="s">
        <v>2713</v>
      </c>
      <c r="B32" s="2855">
        <f>'预评函-2'!E5</f>
        <v>0</v>
      </c>
      <c r="AV32" s="2859"/>
    </row>
    <row r="33" spans="1:2">
      <c r="A33" s="2854" t="s">
        <v>2714</v>
      </c>
      <c r="B33" s="2855">
        <f>'预评函-2'!F5</f>
        <v>258</v>
      </c>
    </row>
    <row r="34" spans="1:2">
      <c r="A34" s="2854" t="s">
        <v>2715</v>
      </c>
      <c r="B34" s="2855">
        <f>'预评函-2'!G5</f>
        <v>0</v>
      </c>
    </row>
    <row r="35" spans="1:2">
      <c r="A35" s="2854" t="s">
        <v>2716</v>
      </c>
      <c r="B35" s="2855">
        <f>'预评函-2'!H5</f>
        <v>1.5</v>
      </c>
    </row>
    <row r="36" spans="1:2">
      <c r="A36" s="2854" t="s">
        <v>2717</v>
      </c>
      <c r="B36" s="2855">
        <f>'预评函-2'!I5</f>
        <v>1.5</v>
      </c>
    </row>
    <row r="37" spans="1:2">
      <c r="A37" s="2854" t="s">
        <v>2718</v>
      </c>
      <c r="B37" s="2855">
        <f>'预评函-2'!J5</f>
        <v>1.5</v>
      </c>
    </row>
    <row r="38" spans="1:2">
      <c r="A38" s="2854" t="s">
        <v>2719</v>
      </c>
      <c r="B38" s="2855" t="str">
        <f>'预评函-2'!K5</f>
        <v>红线外七通、宗地红线内</v>
      </c>
    </row>
    <row r="39" spans="1:2">
      <c r="A39" s="2854" t="s">
        <v>2720</v>
      </c>
      <c r="B39" s="2855" t="str">
        <f>'预评函-2'!L5</f>
        <v>红线外七通、宗地红线内场地</v>
      </c>
    </row>
    <row r="40" spans="1:2">
      <c r="A40" s="2854" t="s">
        <v>2739</v>
      </c>
      <c r="B40" s="2855" t="str">
        <f>'预评函-2'!M3</f>
        <v>（剩余）土地使用年限/年</v>
      </c>
    </row>
    <row r="41" spans="1:2">
      <c r="A41" s="2854" t="s">
        <v>2721</v>
      </c>
      <c r="B41" s="2855">
        <f>'预评函-2'!M5</f>
        <v>0</v>
      </c>
    </row>
    <row r="42" spans="1:2">
      <c r="A42" s="2854" t="s">
        <v>2740</v>
      </c>
      <c r="B42" s="2855" t="str">
        <f>'预评函-2'!N3</f>
        <v>（分摊）出让国有建设用地使用权面积/㎡</v>
      </c>
    </row>
    <row r="43" spans="1:2">
      <c r="A43" s="2854" t="s">
        <v>2722</v>
      </c>
      <c r="B43" s="2855">
        <f>'预评函-2'!N5</f>
        <v>47625</v>
      </c>
    </row>
    <row r="44" spans="1:2">
      <c r="A44" s="2854" t="s">
        <v>2741</v>
      </c>
      <c r="B44" s="2855" t="str">
        <f>'预评函-2'!O3</f>
        <v>规划建筑面积/㎡</v>
      </c>
    </row>
    <row r="45" spans="1:2">
      <c r="A45" s="2854" t="s">
        <v>2723</v>
      </c>
      <c r="B45" s="2855">
        <f>'预评函-2'!O5</f>
        <v>183566.61000000002</v>
      </c>
    </row>
    <row r="46" spans="1:2">
      <c r="A46" s="2854" t="s">
        <v>2724</v>
      </c>
      <c r="B46" s="2855">
        <f ca="1">'预评函-2'!P5</f>
        <v>65177</v>
      </c>
    </row>
    <row r="47" spans="1:2">
      <c r="A47" s="2854" t="s">
        <v>2725</v>
      </c>
      <c r="B47" s="2855">
        <f ca="1">'预评函-2'!Q5</f>
        <v>16910</v>
      </c>
    </row>
    <row r="48" spans="1:2">
      <c r="A48" s="2854" t="s">
        <v>2726</v>
      </c>
      <c r="B48" s="2855">
        <f ca="1">'预评函-2'!R5</f>
        <v>310405</v>
      </c>
    </row>
    <row r="49" spans="1:2">
      <c r="A49" s="2854" t="s">
        <v>2742</v>
      </c>
      <c r="B49" s="2855" t="str">
        <f>'预评函-2'!A6</f>
        <v>抵押价格</v>
      </c>
    </row>
    <row r="50" spans="1:2">
      <c r="A50" s="2854" t="s">
        <v>2727</v>
      </c>
      <c r="B50" s="2855">
        <f ca="1">'预评函-2'!R6</f>
        <v>310405</v>
      </c>
    </row>
    <row r="51" spans="1:2">
      <c r="A51" s="2854" t="s">
        <v>2743</v>
      </c>
      <c r="B51" s="2855" t="str">
        <f>'预评函-2'!A7</f>
        <v>——</v>
      </c>
    </row>
    <row r="52" spans="1:2">
      <c r="A52" s="2854" t="s">
        <v>2728</v>
      </c>
      <c r="B52" s="2855" t="str">
        <f>'预评函-2'!R7</f>
        <v>——</v>
      </c>
    </row>
    <row r="53" spans="1:2">
      <c r="A53" s="2854" t="s">
        <v>2744</v>
      </c>
      <c r="B53" s="2855" t="str">
        <f>'预评函-2'!A8</f>
        <v>——</v>
      </c>
    </row>
    <row r="54" spans="1:2" s="2869" customFormat="1" ht="15" thickBot="1">
      <c r="A54" s="2876" t="s">
        <v>2729</v>
      </c>
      <c r="B54" s="2877" t="str">
        <f>'预评函-2'!R8</f>
        <v>——</v>
      </c>
    </row>
    <row r="55" spans="1:2" ht="15" thickTop="1">
      <c r="A55" s="2865" t="s">
        <v>2679</v>
      </c>
      <c r="B55" s="2866" t="str">
        <f>'预评函-3'!A2</f>
        <v>1.权利限制：根据估价对象《不动产权证书》原件、《国有土地使用权》复印件，截至估价期日，估价对象已设定抵押。未设定租赁等其他他项权利。</v>
      </c>
    </row>
    <row r="56" spans="1:2">
      <c r="A56" s="2854" t="s">
        <v>2680</v>
      </c>
      <c r="B56" s="2855" t="str">
        <f>'预评函-3'!A3</f>
        <v>2.基础设施条件：估价对象实际开发程度为红线外七通、宗地红线内；本次评估设定开发程度为红线外七通、宗地红线内场地。</v>
      </c>
    </row>
    <row r="57" spans="1:2">
      <c r="A57" s="2854" t="s">
        <v>2681</v>
      </c>
      <c r="B57" s="2855" t="str">
        <f>'预评函-3'!A4</f>
        <v>3.估价规划限制条件：详见《建设工程规划许可证》[]、《出让合同》[]。</v>
      </c>
    </row>
    <row r="58" spans="1:2" s="2869" customFormat="1" ht="15" thickBot="1">
      <c r="A58" s="2876" t="s">
        <v>2730</v>
      </c>
      <c r="B58" s="2877" t="str">
        <f>'预评函-3'!A5</f>
        <v>4.影响价格的其他限定条件：无。</v>
      </c>
    </row>
    <row r="59" spans="1:2" ht="15" thickTop="1">
      <c r="A59" s="2865" t="s">
        <v>2682</v>
      </c>
      <c r="B59" s="2866" t="str">
        <f>'预评函-3'!A8</f>
        <v>2.本《评估意见函》仅供金融机构进行内部审核使用，不做其他目的之用。</v>
      </c>
    </row>
    <row r="60" spans="1:2">
      <c r="A60" s="2854" t="s">
        <v>2683</v>
      </c>
      <c r="B60" s="2855" t="str">
        <f>'预评函-3'!A9</f>
        <v>3.抵押双方在办理抵押登记手续时，应使用本公司出具的正式《土地估价报告》，特提请报告使用者注意。</v>
      </c>
    </row>
    <row r="61" spans="1:2">
      <c r="A61" s="2854" t="s">
        <v>2685</v>
      </c>
      <c r="B61" s="2855" t="str">
        <f>'预评函-3'!A10</f>
        <v>4.估价师所知悉的法定优先受偿款情况为：</v>
      </c>
    </row>
    <row r="62" spans="1:2">
      <c r="A62" s="2854" t="s">
        <v>2684</v>
      </c>
      <c r="B62" s="2855"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2686</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2687</v>
      </c>
      <c r="B64" s="2860" t="str">
        <f>'预评函-3'!A13</f>
        <v>（3）。</v>
      </c>
    </row>
    <row r="65" spans="1:2">
      <c r="A65" s="2854" t="s">
        <v>2688</v>
      </c>
      <c r="B65" s="2861" t="str">
        <f>'预评函-3'!A14</f>
        <v>综上，本次评估不存在估价师知悉的法定优先受偿款</v>
      </c>
    </row>
    <row r="66" spans="1:2">
      <c r="A66" s="2854" t="s">
        <v>2689</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2690</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2693</v>
      </c>
      <c r="B68" s="2880">
        <f>'预评函-3'!D30</f>
        <v>42558</v>
      </c>
    </row>
    <row r="69" spans="1:2" ht="15" thickTop="1">
      <c r="A69" s="2865" t="s">
        <v>2691</v>
      </c>
      <c r="B69" s="2866" t="str">
        <f>'预评函-3'!A20</f>
        <v>王鹏</v>
      </c>
    </row>
    <row r="70" spans="1:2">
      <c r="A70" s="2854" t="s">
        <v>2691</v>
      </c>
      <c r="B70" s="2861">
        <f ca="1">'预评函-3'!B20</f>
        <v>2002110030</v>
      </c>
    </row>
    <row r="71" spans="1:2">
      <c r="A71" s="2854" t="s">
        <v>2692</v>
      </c>
      <c r="B71" s="2855" t="str">
        <f>'预评函-3'!A21</f>
        <v>郑燚</v>
      </c>
    </row>
    <row r="72" spans="1:2" s="2869" customFormat="1" ht="15" thickBot="1">
      <c r="A72" s="2876" t="s">
        <v>2692</v>
      </c>
      <c r="B72" s="2882">
        <f ca="1">'预评函-3'!B21</f>
        <v>2014110011</v>
      </c>
    </row>
    <row r="73" spans="1:2" ht="15" thickTop="1">
      <c r="A73" s="2865" t="s">
        <v>2751</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2752</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2753</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2788</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A23:I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45" t="str">
        <f>IF(B10="北京市","北京市",C10)&amp;F10&amp;B16&amp;"国有建设用地使用权"&amp;B9&amp;"预评估"</f>
        <v>出让国有建设用地使用权抵押价格预评估</v>
      </c>
      <c r="C1" s="3246"/>
      <c r="D1" s="3246"/>
      <c r="E1" s="3246"/>
      <c r="F1" s="3246"/>
      <c r="G1" s="3246"/>
      <c r="H1" s="3246"/>
      <c r="I1" s="3247"/>
      <c r="J1" s="1693"/>
      <c r="K1" s="2432"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2"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f>D3</f>
        <v>43490</v>
      </c>
      <c r="C3" s="1662" t="s">
        <v>1996</v>
      </c>
      <c r="D3" s="1661">
        <v>43490</v>
      </c>
      <c r="E3" s="1693"/>
      <c r="F3" s="1693"/>
      <c r="G3" s="1693"/>
      <c r="H3" s="1659"/>
      <c r="I3" s="1694"/>
      <c r="J3" s="1693"/>
      <c r="K3" s="1773"/>
      <c r="L3" s="1722"/>
      <c r="M3" s="1722"/>
      <c r="N3" s="1693"/>
      <c r="O3" s="1694"/>
      <c r="P3" s="1693"/>
      <c r="Q3" s="1693"/>
      <c r="R3" s="1693"/>
      <c r="S3" s="1693"/>
      <c r="T3" s="1693"/>
      <c r="U3" s="1693"/>
    </row>
    <row r="4" spans="1:21" ht="15" thickBot="1">
      <c r="A4" s="1663" t="s">
        <v>1941</v>
      </c>
      <c r="B4" s="1842" t="s">
        <v>3345</v>
      </c>
      <c r="C4" s="1845">
        <f ca="1">SUMIF(土地估价师,B4,估价师及机构信息!E3:E24)</f>
        <v>2002110030</v>
      </c>
      <c r="D4" s="1842" t="s">
        <v>3346</v>
      </c>
      <c r="E4" s="1845">
        <f ca="1">SUMIF(土地估价师,D4,估价师及机构信息!E3:E24)</f>
        <v>2014110011</v>
      </c>
      <c r="F4" s="1842" t="s">
        <v>952</v>
      </c>
      <c r="G4" s="1845">
        <f>SUMIF(土地估价师,F4,估价师及机构信息!E3:E24)</f>
        <v>0</v>
      </c>
      <c r="H4" s="1842" t="s">
        <v>952</v>
      </c>
      <c r="I4" s="1845">
        <f>SUMIF(土地估价师,H4,估价师及机构信息!E3:E24)</f>
        <v>0</v>
      </c>
      <c r="J4" s="1693"/>
      <c r="K4" s="2432" t="str">
        <f>IF(AND(F4="——",H4="——"),B4&amp;"、"&amp;D4,IF(AND(F4&lt;&gt;"——",H4="——"),B4&amp;"、"&amp;D4&amp;"、"&amp;F4,B4&amp;"、"&amp;D4&amp;"、"&amp;F4&amp;"、"&amp;H4))</f>
        <v>王鹏、郑燚</v>
      </c>
      <c r="L4" s="1722"/>
      <c r="M4" s="1722"/>
      <c r="N4" s="1693"/>
      <c r="O4" s="1694"/>
      <c r="P4" s="1693"/>
      <c r="Q4" s="1693"/>
      <c r="R4" s="1693"/>
      <c r="S4" s="1693"/>
      <c r="T4" s="1693"/>
      <c r="U4" s="1693"/>
    </row>
    <row r="5" spans="1:21" ht="15" thickTop="1">
      <c r="A5" s="1664" t="s">
        <v>1942</v>
      </c>
      <c r="B5" s="1788" t="s">
        <v>3347</v>
      </c>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29"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2996</v>
      </c>
      <c r="C8" s="1670"/>
      <c r="D8" s="3251" t="s">
        <v>1945</v>
      </c>
      <c r="E8" s="1843" t="s">
        <v>2997</v>
      </c>
      <c r="F8" s="1671"/>
      <c r="G8" s="1659"/>
      <c r="H8" s="1659"/>
      <c r="I8" s="1706"/>
      <c r="J8" s="1693"/>
      <c r="K8" s="1773"/>
      <c r="L8" s="1722"/>
      <c r="M8" s="1722"/>
      <c r="N8" s="1693"/>
      <c r="O8" s="1694"/>
      <c r="P8" s="1693"/>
      <c r="Q8" s="1693"/>
      <c r="R8" s="1693"/>
      <c r="S8" s="1693"/>
      <c r="T8" s="1693"/>
      <c r="U8" s="1693"/>
    </row>
    <row r="9" spans="1:21" ht="15" thickBot="1">
      <c r="A9" s="1672" t="s">
        <v>1944</v>
      </c>
      <c r="B9" s="1673" t="s">
        <v>2997</v>
      </c>
      <c r="C9" s="1674"/>
      <c r="D9" s="3252"/>
      <c r="E9" s="1673"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3348</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3349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48"/>
      <c r="C12" s="3249"/>
      <c r="D12" s="3250"/>
      <c r="E12" s="1698" t="s">
        <v>2062</v>
      </c>
      <c r="F12" s="3266" t="s">
        <v>2889</v>
      </c>
      <c r="G12" s="3267"/>
      <c r="H12" s="3267"/>
      <c r="I12" s="3268"/>
      <c r="J12" s="1693"/>
      <c r="K12" s="1773"/>
      <c r="L12" s="1722"/>
      <c r="M12" s="1722"/>
      <c r="N12" s="1693"/>
      <c r="O12" s="1694"/>
      <c r="P12" s="1693"/>
      <c r="Q12" s="1693"/>
      <c r="R12" s="1693"/>
      <c r="S12" s="1693"/>
      <c r="T12" s="1693"/>
      <c r="U12" s="1693"/>
    </row>
    <row r="13" spans="1:21">
      <c r="A13" s="1686" t="s">
        <v>2060</v>
      </c>
      <c r="B13" s="3248"/>
      <c r="C13" s="3249"/>
      <c r="D13" s="3250"/>
      <c r="E13" s="1698" t="s">
        <v>2062</v>
      </c>
      <c r="F13" s="3266" t="s">
        <v>2890</v>
      </c>
      <c r="G13" s="3267"/>
      <c r="H13" s="3267"/>
      <c r="I13" s="3268"/>
      <c r="J13" s="1693"/>
      <c r="K13" s="1773"/>
      <c r="L13" s="1722"/>
      <c r="M13" s="1722"/>
      <c r="N13" s="1693"/>
      <c r="O13" s="1694"/>
      <c r="P13" s="1693"/>
      <c r="Q13" s="1693"/>
      <c r="R13" s="1693"/>
      <c r="S13" s="1693"/>
      <c r="T13" s="1693"/>
      <c r="U13" s="1693"/>
    </row>
    <row r="14" spans="1:21">
      <c r="A14" s="1660" t="s">
        <v>2063</v>
      </c>
      <c r="B14" s="1698"/>
      <c r="C14" s="1844" t="s">
        <v>3350</v>
      </c>
      <c r="D14" s="1732" t="str">
        <f>IF(C14="不一致","是否符合证载地类范围","")</f>
        <v/>
      </c>
      <c r="E14" s="1698"/>
      <c r="F14" s="1789" t="s">
        <v>3351</v>
      </c>
      <c r="G14" s="1727"/>
      <c r="H14" s="1727"/>
      <c r="I14" s="1836"/>
      <c r="J14" s="1693"/>
      <c r="K14" s="1773"/>
      <c r="L14" s="1722"/>
      <c r="M14" s="1722"/>
      <c r="N14" s="1693"/>
      <c r="O14" s="1694"/>
      <c r="P14" s="1693"/>
      <c r="Q14" s="1693"/>
      <c r="R14" s="1693"/>
      <c r="S14" s="1693"/>
      <c r="T14" s="1693"/>
      <c r="U14" s="1693"/>
    </row>
    <row r="15" spans="1:21" hidden="1">
      <c r="A15" s="2622"/>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2.75">
      <c r="A16" s="1679" t="s">
        <v>1948</v>
      </c>
      <c r="B16" s="1680" t="s">
        <v>2995</v>
      </c>
      <c r="C16" s="1698" t="s">
        <v>1949</v>
      </c>
      <c r="D16" s="2623" t="s">
        <v>1950</v>
      </c>
      <c r="E16" s="1721" t="s">
        <v>2994</v>
      </c>
      <c r="F16" s="1721"/>
      <c r="G16" s="1721" t="s">
        <v>35</v>
      </c>
      <c r="H16" s="1721"/>
      <c r="I16" s="1685" t="s">
        <v>1955</v>
      </c>
      <c r="J16" s="1693"/>
      <c r="K16" s="2433" t="str">
        <f>IF(D17="","",D16&amp;TEXT(D17,"yyyy年m月d日;;"))</f>
        <v>住宅2088年4月20日</v>
      </c>
      <c r="L16" s="1698" t="str">
        <f>IF(OR(K16="",M16=""),"","、")</f>
        <v>、</v>
      </c>
      <c r="M16" s="2433" t="str">
        <f>IF(E17="","",E16&amp;TEXT(E17,"yyyy年m月d日;;"))</f>
        <v>商业2058年4月20日</v>
      </c>
      <c r="N16" s="1698" t="str">
        <f>IF(OR(M16="",O16=""),"","、")</f>
        <v/>
      </c>
      <c r="O16" s="2433" t="str">
        <f>IF(F17="","",F16&amp;TEXT(F17,"yyyy年m月d日;;"))</f>
        <v/>
      </c>
      <c r="P16" s="1698" t="str">
        <f>IF(OR(O16="",Q16=""),"","、")</f>
        <v/>
      </c>
      <c r="Q16" s="2433" t="str">
        <f>IF(G17="","",G16&amp;TEXT(G17,"yyyy年m月d日;;"))</f>
        <v>地下车库2068年4月20日</v>
      </c>
      <c r="R16" s="1698" t="str">
        <f>IF(OR(Q16="",S16=""),"","、")</f>
        <v/>
      </c>
      <c r="S16" s="2433" t="str">
        <f>IF(H17="","",H16&amp;TEXT(H17,"yyyy年m月d日;;"))</f>
        <v/>
      </c>
      <c r="T16" s="1698" t="str">
        <f>IF(OR(S16="",U16=""),"","、")</f>
        <v/>
      </c>
      <c r="U16" s="2433" t="str">
        <f>IF(I17="","",I16&amp;TEXT(I17,"yyyy年m月d日;;"))</f>
        <v/>
      </c>
    </row>
    <row r="17" spans="1:21">
      <c r="A17" s="1762"/>
      <c r="B17" s="1681"/>
      <c r="C17" s="1682" t="s">
        <v>1956</v>
      </c>
      <c r="D17" s="1699">
        <v>68778</v>
      </c>
      <c r="E17" s="1699">
        <v>57820</v>
      </c>
      <c r="F17" s="1699"/>
      <c r="G17" s="1699">
        <v>61473</v>
      </c>
      <c r="H17" s="1699"/>
      <c r="I17" s="1699"/>
      <c r="J17" s="1693"/>
      <c r="K17" s="2432" t="str">
        <f>CONCATENATE(K16,L16,M16,N16,O16,P16,Q16,R16,S16,T16,,U16)</f>
        <v>住宅2088年4月20日、商业2058年4月20日地下车库2068年4月20日</v>
      </c>
      <c r="L17" s="1722"/>
      <c r="M17" s="1722"/>
      <c r="N17" s="1693"/>
      <c r="O17" s="1694"/>
      <c r="P17" s="1693"/>
      <c r="Q17" s="1693"/>
      <c r="R17" s="1693"/>
      <c r="S17" s="1693"/>
      <c r="T17" s="1693"/>
      <c r="U17" s="1693"/>
    </row>
    <row r="18" spans="1:21">
      <c r="A18" s="1762"/>
      <c r="B18" s="1681"/>
      <c r="C18" s="1682" t="s">
        <v>1957</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69.28</v>
      </c>
      <c r="E19" s="1684">
        <f>IF(B16="出让",IF(E17="","",ROUNDDOWN(MIN((E17-$D$3)/365,E18),2)),E18)</f>
        <v>39.26</v>
      </c>
      <c r="F19" s="1684" t="str">
        <f>IF(B16="出让",IF(F17="","",ROUNDDOWN(MIN((F17-$D$3)/365,F18),2)),F18)</f>
        <v/>
      </c>
      <c r="G19" s="1684">
        <f>IF(B16="出让",IF(G17="","",ROUNDDOWN(MIN((G17-$D$3)/365,G18),2)),G18)</f>
        <v>49.26</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63"/>
      <c r="E20" s="3264"/>
      <c r="F20" s="3264"/>
      <c r="G20" s="3264"/>
      <c r="H20" s="3264"/>
      <c r="I20" s="3265"/>
      <c r="J20" s="1693"/>
      <c r="K20" s="1773"/>
      <c r="L20" s="1722"/>
      <c r="M20" s="1722"/>
      <c r="N20" s="1693"/>
      <c r="O20" s="1694"/>
      <c r="P20" s="1693"/>
      <c r="Q20" s="1693"/>
      <c r="R20" s="1693"/>
      <c r="S20" s="1693"/>
      <c r="T20" s="1693"/>
      <c r="U20" s="1693"/>
    </row>
    <row r="21" spans="1:21">
      <c r="A21" s="1762" t="s">
        <v>1959</v>
      </c>
      <c r="B21" s="1763" t="s">
        <v>1960</v>
      </c>
      <c r="C21" s="1758">
        <f>'数据-汇总表'!E3</f>
        <v>183566.61000000002</v>
      </c>
      <c r="D21" s="1759" t="s">
        <v>1961</v>
      </c>
      <c r="E21" s="3253" t="s">
        <v>1999</v>
      </c>
      <c r="F21" s="3254"/>
      <c r="G21" s="3254"/>
      <c r="H21" s="3254"/>
      <c r="I21" s="3255"/>
      <c r="J21" s="1693"/>
      <c r="K21" s="1773"/>
      <c r="L21" s="1722"/>
      <c r="M21" s="1722"/>
      <c r="N21" s="1693"/>
      <c r="O21" s="1694"/>
      <c r="P21" s="1693"/>
      <c r="Q21" s="1693"/>
      <c r="R21" s="1693"/>
      <c r="S21" s="1693"/>
      <c r="T21" s="1693"/>
      <c r="U21" s="1693"/>
    </row>
    <row r="22" spans="1:21">
      <c r="A22" s="3119" t="s">
        <v>952</v>
      </c>
      <c r="B22" s="1660" t="s">
        <v>1962</v>
      </c>
      <c r="C22" s="1685">
        <f>'数据-汇总表'!D3</f>
        <v>47625</v>
      </c>
      <c r="D22" s="1686" t="s">
        <v>1961</v>
      </c>
      <c r="E22" s="3253" t="s">
        <v>2891</v>
      </c>
      <c r="F22" s="3254"/>
      <c r="G22" s="3254"/>
      <c r="H22" s="3254"/>
      <c r="I22" s="3255"/>
      <c r="J22" s="1693"/>
      <c r="K22" s="1773"/>
      <c r="L22" s="1722"/>
      <c r="M22" s="1722"/>
      <c r="N22" s="1693"/>
      <c r="O22" s="1694"/>
      <c r="P22" s="1693"/>
      <c r="Q22" s="1693"/>
      <c r="R22" s="1693"/>
      <c r="S22" s="1693"/>
      <c r="T22" s="1693"/>
      <c r="U22" s="1693"/>
    </row>
    <row r="23" spans="1:21" ht="43.5" thickBot="1">
      <c r="A23" s="1764" t="s">
        <v>1963</v>
      </c>
      <c r="B23" s="1700" t="s">
        <v>1964</v>
      </c>
      <c r="C23" s="1701" t="s">
        <v>1679</v>
      </c>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56" t="s">
        <v>1967</v>
      </c>
      <c r="C24" s="3257"/>
      <c r="D24" s="3258" t="s">
        <v>1968</v>
      </c>
      <c r="E24" s="3259"/>
      <c r="F24" s="1707" t="s">
        <v>1969</v>
      </c>
      <c r="G24" s="1693"/>
      <c r="H24" s="1693"/>
      <c r="I24" s="1706"/>
      <c r="J24" s="1693"/>
      <c r="K24" s="3244"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44"/>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44"/>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28"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29"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29"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0"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0" t="s">
        <v>2002</v>
      </c>
      <c r="B31" s="1763" t="s">
        <v>2003</v>
      </c>
      <c r="C31" s="3269"/>
      <c r="D31" s="3270"/>
      <c r="E31" s="1693"/>
      <c r="F31" s="1693"/>
      <c r="G31" s="1693"/>
      <c r="H31" s="1693"/>
      <c r="I31" s="1706"/>
      <c r="J31" s="1693"/>
      <c r="K31" s="2435"/>
      <c r="L31" s="1693"/>
      <c r="M31" s="1693"/>
      <c r="N31" s="1693"/>
      <c r="O31" s="1693"/>
      <c r="P31" s="1693"/>
      <c r="Q31" s="1693"/>
      <c r="R31" s="1693"/>
      <c r="S31" s="1693"/>
      <c r="T31" s="1693"/>
      <c r="U31" s="1693"/>
    </row>
    <row r="32" spans="1:21">
      <c r="A32" s="3230"/>
      <c r="B32" s="1660" t="s">
        <v>2004</v>
      </c>
      <c r="C32" s="1718"/>
      <c r="D32" s="1719"/>
      <c r="E32" s="1693"/>
      <c r="F32" s="1693"/>
      <c r="G32" s="1693"/>
      <c r="H32" s="1693"/>
      <c r="I32" s="1706"/>
      <c r="J32" s="1693"/>
      <c r="K32" s="2435"/>
      <c r="L32" s="1693"/>
      <c r="M32" s="1693"/>
      <c r="N32" s="1693"/>
      <c r="O32" s="1693"/>
      <c r="P32" s="1693"/>
      <c r="Q32" s="1693"/>
      <c r="R32" s="1693"/>
      <c r="S32" s="1693"/>
      <c r="T32" s="1693"/>
      <c r="U32" s="1693"/>
    </row>
    <row r="33" spans="1:21">
      <c r="A33" s="3230"/>
      <c r="B33" s="1660" t="s">
        <v>2005</v>
      </c>
      <c r="C33" s="1720"/>
      <c r="D33" s="1837"/>
      <c r="E33" s="1693"/>
      <c r="F33" s="1693"/>
      <c r="G33" s="1693"/>
      <c r="H33" s="1693"/>
      <c r="I33" s="1706"/>
      <c r="J33" s="1693"/>
      <c r="K33" s="2435"/>
      <c r="L33" s="1693"/>
      <c r="M33" s="1693"/>
      <c r="N33" s="1693"/>
      <c r="O33" s="1693"/>
      <c r="P33" s="1693"/>
      <c r="Q33" s="1693"/>
      <c r="R33" s="1693"/>
      <c r="S33" s="1693"/>
      <c r="T33" s="1693"/>
      <c r="U33" s="1693"/>
    </row>
    <row r="34" spans="1:21">
      <c r="A34" s="3231"/>
      <c r="B34" s="1660" t="s">
        <v>2006</v>
      </c>
      <c r="C34" s="3232"/>
      <c r="D34" s="3233"/>
      <c r="E34" s="1693"/>
      <c r="F34" s="1693"/>
      <c r="G34" s="1693"/>
      <c r="H34" s="1693"/>
      <c r="I34" s="1706"/>
      <c r="J34" s="1693"/>
      <c r="K34" s="2435"/>
      <c r="L34" s="1693"/>
      <c r="M34" s="1693"/>
      <c r="N34" s="1693"/>
      <c r="O34" s="1693"/>
      <c r="P34" s="1693"/>
      <c r="Q34" s="1693"/>
      <c r="R34" s="1693"/>
      <c r="S34" s="1693"/>
      <c r="T34" s="1693"/>
      <c r="U34" s="1693"/>
    </row>
    <row r="35" spans="1:21">
      <c r="A35" s="3234" t="s">
        <v>847</v>
      </c>
      <c r="B35" s="1721"/>
      <c r="C35" s="1775" t="str">
        <f>IF(B35="场地平整","——","具体情况：")</f>
        <v>具体情况：</v>
      </c>
      <c r="D35" s="3236"/>
      <c r="E35" s="3237"/>
      <c r="F35" s="3237"/>
      <c r="G35" s="3237"/>
      <c r="H35" s="3237"/>
      <c r="I35" s="3238"/>
      <c r="J35" s="1693"/>
      <c r="K35" s="1774"/>
      <c r="L35" s="1722"/>
      <c r="M35" s="1722"/>
      <c r="N35" s="1693"/>
      <c r="O35" s="1694"/>
      <c r="P35" s="1693"/>
      <c r="Q35" s="1693"/>
      <c r="R35" s="1693"/>
      <c r="S35" s="1693"/>
      <c r="T35" s="1693"/>
      <c r="U35" s="1693"/>
    </row>
    <row r="36" spans="1:21">
      <c r="A36" s="3230"/>
      <c r="B36" s="3239" t="s">
        <v>2055</v>
      </c>
      <c r="C36" s="3240"/>
      <c r="D36" s="1791"/>
      <c r="E36" s="3241"/>
      <c r="F36" s="3241"/>
      <c r="G36" s="1686" t="str">
        <f>IF(B35="场地未平整","估价结果处理","")</f>
        <v/>
      </c>
      <c r="H36" s="3242"/>
      <c r="I36" s="3242"/>
      <c r="J36" s="1693"/>
      <c r="K36" s="1774"/>
      <c r="L36" s="1722"/>
      <c r="M36" s="1722"/>
      <c r="N36" s="1693"/>
      <c r="O36" s="1694"/>
      <c r="P36" s="1693"/>
      <c r="Q36" s="1693"/>
      <c r="R36" s="1693"/>
      <c r="S36" s="1693"/>
      <c r="T36" s="1693"/>
      <c r="U36" s="1693"/>
    </row>
    <row r="37" spans="1:21" ht="28.5">
      <c r="A37" s="3230"/>
      <c r="B37" s="3260"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0"/>
      <c r="B38" s="3261"/>
      <c r="C38" s="1668" t="s">
        <v>850</v>
      </c>
      <c r="D38" s="1790">
        <f>ROUNDDOWN(MIN(('数据-取费表'!$B$2-D37)/365,D34),1)</f>
        <v>119.1</v>
      </c>
      <c r="E38" s="1726" t="s">
        <v>851</v>
      </c>
      <c r="F38" s="1693"/>
      <c r="G38" s="1693"/>
      <c r="H38" s="1693"/>
      <c r="I38" s="1706"/>
      <c r="J38" s="1693"/>
      <c r="K38" s="1774"/>
      <c r="L38" s="1693"/>
      <c r="M38" s="1693"/>
      <c r="N38" s="1693"/>
      <c r="O38" s="1693"/>
      <c r="P38" s="1693"/>
      <c r="Q38" s="1693"/>
      <c r="R38" s="1693"/>
      <c r="S38" s="1693"/>
      <c r="T38" s="1693"/>
      <c r="U38" s="1693"/>
    </row>
    <row r="39" spans="1:21">
      <c r="A39" s="3231"/>
      <c r="B39" s="326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43" t="s">
        <v>1986</v>
      </c>
      <c r="T40" s="1730" t="str">
        <f>NUMBERSTRING(7-K40,1)&amp;"通"</f>
        <v>七通</v>
      </c>
      <c r="U40" s="1693"/>
    </row>
    <row r="41" spans="1:21">
      <c r="A41" s="1662"/>
      <c r="B41" s="3235" t="s">
        <v>1722</v>
      </c>
      <c r="C41" s="3235"/>
      <c r="D41" s="3235"/>
      <c r="E41" s="3235"/>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43"/>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6" customFormat="1" ht="21" thickBot="1">
      <c r="A45" s="3047" t="s">
        <v>2892</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0" sqref="A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47625</v>
      </c>
      <c r="B3" s="22">
        <f>IF(C3="否",G5-AT5,G5)</f>
        <v>183566.61000000002</v>
      </c>
      <c r="C3" s="23" t="s">
        <v>2999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183566.61000000002</v>
      </c>
      <c r="H5" s="27">
        <f t="shared" ref="H5:AT5" si="0">SUM(H13:H641)</f>
        <v>175757.45</v>
      </c>
      <c r="I5" s="27">
        <f t="shared" si="0"/>
        <v>116672.36</v>
      </c>
      <c r="J5" s="27">
        <f t="shared" si="0"/>
        <v>0</v>
      </c>
      <c r="K5" s="27">
        <f t="shared" si="0"/>
        <v>1357.27</v>
      </c>
      <c r="L5" s="27">
        <f t="shared" si="0"/>
        <v>0</v>
      </c>
      <c r="M5" s="27">
        <f t="shared" si="0"/>
        <v>57727.82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7809.1600000000035</v>
      </c>
      <c r="AD5" s="27">
        <f t="shared" si="0"/>
        <v>1199.0700000000002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6610.0900000000038</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183566.61000000002</v>
      </c>
      <c r="BA5" s="29">
        <f t="shared" si="1"/>
        <v>175757.45</v>
      </c>
      <c r="BB5" s="29">
        <f t="shared" si="1"/>
        <v>116672.36</v>
      </c>
      <c r="BC5" s="29">
        <f t="shared" si="1"/>
        <v>1357.27</v>
      </c>
      <c r="BD5" s="29">
        <f t="shared" si="1"/>
        <v>57727.82</v>
      </c>
      <c r="BE5" s="29">
        <f t="shared" si="1"/>
        <v>0</v>
      </c>
      <c r="BF5" s="29">
        <f t="shared" si="1"/>
        <v>0</v>
      </c>
      <c r="BG5" s="29">
        <f t="shared" si="1"/>
        <v>0</v>
      </c>
      <c r="BH5" s="29">
        <f t="shared" si="1"/>
        <v>0</v>
      </c>
      <c r="BI5" s="29">
        <f t="shared" si="1"/>
        <v>0</v>
      </c>
      <c r="BJ5" s="29">
        <f t="shared" si="1"/>
        <v>0</v>
      </c>
      <c r="BK5" s="29">
        <f t="shared" si="1"/>
        <v>0</v>
      </c>
      <c r="BL5" s="29">
        <f t="shared" si="1"/>
        <v>7809.1600000000035</v>
      </c>
      <c r="BM5" s="29">
        <f t="shared" si="1"/>
        <v>1199.0700000000002</v>
      </c>
      <c r="BN5" s="29">
        <f t="shared" si="1"/>
        <v>0</v>
      </c>
      <c r="BO5" s="29">
        <f t="shared" si="1"/>
        <v>0</v>
      </c>
      <c r="BP5" s="29">
        <f t="shared" si="1"/>
        <v>0</v>
      </c>
      <c r="BQ5" s="29">
        <f t="shared" si="1"/>
        <v>0</v>
      </c>
      <c r="BR5" s="29">
        <f t="shared" si="1"/>
        <v>6610.0900000000038</v>
      </c>
      <c r="BS5" s="29">
        <f t="shared" si="1"/>
        <v>0</v>
      </c>
      <c r="BT5" s="30">
        <f t="shared" si="1"/>
        <v>0</v>
      </c>
    </row>
    <row r="6" spans="1:72" s="37" customFormat="1" ht="12.75">
      <c r="A6" s="26" t="s">
        <v>169</v>
      </c>
      <c r="B6" s="31"/>
      <c r="C6" s="31"/>
      <c r="D6" s="32"/>
      <c r="E6" s="27">
        <f>H6+AC6+AT6</f>
        <v>47625</v>
      </c>
      <c r="F6" s="27" t="s">
        <v>1</v>
      </c>
      <c r="G6" s="27" t="s">
        <v>2</v>
      </c>
      <c r="H6" s="33">
        <f>SUMIF(I$12:AB$12,"总值",I6:AB6)</f>
        <v>45598.97</v>
      </c>
      <c r="I6" s="27">
        <f t="shared" ref="I6:AB6" si="2">ROUND($A$3*I5/$B$3,2)</f>
        <v>30269.78</v>
      </c>
      <c r="J6" s="27">
        <f t="shared" si="2"/>
        <v>0</v>
      </c>
      <c r="K6" s="27">
        <f t="shared" si="2"/>
        <v>352.13</v>
      </c>
      <c r="L6" s="27">
        <f t="shared" si="2"/>
        <v>0</v>
      </c>
      <c r="M6" s="27">
        <f t="shared" si="2"/>
        <v>14977.06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2026.03</v>
      </c>
      <c r="AD6" s="27">
        <f t="shared" ref="AD6:AS6" si="3">ROUND($A$3*AD5/$B$3,2)</f>
        <v>311.08999999999997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1714.94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47625</v>
      </c>
      <c r="AZ6" s="27" t="s">
        <v>3</v>
      </c>
      <c r="BA6" s="27">
        <f>ROUND($AY$6*BA5/$AZ$5,2)</f>
        <v>45598.97</v>
      </c>
      <c r="BB6" s="27">
        <f>ROUND($AY$6*BB5/$AZ$5,2)</f>
        <v>30269.78</v>
      </c>
      <c r="BC6" s="27">
        <f t="shared" ref="BC6:BH6" si="4">ROUND($AY$6*BC5/$AZ$5,2)</f>
        <v>352.13</v>
      </c>
      <c r="BD6" s="27">
        <f t="shared" si="4"/>
        <v>14977.06</v>
      </c>
      <c r="BE6" s="27">
        <f t="shared" si="4"/>
        <v>0</v>
      </c>
      <c r="BF6" s="27">
        <f t="shared" si="4"/>
        <v>0</v>
      </c>
      <c r="BG6" s="27">
        <f t="shared" si="4"/>
        <v>0</v>
      </c>
      <c r="BH6" s="27">
        <f t="shared" si="4"/>
        <v>0</v>
      </c>
      <c r="BI6" s="27">
        <f t="shared" ref="BI6:BT6" si="5">ROUND($AY$6*BI5/$AZ$5,2)</f>
        <v>0</v>
      </c>
      <c r="BJ6" s="27">
        <f t="shared" si="5"/>
        <v>0</v>
      </c>
      <c r="BK6" s="27">
        <f t="shared" si="5"/>
        <v>0</v>
      </c>
      <c r="BL6" s="27">
        <f t="shared" si="5"/>
        <v>2026.03</v>
      </c>
      <c r="BM6" s="27">
        <f t="shared" si="5"/>
        <v>311.08999999999997</v>
      </c>
      <c r="BN6" s="27">
        <f t="shared" si="5"/>
        <v>0</v>
      </c>
      <c r="BO6" s="27">
        <f t="shared" si="5"/>
        <v>0</v>
      </c>
      <c r="BP6" s="27">
        <f t="shared" si="5"/>
        <v>0</v>
      </c>
      <c r="BQ6" s="27">
        <f t="shared" si="5"/>
        <v>0</v>
      </c>
      <c r="BR6" s="27">
        <f t="shared" si="5"/>
        <v>1714.94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2" t="s">
        <v>2998</v>
      </c>
      <c r="J9" s="51"/>
      <c r="K9" s="2992" t="s">
        <v>2998</v>
      </c>
      <c r="L9" s="51"/>
      <c r="M9" s="2992" t="s">
        <v>3031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2" t="s">
        <v>923</v>
      </c>
      <c r="J10" s="51"/>
      <c r="K10" s="2994" t="s">
        <v>2994</v>
      </c>
      <c r="L10" s="51"/>
      <c r="M10" s="2994" t="s">
        <v>3032</v>
      </c>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3" t="s">
        <v>3029</v>
      </c>
      <c r="J11" s="71"/>
      <c r="K11" s="2993" t="s">
        <v>3030</v>
      </c>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7"/>
      <c r="B13" s="2987"/>
      <c r="C13" s="2987"/>
      <c r="D13" s="2988" t="s">
        <v>1679</v>
      </c>
      <c r="E13" s="27">
        <f t="shared" ref="E13:E20" si="6">IF($C$3="是",ROUND($A$3*G13/$B$3,2),ROUND($A$3*(G13-AT13)/$B$3,2))</f>
        <v>47625</v>
      </c>
      <c r="F13" s="81"/>
      <c r="G13" s="82">
        <f t="shared" ref="G13:G20" si="7">H13+AC13+AT13</f>
        <v>183566.61000000002</v>
      </c>
      <c r="H13" s="33">
        <f t="shared" ref="H13:H20" si="8">SUMIF(I$12:AB$12,"总值",I13:AB13)</f>
        <v>175757.45</v>
      </c>
      <c r="I13" s="2991">
        <v>116672.36</v>
      </c>
      <c r="J13" s="2991"/>
      <c r="K13" s="2991">
        <v>1357.27</v>
      </c>
      <c r="L13" s="2991"/>
      <c r="M13" s="2991">
        <f>24033.15+33694.67</f>
        <v>57727.82</v>
      </c>
      <c r="N13" s="83"/>
      <c r="O13" s="83"/>
      <c r="P13" s="83"/>
      <c r="Q13" s="83"/>
      <c r="R13" s="83"/>
      <c r="S13" s="83"/>
      <c r="T13" s="83"/>
      <c r="U13" s="83"/>
      <c r="V13" s="83"/>
      <c r="W13" s="83"/>
      <c r="X13" s="83"/>
      <c r="Y13" s="83"/>
      <c r="Z13" s="83"/>
      <c r="AA13" s="83"/>
      <c r="AB13" s="83"/>
      <c r="AC13" s="27">
        <f t="shared" ref="AC13:AC20" si="9">SUMIF(AD$12:AS$12,"总值",AD13:AS13)</f>
        <v>7809.1600000000035</v>
      </c>
      <c r="AD13" s="2995">
        <f>2556.34-K13</f>
        <v>1199.0700000000002</v>
      </c>
      <c r="AE13" s="2995"/>
      <c r="AF13" s="2995"/>
      <c r="AG13" s="2995"/>
      <c r="AH13" s="2995"/>
      <c r="AI13" s="2995"/>
      <c r="AJ13" s="2995"/>
      <c r="AK13" s="2995"/>
      <c r="AL13" s="2995"/>
      <c r="AM13" s="2995"/>
      <c r="AN13" s="2995">
        <f>64337.91-M13</f>
        <v>6610.0900000000038</v>
      </c>
      <c r="AO13" s="2995"/>
      <c r="AP13" s="2995"/>
      <c r="AQ13" s="2995"/>
      <c r="AR13" s="2995"/>
      <c r="AS13" s="2995"/>
      <c r="AT13" s="2996"/>
      <c r="AU13" s="2997"/>
      <c r="AV13" s="17">
        <f t="shared" ref="AV13:AX20" si="10">A13</f>
        <v>0</v>
      </c>
      <c r="AW13" s="17">
        <f t="shared" si="10"/>
        <v>0</v>
      </c>
      <c r="AX13" s="17">
        <f t="shared" si="10"/>
        <v>0</v>
      </c>
      <c r="AY13" s="996">
        <f t="shared" ref="AY13:AY20" si="11">ROUND($AY$6*AZ13/$AZ$5,2)</f>
        <v>47625</v>
      </c>
      <c r="AZ13" s="27">
        <f t="shared" ref="AZ13:AZ20" si="12">BA13+BL13</f>
        <v>183566.61000000002</v>
      </c>
      <c r="BA13" s="27">
        <f t="shared" ref="BA13:BA20" si="13">SUM(BB13:BK13)</f>
        <v>175757.45</v>
      </c>
      <c r="BB13" s="27">
        <f t="shared" ref="BB13:BB20" si="14">IF($D13="是",I13-J13,0)</f>
        <v>116672.36</v>
      </c>
      <c r="BC13" s="27">
        <f t="shared" ref="BC13:BC20" si="15">IF($D13="是",K13-L13,0)</f>
        <v>1357.27</v>
      </c>
      <c r="BD13" s="27">
        <f t="shared" ref="BD13:BD20" si="16">IF($D13="是",M13-N13,0)</f>
        <v>57727.82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7809.1600000000035</v>
      </c>
      <c r="BM13" s="27">
        <f t="shared" ref="BM13:BM20" si="25">IF($D13="是",AD13-AE13,0)</f>
        <v>1199.0700000000002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6610.0900000000038</v>
      </c>
      <c r="BS13" s="27">
        <f t="shared" ref="BS13:BS20" si="31">IF($D13="是",AP13-AQ13,0)</f>
        <v>0</v>
      </c>
      <c r="BT13" s="36">
        <f t="shared" ref="BT13:BT20" si="32">IF($D13="是",AR13-AS13,0)</f>
        <v>0</v>
      </c>
    </row>
    <row r="14" spans="1:72" s="18" customFormat="1" ht="12.75">
      <c r="A14" s="2987"/>
      <c r="B14" s="2987"/>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F19" sqref="F19:F2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2" t="s">
        <v>203</v>
      </c>
      <c r="B2" s="3282"/>
      <c r="C2" s="3282"/>
      <c r="D2" s="1975" t="s">
        <v>204</v>
      </c>
      <c r="E2" s="106" t="s">
        <v>205</v>
      </c>
      <c r="F2" s="1984"/>
      <c r="G2" s="1198"/>
      <c r="H2" s="1199"/>
      <c r="I2" s="1200" t="s">
        <v>857</v>
      </c>
      <c r="J2" s="1984"/>
      <c r="K2" s="1984"/>
      <c r="L2" s="1984"/>
    </row>
    <row r="3" spans="1:16" ht="15.75" thickBot="1">
      <c r="A3" s="3283" t="s">
        <v>206</v>
      </c>
      <c r="B3" s="3283"/>
      <c r="C3" s="3283"/>
      <c r="D3" s="107">
        <f>'数据-基础表'!AY6</f>
        <v>47625</v>
      </c>
      <c r="E3" s="107">
        <f>'数据-基础表'!AZ5</f>
        <v>183566.61000000002</v>
      </c>
      <c r="F3" s="1984"/>
      <c r="G3" s="280" t="s">
        <v>858</v>
      </c>
      <c r="H3" s="275" t="s">
        <v>859</v>
      </c>
      <c r="I3" s="1976">
        <f>ROUND('数据-基础表'!B3/'数据-基础表'!A3,2)</f>
        <v>3.85</v>
      </c>
      <c r="J3" s="1984"/>
      <c r="K3" s="1984"/>
      <c r="L3" s="1984"/>
    </row>
    <row r="4" spans="1:16" ht="15">
      <c r="A4" s="3284"/>
      <c r="B4" s="3285"/>
      <c r="C4" s="3286"/>
      <c r="D4" s="108" t="s">
        <v>204</v>
      </c>
      <c r="E4" s="109" t="s">
        <v>205</v>
      </c>
      <c r="F4" s="1984"/>
      <c r="G4" s="1201"/>
      <c r="H4" s="275" t="s">
        <v>860</v>
      </c>
      <c r="I4" s="1976">
        <f>ROUND(SUMIF('数据-基础表'!I9:AS9,"地上",'数据-基础表'!I5:AS5)/'数据-基础表'!A3,2)</f>
        <v>2.5</v>
      </c>
      <c r="J4" s="1984"/>
      <c r="K4" s="1984"/>
      <c r="L4" s="1984"/>
    </row>
    <row r="5" spans="1:16">
      <c r="A5" s="110" t="s">
        <v>207</v>
      </c>
      <c r="B5" s="3287" t="s">
        <v>230</v>
      </c>
      <c r="C5" s="3287"/>
      <c r="D5" s="111">
        <f>ROUND($D$3*E5/$E$3,2)</f>
        <v>30269.78</v>
      </c>
      <c r="E5" s="112">
        <f>SUMIF('数据-基础表'!$11:$11,"住宅",'数据-基础表'!$5:$5)</f>
        <v>116672.36</v>
      </c>
      <c r="F5" s="1984"/>
      <c r="G5" s="280" t="s">
        <v>861</v>
      </c>
      <c r="H5" s="275" t="s">
        <v>859</v>
      </c>
      <c r="I5" s="1976">
        <f>ROUND(E31/D31,2)</f>
        <v>3.85</v>
      </c>
      <c r="J5" s="1984"/>
      <c r="K5" s="1984"/>
      <c r="L5" s="1984"/>
    </row>
    <row r="6" spans="1:16" ht="15" thickBot="1">
      <c r="A6" s="113"/>
      <c r="B6" s="3287" t="s">
        <v>208</v>
      </c>
      <c r="C6" s="3287"/>
      <c r="D6" s="111">
        <f>ROUND($D$3*E6/$E$3,2)</f>
        <v>17355.22</v>
      </c>
      <c r="E6" s="112">
        <f>E3-E5</f>
        <v>66894.250000000015</v>
      </c>
      <c r="F6" s="1984"/>
      <c r="G6" s="1201"/>
      <c r="H6" s="275" t="s">
        <v>860</v>
      </c>
      <c r="I6" s="1976">
        <f>ROUND(F31/D31,2)</f>
        <v>2.5</v>
      </c>
      <c r="J6" s="1984"/>
      <c r="K6" s="1984"/>
      <c r="L6" s="1984"/>
    </row>
    <row r="7" spans="1:16" ht="15">
      <c r="A7" s="3279"/>
      <c r="B7" s="3280"/>
      <c r="C7" s="3281"/>
      <c r="D7" s="108" t="s">
        <v>204</v>
      </c>
      <c r="E7" s="114" t="s">
        <v>231</v>
      </c>
      <c r="F7" s="1984"/>
      <c r="G7" s="1156" t="s">
        <v>1646</v>
      </c>
      <c r="H7" s="1157"/>
      <c r="I7" s="1846"/>
      <c r="J7" s="1984"/>
      <c r="K7" s="1984"/>
      <c r="L7" s="1984"/>
    </row>
    <row r="8" spans="1:16">
      <c r="A8" s="110" t="s">
        <v>209</v>
      </c>
      <c r="B8" s="115" t="s">
        <v>210</v>
      </c>
      <c r="C8" s="111" t="s">
        <v>211</v>
      </c>
      <c r="D8" s="111">
        <f t="shared" ref="D8:D15" si="0">ROUND($D$3*E8/$E$3,2)</f>
        <v>30621.919999999998</v>
      </c>
      <c r="E8" s="116">
        <f>SUMIF('数据-基础表'!BB10:BK10,"地上",'数据-基础表'!BB5:BK5)</f>
        <v>118029.63</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14977.06</v>
      </c>
      <c r="E13" s="116">
        <f>SUMPRODUCT(('数据-基础表'!BB10:BK10="地下")*('数据-基础表'!BB11:BK11="车库")*('数据-基础表'!BB5:BK5))</f>
        <v>57727.82</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45598.979999999996</v>
      </c>
      <c r="E16" s="120">
        <f>SUM(E8:E15)</f>
        <v>175757.45</v>
      </c>
      <c r="F16" s="1984"/>
      <c r="G16" s="1986"/>
      <c r="H16" s="968" t="s">
        <v>219</v>
      </c>
      <c r="I16" s="969"/>
      <c r="J16" s="1984"/>
      <c r="K16" s="3273" t="s">
        <v>2567</v>
      </c>
      <c r="L16" s="3274"/>
      <c r="M16" s="3274"/>
      <c r="N16" s="3274"/>
      <c r="O16" s="3274"/>
      <c r="P16" s="3275"/>
    </row>
    <row r="17" spans="1:19" ht="15">
      <c r="A17" s="121" t="s">
        <v>216</v>
      </c>
      <c r="B17" s="122" t="s">
        <v>217</v>
      </c>
      <c r="C17" s="2298" t="s">
        <v>2314</v>
      </c>
      <c r="D17" s="108" t="s">
        <v>204</v>
      </c>
      <c r="E17" s="124" t="s">
        <v>205</v>
      </c>
      <c r="F17" s="125"/>
      <c r="G17" s="1366"/>
      <c r="H17" s="970" t="s">
        <v>218</v>
      </c>
      <c r="I17" s="971" t="s">
        <v>2313</v>
      </c>
      <c r="J17" s="1984"/>
      <c r="K17" s="3276" t="s">
        <v>2568</v>
      </c>
      <c r="L17" s="3277"/>
      <c r="M17" s="3278"/>
      <c r="N17" s="3276" t="s">
        <v>2569</v>
      </c>
      <c r="O17" s="3277"/>
      <c r="P17" s="3278"/>
      <c r="R17" s="2299" t="s">
        <v>2312</v>
      </c>
      <c r="S17" s="144"/>
    </row>
    <row r="18" spans="1:19" ht="15">
      <c r="A18" s="117"/>
      <c r="B18" s="128"/>
      <c r="C18" s="129"/>
      <c r="D18" s="2619"/>
      <c r="E18" s="130" t="s">
        <v>220</v>
      </c>
      <c r="F18" s="131" t="s">
        <v>221</v>
      </c>
      <c r="G18" s="1367" t="s">
        <v>222</v>
      </c>
      <c r="H18" s="972" t="s">
        <v>223</v>
      </c>
      <c r="I18" s="973" t="s">
        <v>224</v>
      </c>
      <c r="J18" s="1984"/>
      <c r="K18" s="2582" t="s">
        <v>2570</v>
      </c>
      <c r="L18" s="2583" t="s">
        <v>2571</v>
      </c>
      <c r="M18" s="2584" t="s">
        <v>2572</v>
      </c>
      <c r="N18" s="2582" t="s">
        <v>2570</v>
      </c>
      <c r="O18" s="2583" t="s">
        <v>2571</v>
      </c>
      <c r="P18" s="2584" t="s">
        <v>2572</v>
      </c>
      <c r="R18" s="2300" t="s">
        <v>2310</v>
      </c>
      <c r="S18" s="2300" t="s">
        <v>2311</v>
      </c>
    </row>
    <row r="19" spans="1:19">
      <c r="A19" s="133"/>
      <c r="B19" s="115" t="s">
        <v>225</v>
      </c>
      <c r="C19" s="2998" t="str">
        <f>'数据-基础表'!I10</f>
        <v>住宅</v>
      </c>
      <c r="D19" s="111">
        <f t="shared" ref="D19:D26" si="1">ROUND($D$3*E19/$E$3,2)</f>
        <v>30269.78</v>
      </c>
      <c r="E19" s="134">
        <f t="shared" ref="E19:E26" si="2">SUM(F19:G19)</f>
        <v>116672.36</v>
      </c>
      <c r="F19" s="135">
        <f>'数据-基础表'!I13</f>
        <v>116672.36</v>
      </c>
      <c r="G19" s="1368"/>
      <c r="H19" s="974">
        <f>ROUND($D$3*I19/$E$3,2)</f>
        <v>1449.51</v>
      </c>
      <c r="I19" s="116">
        <f>IF($I$17="自定义",P19,M19)</f>
        <v>5587.0199999999995</v>
      </c>
      <c r="J19" s="1984"/>
      <c r="K19" s="2585">
        <f t="shared" ref="K19:K26" si="3">ROUND(E$28*E19/E$27,2)</f>
        <v>4387.95</v>
      </c>
      <c r="L19" s="275">
        <f t="shared" ref="L19:L26" si="4">ROUND(IF(COUNTIF(C19,"*住宅*")&gt;0,E$29*E19/E$32,0),2)</f>
        <v>1199.07</v>
      </c>
      <c r="M19" s="2586">
        <f>K19+L19</f>
        <v>5587.0199999999995</v>
      </c>
      <c r="N19" s="2587"/>
      <c r="O19" s="2588"/>
      <c r="P19" s="2589">
        <f>N19+O19</f>
        <v>0</v>
      </c>
      <c r="R19" s="275">
        <f t="shared" ref="R19:S26" si="5">D19+H19</f>
        <v>31719.289999999997</v>
      </c>
      <c r="S19" s="2301">
        <f t="shared" si="5"/>
        <v>122259.38</v>
      </c>
    </row>
    <row r="20" spans="1:19">
      <c r="A20" s="138"/>
      <c r="B20" s="115" t="s">
        <v>226</v>
      </c>
      <c r="C20" s="2998" t="str">
        <f>'数据-基础表'!K11</f>
        <v>底商</v>
      </c>
      <c r="D20" s="111">
        <f t="shared" si="1"/>
        <v>352.13</v>
      </c>
      <c r="E20" s="134">
        <f t="shared" si="2"/>
        <v>1357.27</v>
      </c>
      <c r="F20" s="135">
        <f>'数据-基础表'!K13</f>
        <v>1357.27</v>
      </c>
      <c r="G20" s="1368"/>
      <c r="H20" s="974">
        <f t="shared" ref="H20:H26" si="6">ROUND($D$3*I20/$E$3,2)</f>
        <v>13.24</v>
      </c>
      <c r="I20" s="116">
        <f t="shared" ref="I20:I26" si="7">IF($I$17="自定义",P20,M20)</f>
        <v>51.05</v>
      </c>
      <c r="J20" s="1984"/>
      <c r="K20" s="2585">
        <f t="shared" si="3"/>
        <v>51.05</v>
      </c>
      <c r="L20" s="275">
        <f t="shared" si="4"/>
        <v>0</v>
      </c>
      <c r="M20" s="2586">
        <f t="shared" ref="M20:M26" si="8">K20+L20</f>
        <v>51.05</v>
      </c>
      <c r="N20" s="2587"/>
      <c r="O20" s="2588"/>
      <c r="P20" s="2589">
        <f t="shared" ref="P20:P26" si="9">N20+O20</f>
        <v>0</v>
      </c>
      <c r="R20" s="275">
        <f t="shared" si="5"/>
        <v>365.37</v>
      </c>
      <c r="S20" s="2301">
        <f t="shared" si="5"/>
        <v>1408.32</v>
      </c>
    </row>
    <row r="21" spans="1:19">
      <c r="A21" s="138"/>
      <c r="B21" s="115" t="s">
        <v>226</v>
      </c>
      <c r="C21" s="2998" t="str">
        <f>'数据-基础表'!M10</f>
        <v>车库</v>
      </c>
      <c r="D21" s="111">
        <f t="shared" si="1"/>
        <v>14977.06</v>
      </c>
      <c r="E21" s="134">
        <f t="shared" si="2"/>
        <v>57727.82</v>
      </c>
      <c r="F21" s="135"/>
      <c r="G21" s="1368">
        <f>'数据-基础表'!M13</f>
        <v>57727.82</v>
      </c>
      <c r="H21" s="974">
        <f t="shared" si="6"/>
        <v>563.27</v>
      </c>
      <c r="I21" s="116">
        <f t="shared" si="7"/>
        <v>2171.09</v>
      </c>
      <c r="J21" s="1984"/>
      <c r="K21" s="2585">
        <f t="shared" si="3"/>
        <v>2171.09</v>
      </c>
      <c r="L21" s="275">
        <f t="shared" si="4"/>
        <v>0</v>
      </c>
      <c r="M21" s="2586">
        <f t="shared" si="8"/>
        <v>2171.09</v>
      </c>
      <c r="N21" s="2587"/>
      <c r="O21" s="2588"/>
      <c r="P21" s="2589">
        <f t="shared" si="9"/>
        <v>0</v>
      </c>
      <c r="R21" s="275">
        <f t="shared" si="5"/>
        <v>15540.33</v>
      </c>
      <c r="S21" s="2301">
        <f t="shared" si="5"/>
        <v>59898.91</v>
      </c>
    </row>
    <row r="22" spans="1:19">
      <c r="A22" s="138"/>
      <c r="B22" s="115" t="s">
        <v>226</v>
      </c>
      <c r="C22" s="1365"/>
      <c r="D22" s="111">
        <f t="shared" si="1"/>
        <v>0</v>
      </c>
      <c r="E22" s="134">
        <f t="shared" si="2"/>
        <v>0</v>
      </c>
      <c r="F22" s="140"/>
      <c r="G22" s="1369"/>
      <c r="H22" s="974">
        <f t="shared" si="6"/>
        <v>0</v>
      </c>
      <c r="I22" s="116">
        <f t="shared" si="7"/>
        <v>0</v>
      </c>
      <c r="J22" s="1984"/>
      <c r="K22" s="2585">
        <f t="shared" si="3"/>
        <v>0</v>
      </c>
      <c r="L22" s="275">
        <f t="shared" si="4"/>
        <v>0</v>
      </c>
      <c r="M22" s="2586">
        <f t="shared" si="8"/>
        <v>0</v>
      </c>
      <c r="N22" s="2587"/>
      <c r="O22" s="2588"/>
      <c r="P22" s="2589">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5">
        <f t="shared" si="3"/>
        <v>0</v>
      </c>
      <c r="L23" s="275">
        <f t="shared" si="4"/>
        <v>0</v>
      </c>
      <c r="M23" s="2586">
        <f t="shared" si="8"/>
        <v>0</v>
      </c>
      <c r="N23" s="2587"/>
      <c r="O23" s="2588"/>
      <c r="P23" s="2589">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5">
        <f t="shared" si="3"/>
        <v>0</v>
      </c>
      <c r="L24" s="275">
        <f t="shared" si="4"/>
        <v>0</v>
      </c>
      <c r="M24" s="2586">
        <f t="shared" si="8"/>
        <v>0</v>
      </c>
      <c r="N24" s="2587"/>
      <c r="O24" s="2588"/>
      <c r="P24" s="2589">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5">
        <f t="shared" si="3"/>
        <v>0</v>
      </c>
      <c r="L25" s="275">
        <f t="shared" si="4"/>
        <v>0</v>
      </c>
      <c r="M25" s="2586">
        <f t="shared" si="8"/>
        <v>0</v>
      </c>
      <c r="N25" s="2587"/>
      <c r="O25" s="2588"/>
      <c r="P25" s="2589">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0">
        <f t="shared" si="3"/>
        <v>0</v>
      </c>
      <c r="L26" s="280">
        <f t="shared" si="4"/>
        <v>0</v>
      </c>
      <c r="M26" s="146">
        <f t="shared" si="8"/>
        <v>0</v>
      </c>
      <c r="N26" s="2591"/>
      <c r="O26" s="2592"/>
      <c r="P26" s="2593">
        <f t="shared" si="9"/>
        <v>0</v>
      </c>
      <c r="R26" s="275">
        <f t="shared" si="5"/>
        <v>0</v>
      </c>
      <c r="S26" s="2301">
        <f t="shared" si="5"/>
        <v>0</v>
      </c>
    </row>
    <row r="27" spans="1:19" ht="29.25" thickBot="1">
      <c r="A27" s="138"/>
      <c r="B27" s="111"/>
      <c r="C27" s="127" t="s">
        <v>215</v>
      </c>
      <c r="D27" s="134">
        <f>SUM(D19:D26)</f>
        <v>45598.97</v>
      </c>
      <c r="E27" s="143">
        <f>IF(SUM(E19:E26)='数据-基础表'!BA5,SUM(E19:E26),IF(F27="地上面积有误","面积有误","地下面积有误"))</f>
        <v>175757.45</v>
      </c>
      <c r="F27" s="134">
        <f>IF(SUM(F19:F26)=E8,SUM(F19:F26),"地上面积有误")</f>
        <v>118029.63</v>
      </c>
      <c r="G27" s="112">
        <f>SUM(G19:G26)</f>
        <v>57727.82</v>
      </c>
      <c r="H27" s="975">
        <f>SUM(H19:H26)</f>
        <v>2026.02</v>
      </c>
      <c r="I27" s="976">
        <f>SUM(I19:I26)</f>
        <v>7809.16</v>
      </c>
      <c r="J27" s="1984"/>
      <c r="K27" s="2594">
        <f>SUM(K19:K26)</f>
        <v>6610.09</v>
      </c>
      <c r="L27" s="2595">
        <f>SUM(L19:L26)</f>
        <v>1199.07</v>
      </c>
      <c r="M27" s="2596">
        <f>SUM(M19:M26)</f>
        <v>7809.16</v>
      </c>
      <c r="N27" s="2594">
        <f t="shared" ref="N27:O27" si="10">SUM(N19:N26)</f>
        <v>0</v>
      </c>
      <c r="O27" s="2595">
        <f t="shared" si="10"/>
        <v>0</v>
      </c>
      <c r="P27" s="2597">
        <f>SUM(P19:P26)</f>
        <v>0</v>
      </c>
      <c r="R27" s="2305" t="str">
        <f>IF(SUM(R19:R26)=$D$3,SUM(R19:R26),SUM(R19:R26)&amp;"误差"&amp;ROUND(SUM(R19:R26)-$D$3,2))</f>
        <v>47624.99误差-0.01</v>
      </c>
      <c r="S27" s="275">
        <f>IF(SUM(S19:S26)=$E$3,SUM(S19:S26),SUM(S19:S26)&amp;"误差"&amp;ROUND(SUM(S19:S26)-E3,2))</f>
        <v>183566.61000000002</v>
      </c>
    </row>
    <row r="28" spans="1:19">
      <c r="A28" s="138"/>
      <c r="B28" s="115" t="s">
        <v>227</v>
      </c>
      <c r="C28" s="136" t="s">
        <v>228</v>
      </c>
      <c r="D28" s="111">
        <f>ROUND($D$3*E28/$E$3,2)</f>
        <v>1714.94</v>
      </c>
      <c r="E28" s="134">
        <f>SUM(F28:G28)</f>
        <v>6610.0900000000038</v>
      </c>
      <c r="F28" s="144">
        <f>'数据-基础表'!BQ5+'数据-基础表'!BS5</f>
        <v>0</v>
      </c>
      <c r="G28" s="145">
        <f>'数据-基础表'!BR5+'数据-基础表'!BT5</f>
        <v>6610.0900000000038</v>
      </c>
      <c r="H28" s="1984"/>
      <c r="I28" s="1984"/>
      <c r="J28" s="1984"/>
      <c r="K28" s="1984"/>
      <c r="L28" s="1984"/>
    </row>
    <row r="29" spans="1:19">
      <c r="A29" s="138"/>
      <c r="B29" s="115" t="s">
        <v>227</v>
      </c>
      <c r="C29" s="2313" t="s">
        <v>2321</v>
      </c>
      <c r="D29" s="111">
        <f>ROUND($D$3*E29/$E$3,2)</f>
        <v>311.08999999999997</v>
      </c>
      <c r="E29" s="134">
        <f>SUM(F29:G29)</f>
        <v>1199.0700000000002</v>
      </c>
      <c r="F29" s="144">
        <f>'数据-基础表'!BM5+'数据-基础表'!BO5</f>
        <v>1199.0700000000002</v>
      </c>
      <c r="G29" s="146">
        <f>'数据-基础表'!BN5+'数据-基础表'!BP5</f>
        <v>0</v>
      </c>
      <c r="H29" s="1984"/>
      <c r="I29" s="1984"/>
      <c r="J29" s="1984"/>
      <c r="K29" s="1984"/>
      <c r="L29" s="1984"/>
    </row>
    <row r="30" spans="1:19">
      <c r="A30" s="138"/>
      <c r="B30" s="111"/>
      <c r="C30" s="147" t="s">
        <v>215</v>
      </c>
      <c r="D30" s="134">
        <f>SUM(D28:D29)</f>
        <v>2026.03</v>
      </c>
      <c r="E30" s="134">
        <f>SUM(E28:E29)</f>
        <v>7809.1600000000035</v>
      </c>
      <c r="F30" s="134">
        <f>SUM(F28:F29)</f>
        <v>1199.0700000000002</v>
      </c>
      <c r="G30" s="112">
        <f>SUM(G28:G29)</f>
        <v>6610.0900000000038</v>
      </c>
      <c r="H30" s="1984"/>
      <c r="I30" s="1984"/>
      <c r="J30" s="1984"/>
      <c r="K30" s="1984"/>
      <c r="L30" s="1984"/>
    </row>
    <row r="31" spans="1:19" ht="32.25" customHeight="1" thickBot="1">
      <c r="A31" s="1370"/>
      <c r="B31" s="1371" t="s">
        <v>229</v>
      </c>
      <c r="C31" s="2330" t="s">
        <v>2323</v>
      </c>
      <c r="D31" s="1372">
        <f>D27+D30</f>
        <v>47625</v>
      </c>
      <c r="E31" s="1372">
        <f>E27+E30</f>
        <v>183566.61000000002</v>
      </c>
      <c r="F31" s="1373">
        <f>F27+F30</f>
        <v>119228.70000000001</v>
      </c>
      <c r="G31" s="1374">
        <f>G27+G30</f>
        <v>64337.91</v>
      </c>
      <c r="H31" s="1984"/>
      <c r="I31" s="1984"/>
      <c r="J31" s="1984"/>
      <c r="K31" s="1984"/>
      <c r="L31" s="1984"/>
    </row>
    <row r="32" spans="1:19">
      <c r="A32" s="1984"/>
      <c r="B32" s="2342" t="s">
        <v>2322</v>
      </c>
      <c r="C32" s="2624"/>
      <c r="D32" s="1201"/>
      <c r="E32" s="1201">
        <f>SUMIF(C19:C26,"*住宅*",E19:E26)</f>
        <v>116672.36</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S8" sqref="S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6.875" style="1203" customWidth="1"/>
    <col min="26" max="30" width="6.75" style="1203" hidden="1" customWidth="1"/>
    <col min="31" max="31" width="6.5" style="1203" hidden="1" customWidth="1"/>
    <col min="32" max="33" width="7.25" style="1203" hidden="1" customWidth="1"/>
    <col min="34"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43490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3334</v>
      </c>
      <c r="O5" s="163" t="s">
        <v>246</v>
      </c>
      <c r="P5" s="165" t="s">
        <v>247</v>
      </c>
      <c r="Q5" s="166" t="s">
        <v>248</v>
      </c>
      <c r="R5" s="167" t="s">
        <v>249</v>
      </c>
      <c r="S5" s="2598"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68"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68778</v>
      </c>
      <c r="F6" s="174">
        <f>SUMIF(项目基本情况!D$15:I$15,C6,项目基本情况!D$19:I$19)</f>
        <v>69.28</v>
      </c>
      <c r="G6" s="175">
        <f>IF(ISERROR(ROUND(POWER(1+H6,D6-F6)*(POWER(1+H6,F6)-1)/(POWER(1+H6,D6)-1),3)),0,ROUND(POWER(1+H6,D6-F6)*(POWER(1+H6,F6)-1)/(POWER(1+H6,D6)-1),3))</f>
        <v>0.998</v>
      </c>
      <c r="H6" s="2999">
        <v>0.04</v>
      </c>
      <c r="I6" s="2999">
        <v>4.4999999999999998E-2</v>
      </c>
      <c r="J6" s="176">
        <v>8.5000000000000006E-2</v>
      </c>
      <c r="K6" s="179">
        <f>SUMIF('数据-汇总表'!C$19:C$33,'数据-取费表'!A6,'数据-汇总表'!E$19:E$33)</f>
        <v>116672.36</v>
      </c>
      <c r="L6" s="3190">
        <v>4500</v>
      </c>
      <c r="M6" s="177">
        <f t="shared" ref="M6:M14" si="0">ROUND(K6*L6/10000,0)</f>
        <v>52503</v>
      </c>
      <c r="N6" s="3001">
        <v>0</v>
      </c>
      <c r="O6" s="177">
        <f>IF($N$5="成新度","——",ROUND(M6*N6,0))</f>
        <v>0</v>
      </c>
      <c r="P6" s="178">
        <f>IF($N$5="成新度","——",M6-O6)</f>
        <v>52503</v>
      </c>
      <c r="Q6" s="3002">
        <v>0.08</v>
      </c>
      <c r="R6" s="179">
        <f>SUMIF('数据-汇总表'!C$19:C$33,A6,'数据-汇总表'!R$19:R$33)</f>
        <v>31719.289999999997</v>
      </c>
      <c r="S6" s="132">
        <f>IF('数据-汇总表'!$I$17="按面积比例",SUMIF('数据-汇总表'!C$19:C$33,A6,'数据-汇总表'!K$19:K$33),SUMIF('数据-汇总表'!C$19:C$33,A6,'数据-汇总表'!N$19:N$33))</f>
        <v>4387.95</v>
      </c>
      <c r="T6" s="2234">
        <f>IF($T$4="按面积比例",IF(ISERROR(ROUND($M$14*S6/S$16,0)),"0",ROUND($M$14*S6/S$16,0)),"需自行计算录入")</f>
        <v>878</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13"/>
      <c r="AN6" s="2369"/>
      <c r="AO6" s="2000"/>
      <c r="AP6" s="1204">
        <f>ROUND(1-1/(1+H6)^F6,3)</f>
        <v>0.93400000000000005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底商</v>
      </c>
      <c r="B7" s="2337" t="str">
        <f t="shared" ref="B7:B13" si="1">IF(A7=0,"","经营性")</f>
        <v>经营性</v>
      </c>
      <c r="C7" s="173" t="s">
        <v>2994</v>
      </c>
      <c r="D7" s="2308">
        <f>SUMIF(项目基本情况!D$15:I$15,C7,项目基本情况!D$18:I$18)</f>
        <v>40</v>
      </c>
      <c r="E7" s="2309">
        <f>IF(B7="","",SUMIF(项目基本情况!D$15:I$15,C7,项目基本情况!D$17:I$17))</f>
        <v>57820</v>
      </c>
      <c r="F7" s="174">
        <f>SUMIF(项目基本情况!D$15:I$15,C7,项目基本情况!D$19:I$19)</f>
        <v>39.26</v>
      </c>
      <c r="G7" s="175">
        <f t="shared" ref="G7:G11" si="2">IF(ISERROR(ROUND(POWER(1+H7,D7-F7)*(POWER(1+H7,F7)-1)/(POWER(1+H7,D7)-1),3)),0,ROUND(POWER(1+H7,D7-F7)*(POWER(1+H7,F7)-1)/(POWER(1+H7,D7)-1),3))</f>
        <v>0.99399999999999999</v>
      </c>
      <c r="H7" s="3188">
        <v>0.05</v>
      </c>
      <c r="I7" s="3188">
        <v>5.5E-2</v>
      </c>
      <c r="J7" s="3189">
        <v>8.5000000000000006E-2</v>
      </c>
      <c r="K7" s="179">
        <f>SUMIF('数据-汇总表'!C$19:C$33,'数据-取费表'!A7,'数据-汇总表'!E$19:E$33)</f>
        <v>1357.27</v>
      </c>
      <c r="L7" s="3000">
        <v>2500</v>
      </c>
      <c r="M7" s="177">
        <f t="shared" si="0"/>
        <v>339</v>
      </c>
      <c r="N7" s="3001">
        <v>0</v>
      </c>
      <c r="O7" s="177">
        <f t="shared" ref="O7:O14" si="3">IF($N$5="成新度","——",ROUND(M7*N7,0))</f>
        <v>0</v>
      </c>
      <c r="P7" s="178">
        <f t="shared" ref="P7:P14" si="4">IF($N$5="成新度","——",M7-O7)</f>
        <v>339</v>
      </c>
      <c r="Q7" s="3002">
        <v>0.08</v>
      </c>
      <c r="R7" s="179">
        <f>SUMIF('数据-汇总表'!C$19:C$33,A7,'数据-汇总表'!R$19:R$33)</f>
        <v>365.37</v>
      </c>
      <c r="S7" s="132">
        <f>IF('数据-汇总表'!$I$17="按面积比例",SUMIF('数据-汇总表'!C$19:C$33,A7,'数据-汇总表'!K$19:K$33),SUMIF('数据-汇总表'!C$19:C$33,A7,'数据-汇总表'!N$19:N$33))</f>
        <v>51.05</v>
      </c>
      <c r="T7" s="2234">
        <f t="shared" ref="T7:T13" si="5">IF($T$4="按面积比例",IF(ISERROR(ROUND($M$14*S7/S$16,0)),"0",ROUND($M$14*S7/S$16,0)),"需自行计算录入")</f>
        <v>10</v>
      </c>
      <c r="U7" s="180">
        <v>6</v>
      </c>
      <c r="V7" s="181">
        <v>0.03</v>
      </c>
      <c r="W7" s="181">
        <v>0.05</v>
      </c>
      <c r="X7" s="2321"/>
      <c r="Y7" s="182">
        <v>1</v>
      </c>
      <c r="Z7" s="183"/>
      <c r="AA7" s="176"/>
      <c r="AB7" s="176"/>
      <c r="AC7" s="2324"/>
      <c r="AD7" s="184"/>
      <c r="AE7" s="972">
        <f t="shared" ref="AE7:AE13" ca="1" si="6">IF(AN7="",0,SUMIF(INDIRECT("'"&amp;AN7&amp;"'"&amp;"!E:E"),$AE$5,INDIRECT("'"&amp;AN7&amp;"'"&amp;"!F:F")))</f>
        <v>37.26</v>
      </c>
      <c r="AF7" s="141"/>
      <c r="AG7" s="1213">
        <f t="shared" ref="AG7:AG13" si="7">IF(AF7="",0,AE7-AF7)</f>
        <v>0</v>
      </c>
      <c r="AH7" s="141"/>
      <c r="AI7" s="187">
        <v>365</v>
      </c>
      <c r="AJ7" s="188"/>
      <c r="AK7" s="189">
        <v>1.4999999999999999E-2</v>
      </c>
      <c r="AL7" s="190">
        <v>1.5E-3</v>
      </c>
      <c r="AM7" s="3013">
        <v>0.01</v>
      </c>
      <c r="AN7" s="2369" t="s">
        <v>3000</v>
      </c>
      <c r="AO7" s="2000"/>
      <c r="AP7" s="1204">
        <f t="shared" ref="AP7:AP13" si="8">ROUND(1-1/(1+H7)^F7,3)</f>
        <v>0.85299999999999998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3032</v>
      </c>
      <c r="D8" s="2308">
        <f>SUMIF(项目基本情况!D$15:I$15,C8,项目基本情况!D$18:I$18)</f>
        <v>50</v>
      </c>
      <c r="E8" s="2309">
        <f>IF(B8="","",SUMIF(项目基本情况!D$15:I$15,C8,项目基本情况!D$17:I$17))</f>
        <v>61473</v>
      </c>
      <c r="F8" s="174">
        <f>SUMIF(项目基本情况!D$15:I$15,C8,项目基本情况!D$19:I$19)</f>
        <v>49.26</v>
      </c>
      <c r="G8" s="175">
        <f t="shared" si="2"/>
        <v>0.995</v>
      </c>
      <c r="H8" s="2999">
        <v>0.04</v>
      </c>
      <c r="I8" s="2999">
        <v>4.4999999999999998E-2</v>
      </c>
      <c r="J8" s="176">
        <v>8.5000000000000006E-2</v>
      </c>
      <c r="K8" s="179">
        <f>SUMIF('数据-汇总表'!C$19:C$33,'数据-取费表'!A8,'数据-汇总表'!E$19:E$33)</f>
        <v>57727.82</v>
      </c>
      <c r="L8" s="3000">
        <v>2000</v>
      </c>
      <c r="M8" s="177">
        <f>ROUND(K8*L8/10000,0)</f>
        <v>11546</v>
      </c>
      <c r="N8" s="3001">
        <v>0</v>
      </c>
      <c r="O8" s="177">
        <f t="shared" si="3"/>
        <v>0</v>
      </c>
      <c r="P8" s="178">
        <f t="shared" si="4"/>
        <v>11546</v>
      </c>
      <c r="Q8" s="3002">
        <v>0.02</v>
      </c>
      <c r="R8" s="179">
        <f>SUMIF('数据-汇总表'!C$19:C$33,A8,'数据-汇总表'!R$19:R$33)</f>
        <v>15540.33</v>
      </c>
      <c r="S8" s="132">
        <f>IF('数据-汇总表'!$I$17="按面积比例",SUMIF('数据-汇总表'!C$19:C$33,A8,'数据-汇总表'!K$19:K$33),SUMIF('数据-汇总表'!C$19:C$33,A8,'数据-汇总表'!N$19:N$33))</f>
        <v>2171.09</v>
      </c>
      <c r="T8" s="2234">
        <f t="shared" si="5"/>
        <v>434</v>
      </c>
      <c r="U8" s="180">
        <v>800</v>
      </c>
      <c r="V8" s="181">
        <v>0.03</v>
      </c>
      <c r="W8" s="181">
        <v>0.05</v>
      </c>
      <c r="X8" s="2321"/>
      <c r="Y8" s="182">
        <v>1</v>
      </c>
      <c r="Z8" s="183"/>
      <c r="AA8" s="176"/>
      <c r="AB8" s="176"/>
      <c r="AC8" s="2324"/>
      <c r="AD8" s="184"/>
      <c r="AE8" s="972">
        <f t="shared" ca="1" si="6"/>
        <v>47.26</v>
      </c>
      <c r="AF8" s="141"/>
      <c r="AG8" s="1213">
        <f t="shared" si="7"/>
        <v>0</v>
      </c>
      <c r="AH8" s="141">
        <v>1100</v>
      </c>
      <c r="AI8" s="187">
        <v>12</v>
      </c>
      <c r="AJ8" s="189"/>
      <c r="AK8" s="189">
        <v>1.4999999999999999E-2</v>
      </c>
      <c r="AL8" s="190">
        <v>1.5E-3</v>
      </c>
      <c r="AM8" s="3013">
        <v>0.01</v>
      </c>
      <c r="AN8" s="2369" t="s">
        <v>3392</v>
      </c>
      <c r="AO8" s="2000"/>
      <c r="AP8" s="1204">
        <f t="shared" si="8"/>
        <v>0.85499999999999998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7"/>
      <c r="AN9" s="2369"/>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7"/>
      <c r="AN10" s="2369"/>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69"/>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69"/>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7"/>
      <c r="AN13" s="2369"/>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6610.0900000000038</v>
      </c>
      <c r="L14" s="193">
        <v>2000</v>
      </c>
      <c r="M14" s="177">
        <f t="shared" si="0"/>
        <v>1322</v>
      </c>
      <c r="N14" s="194">
        <v>0</v>
      </c>
      <c r="O14" s="177">
        <f t="shared" si="3"/>
        <v>0</v>
      </c>
      <c r="P14" s="178">
        <f t="shared" si="4"/>
        <v>1322</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1199.0700000000002</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0.997</v>
      </c>
      <c r="H16" s="203">
        <f>ROUND(SUMPRODUCT(H6:H13,K6:K13)/SUMPRODUCT((H6:H13&gt;0)*(K6:K13)),3)</f>
        <v>0.04</v>
      </c>
      <c r="I16" s="204"/>
      <c r="J16" s="204"/>
      <c r="K16" s="205">
        <f>SUM(K6:K15)</f>
        <v>183566.61000000002</v>
      </c>
      <c r="L16" s="206">
        <f>ROUND(M16*10000/SUM(K6:K14),0)</f>
        <v>3603</v>
      </c>
      <c r="M16" s="206">
        <f>SUM(M6:M14)</f>
        <v>65710</v>
      </c>
      <c r="N16" s="207">
        <f>ROUND(SUMPRODUCT(M6:M14,N6:N14)/M16,3)</f>
        <v>0</v>
      </c>
      <c r="O16" s="206">
        <f>SUM(O6:O14)</f>
        <v>0</v>
      </c>
      <c r="P16" s="206">
        <f>SUM(P6:P14)</f>
        <v>65710</v>
      </c>
      <c r="Q16" s="208">
        <f>ROUND(SUMPRODUCT(Q6:Q13,K6:K13)/SUMPRODUCT((Q6:Q13&gt;0)*(K6:K13)),2)</f>
        <v>0.06</v>
      </c>
      <c r="R16" s="2311">
        <f>SUM(R6:R13)</f>
        <v>47624.99</v>
      </c>
      <c r="S16" s="209">
        <f>SUM(S6:S13)</f>
        <v>6610.09</v>
      </c>
      <c r="T16" s="210">
        <f>IF(SUMIF(T6:T13,"&lt;9E307")=M14,SUMIF(T6:T13,"&lt;9E307"),"有误，请检查")</f>
        <v>1322</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0.90700000000000003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3201">
        <v>2</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90</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140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0</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2893</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3191">
        <v>0.03</v>
      </c>
      <c r="C34" s="2344" t="s">
        <v>2894</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2895</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2896</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1.4999999999999999E-2</v>
      </c>
      <c r="C37" s="2344" t="s">
        <v>2897</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0.01</v>
      </c>
      <c r="C38" s="2344" t="s">
        <v>2897</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6"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6" t="s">
        <v>2458</v>
      </c>
      <c r="B40" s="2458">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2898</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2899</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2900</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8" t="s">
        <v>2901</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49" t="s">
        <v>2902</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49" t="s">
        <v>2903</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1327</v>
      </c>
      <c r="C53" s="3050" t="s">
        <v>2904</v>
      </c>
      <c r="D53" s="3051" t="s">
        <v>2905</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3" t="s">
        <v>2906</v>
      </c>
      <c r="B54" s="186">
        <v>15</v>
      </c>
      <c r="C54" s="1994">
        <v>30</v>
      </c>
      <c r="D54" s="305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3" t="s">
        <v>2907</v>
      </c>
      <c r="B55" s="186">
        <v>10</v>
      </c>
      <c r="C55" s="1994">
        <v>24</v>
      </c>
      <c r="D55" s="305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3" t="s">
        <v>2908</v>
      </c>
      <c r="B56" s="186">
        <v>5</v>
      </c>
      <c r="C56" s="1994">
        <v>18</v>
      </c>
      <c r="D56" s="305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3" t="s">
        <v>2909</v>
      </c>
      <c r="B57" s="186"/>
      <c r="C57" s="1994">
        <v>12</v>
      </c>
      <c r="D57" s="305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3" t="s">
        <v>2910</v>
      </c>
      <c r="B58" s="186"/>
      <c r="C58" s="1994">
        <v>3</v>
      </c>
      <c r="D58" s="305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3" t="s">
        <v>2911</v>
      </c>
      <c r="B59" s="186"/>
      <c r="C59" s="1994">
        <v>1.5</v>
      </c>
      <c r="D59" s="305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3" t="s">
        <v>2912</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3" t="s">
        <v>2913</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3" t="s">
        <v>2914</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4" t="s">
        <v>2915</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8" t="s">
        <v>1664</v>
      </c>
      <c r="B1" s="3289"/>
      <c r="C1" s="3289"/>
      <c r="D1" s="3289"/>
      <c r="E1" s="3289"/>
      <c r="F1" s="3289"/>
      <c r="G1" s="3289"/>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5" t="s">
        <v>2922</v>
      </c>
      <c r="D3" s="2009"/>
      <c r="E3" s="1229" t="s">
        <v>1667</v>
      </c>
      <c r="F3" s="1230" t="s">
        <v>1655</v>
      </c>
      <c r="G3" s="3059" t="s">
        <v>2921</v>
      </c>
      <c r="H3" s="2008"/>
      <c r="I3" s="2008"/>
      <c r="J3" s="2008"/>
      <c r="K3" s="2008"/>
      <c r="L3" s="2008"/>
      <c r="M3" s="2008"/>
      <c r="N3" s="2008"/>
      <c r="O3" s="2008"/>
      <c r="P3" s="2008"/>
      <c r="Q3" s="2008"/>
      <c r="R3" s="2008"/>
    </row>
    <row r="4" spans="1:18" ht="41.25">
      <c r="A4" s="1229"/>
      <c r="B4" s="1231" t="s">
        <v>1668</v>
      </c>
      <c r="C4" s="3056" t="s">
        <v>2923</v>
      </c>
      <c r="D4" s="2009"/>
      <c r="E4" s="1232"/>
      <c r="F4" s="1233" t="s">
        <v>1669</v>
      </c>
      <c r="G4" s="3057" t="s">
        <v>2918</v>
      </c>
      <c r="H4" s="2008"/>
      <c r="I4" s="2008"/>
      <c r="J4" s="2008"/>
      <c r="K4" s="2008"/>
      <c r="L4" s="2008"/>
      <c r="M4" s="2008"/>
      <c r="N4" s="2008"/>
      <c r="O4" s="2008"/>
      <c r="P4" s="2008"/>
      <c r="Q4" s="2008"/>
      <c r="R4" s="2008"/>
    </row>
    <row r="5" spans="1:18" ht="41.25">
      <c r="A5" s="1229"/>
      <c r="B5" s="1231" t="s">
        <v>1670</v>
      </c>
      <c r="C5" s="3056" t="s">
        <v>2924</v>
      </c>
      <c r="D5" s="2009"/>
      <c r="E5" s="1232"/>
      <c r="F5" s="1231" t="s">
        <v>2547</v>
      </c>
      <c r="G5" s="3057" t="s">
        <v>2919</v>
      </c>
      <c r="H5" s="2008"/>
      <c r="I5" s="2008"/>
      <c r="J5" s="2008"/>
      <c r="K5" s="2008"/>
      <c r="L5" s="2008"/>
      <c r="M5" s="2008"/>
      <c r="N5" s="2008"/>
      <c r="O5" s="2008"/>
      <c r="P5" s="2008"/>
      <c r="Q5" s="2008"/>
      <c r="R5" s="2008"/>
    </row>
    <row r="6" spans="1:18" ht="54">
      <c r="A6" s="1229"/>
      <c r="B6" s="1231" t="s">
        <v>1656</v>
      </c>
      <c r="C6" s="3057" t="s">
        <v>2918</v>
      </c>
      <c r="D6" s="2009"/>
      <c r="E6" s="1232"/>
      <c r="F6" s="1231" t="s">
        <v>2548</v>
      </c>
      <c r="G6" s="3057" t="s">
        <v>2916</v>
      </c>
      <c r="H6" s="2008"/>
      <c r="I6" s="2008"/>
      <c r="J6" s="2008"/>
      <c r="K6" s="2008"/>
      <c r="L6" s="2008"/>
      <c r="M6" s="2008"/>
      <c r="N6" s="2008"/>
      <c r="O6" s="2008"/>
      <c r="P6" s="2008"/>
      <c r="Q6" s="2008"/>
      <c r="R6" s="2008"/>
    </row>
    <row r="7" spans="1:18" ht="41.25" thickBot="1">
      <c r="A7" s="1229"/>
      <c r="B7" s="1231" t="s">
        <v>2547</v>
      </c>
      <c r="C7" s="3057" t="s">
        <v>2919</v>
      </c>
      <c r="D7" s="2010"/>
      <c r="E7" s="1234"/>
      <c r="F7" s="1235" t="s">
        <v>1671</v>
      </c>
      <c r="G7" s="3060" t="s">
        <v>2920</v>
      </c>
      <c r="H7" s="2008"/>
      <c r="I7" s="2008"/>
      <c r="J7" s="2008"/>
      <c r="K7" s="2008"/>
      <c r="L7" s="2008"/>
      <c r="M7" s="2008"/>
      <c r="N7" s="2008"/>
      <c r="O7" s="2008"/>
      <c r="P7" s="2008"/>
      <c r="Q7" s="2008"/>
      <c r="R7" s="2008"/>
    </row>
    <row r="8" spans="1:18" ht="27">
      <c r="A8" s="1229"/>
      <c r="B8" s="1231" t="s">
        <v>2548</v>
      </c>
      <c r="C8" s="3057" t="s">
        <v>2916</v>
      </c>
      <c r="D8" s="2010"/>
      <c r="E8" s="2010"/>
      <c r="F8" s="1554"/>
      <c r="G8" s="1554"/>
      <c r="H8" s="2008"/>
      <c r="I8" s="2008"/>
      <c r="J8" s="2008"/>
      <c r="K8" s="2008"/>
      <c r="L8" s="2008"/>
      <c r="M8" s="2008"/>
      <c r="N8" s="2008"/>
      <c r="O8" s="2008"/>
      <c r="P8" s="2008"/>
      <c r="Q8" s="2008"/>
      <c r="R8" s="2008"/>
    </row>
    <row r="9" spans="1:18" ht="40.5">
      <c r="A9" s="1229"/>
      <c r="B9" s="1231" t="s">
        <v>1657</v>
      </c>
      <c r="C9" s="3056" t="s">
        <v>2917</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8"/>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5"/>
      <c r="E12" s="2009"/>
      <c r="F12" s="2010"/>
      <c r="G12" s="2012"/>
      <c r="H12" s="2017"/>
      <c r="I12" s="2018"/>
      <c r="J12" s="2017"/>
      <c r="K12" s="2017"/>
      <c r="L12" s="2019"/>
      <c r="M12" s="2017"/>
      <c r="N12" s="2020"/>
      <c r="O12" s="2021"/>
      <c r="P12" s="2022"/>
      <c r="Q12" s="2020"/>
      <c r="R12" s="2006"/>
    </row>
    <row r="13" spans="1:18" ht="19.5" thickBot="1">
      <c r="A13" s="2554" t="s">
        <v>1673</v>
      </c>
      <c r="B13" s="2555"/>
      <c r="C13" s="2555"/>
      <c r="D13" s="1224"/>
      <c r="E13" s="2555"/>
      <c r="F13" s="2555"/>
      <c r="G13" s="2555"/>
    </row>
    <row r="14" spans="1:18" ht="14.25" thickBot="1">
      <c r="A14" s="1238"/>
      <c r="B14" s="1239"/>
      <c r="C14" s="1240" t="s">
        <v>1665</v>
      </c>
      <c r="D14" s="2009"/>
      <c r="E14" s="1241"/>
      <c r="F14" s="1241"/>
      <c r="G14" s="1223" t="s">
        <v>1666</v>
      </c>
    </row>
    <row r="15" spans="1:18" ht="54">
      <c r="A15" s="2565" t="s">
        <v>1658</v>
      </c>
      <c r="B15" s="1242" t="s">
        <v>1654</v>
      </c>
      <c r="C15" s="1243" t="str">
        <f>C3</f>
        <v>估价对象周边居住用地比例、居住小区规模和社区发展完善程度，综合评价居住社区成熟度一般</v>
      </c>
      <c r="D15" s="2009"/>
      <c r="E15" s="2562" t="s">
        <v>1659</v>
      </c>
      <c r="F15" s="1242" t="s">
        <v>1674</v>
      </c>
      <c r="G15" s="1244" t="str">
        <f>G3</f>
        <v>估价对象位于XX开发区，园区建设成熟度XX，产业集聚程度XX</v>
      </c>
    </row>
    <row r="16" spans="1:18" ht="40.5">
      <c r="A16" s="2566"/>
      <c r="B16" s="1245" t="s">
        <v>1668</v>
      </c>
      <c r="C16" s="1246" t="str">
        <f>C4</f>
        <v>估价对象位于XX商圈，周边商业氛围成熟，人流量大，商业繁华度好</v>
      </c>
      <c r="D16" s="2009"/>
      <c r="E16" s="2563"/>
      <c r="F16" s="1247" t="s">
        <v>1669</v>
      </c>
      <c r="G16" s="1005" t="str">
        <f>G4</f>
        <v>估价对象周边道路状况、公共交通通达情况、停车便捷程度，综合评价交通便捷度较好</v>
      </c>
    </row>
    <row r="17" spans="1:7" ht="40.5">
      <c r="A17" s="2566"/>
      <c r="B17" s="1245" t="s">
        <v>1670</v>
      </c>
      <c r="C17" s="1246" t="str">
        <f>C5</f>
        <v>估价对象位于XX商圈，周边办公楼项目较多，入驻率高，办公集聚程度较好</v>
      </c>
      <c r="D17" s="2010"/>
      <c r="E17" s="2563"/>
      <c r="F17" s="1247" t="s">
        <v>1675</v>
      </c>
      <c r="G17" s="2770"/>
    </row>
    <row r="18" spans="1:7" ht="54">
      <c r="A18" s="2566"/>
      <c r="B18" s="1247" t="s">
        <v>1656</v>
      </c>
      <c r="C18" s="1005" t="str">
        <f>C6</f>
        <v>估价对象周边道路状况、公共交通通达情况、停车便捷程度，综合评价交通便捷度较好</v>
      </c>
      <c r="D18" s="2010"/>
      <c r="E18" s="2563"/>
      <c r="F18" s="1247" t="s">
        <v>1671</v>
      </c>
      <c r="G18" s="1005" t="str">
        <f>G7</f>
        <v>该园区内是否有污染型企业，绿化情况，卫生条件，整体环境状况判断</v>
      </c>
    </row>
    <row r="19" spans="1:7" ht="27">
      <c r="A19" s="2566"/>
      <c r="B19" s="1247" t="s">
        <v>1660</v>
      </c>
      <c r="C19" s="2770"/>
      <c r="D19" s="2009"/>
      <c r="E19" s="2563"/>
      <c r="F19" s="1231" t="s">
        <v>2547</v>
      </c>
      <c r="G19" s="1005" t="str">
        <f>G5</f>
        <v>估价对象所在区域公共配套设施齐备情况</v>
      </c>
    </row>
    <row r="20" spans="1:7" ht="40.5">
      <c r="A20" s="2566"/>
      <c r="B20" s="1247" t="s">
        <v>1661</v>
      </c>
      <c r="C20" s="1246" t="str">
        <f>C9</f>
        <v>区域自然环境：；人文环境；综合评价环境状况一般</v>
      </c>
      <c r="D20" s="2010"/>
      <c r="E20" s="2563"/>
      <c r="F20" s="1231" t="s">
        <v>2548</v>
      </c>
      <c r="G20" s="1005" t="str">
        <f>G6</f>
        <v>估价对象所在区域基础设施水平</v>
      </c>
    </row>
    <row r="21" spans="1:7" ht="27">
      <c r="A21" s="2566"/>
      <c r="B21" s="1231" t="s">
        <v>2547</v>
      </c>
      <c r="C21" s="1005" t="str">
        <f>C7</f>
        <v>估价对象所在区域公共配套设施齐备情况</v>
      </c>
      <c r="D21" s="2009"/>
      <c r="E21" s="2563"/>
      <c r="F21" s="1247" t="s">
        <v>1662</v>
      </c>
      <c r="G21" s="3061"/>
    </row>
    <row r="22" spans="1:7" ht="27">
      <c r="A22" s="2566"/>
      <c r="B22" s="1231" t="s">
        <v>2548</v>
      </c>
      <c r="C22" s="1005" t="str">
        <f>C8</f>
        <v>估价对象所在区域基础设施水平</v>
      </c>
      <c r="D22" s="2009"/>
      <c r="E22" s="2563"/>
      <c r="F22" s="1247" t="s">
        <v>1672</v>
      </c>
      <c r="G22" s="2770"/>
    </row>
    <row r="23" spans="1:7" ht="15" thickBot="1">
      <c r="A23" s="2566"/>
      <c r="B23" s="1247" t="s">
        <v>1662</v>
      </c>
      <c r="C23" s="3061"/>
      <c r="E23" s="2564"/>
      <c r="F23" s="1248" t="s">
        <v>1676</v>
      </c>
      <c r="G23" s="3062"/>
    </row>
    <row r="24" spans="1:7" ht="14.25" thickBot="1">
      <c r="A24" s="2567"/>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9" t="s">
        <v>2844</v>
      </c>
      <c r="B1" s="3019">
        <f>SUM(B14:B23)</f>
        <v>183566.61000000002</v>
      </c>
      <c r="C1" s="3020"/>
      <c r="D1" s="3020"/>
      <c r="E1" s="3020"/>
      <c r="F1" s="3020"/>
    </row>
    <row r="2" spans="1:9" ht="16.5">
      <c r="A2" s="3019" t="s">
        <v>2845</v>
      </c>
      <c r="B2" s="3019">
        <f>SUM(C14:C23)</f>
        <v>47625</v>
      </c>
      <c r="C2" s="3020"/>
      <c r="D2" s="3020"/>
      <c r="E2" s="3020"/>
      <c r="F2" s="3020"/>
    </row>
    <row r="3" spans="1:9" ht="16.5">
      <c r="A3" s="3019" t="s">
        <v>2846</v>
      </c>
      <c r="B3" s="3021">
        <f>项目基本情况!D3</f>
        <v>43490</v>
      </c>
      <c r="C3" s="3020"/>
      <c r="D3" s="3020"/>
      <c r="E3" s="3020"/>
      <c r="F3" s="3020"/>
    </row>
    <row r="4" spans="1:9" ht="33">
      <c r="A4" s="3019" t="s">
        <v>2847</v>
      </c>
      <c r="B4" s="3019" t="s">
        <v>2848</v>
      </c>
      <c r="C4" s="3019" t="s">
        <v>2849</v>
      </c>
      <c r="D4" s="3019" t="s">
        <v>2850</v>
      </c>
      <c r="E4" s="3020"/>
      <c r="F4" s="3020"/>
    </row>
    <row r="5" spans="1:9" ht="16.5">
      <c r="A5" s="3019" t="s">
        <v>2851</v>
      </c>
      <c r="B5" s="3019">
        <f ca="1">SUM(D14:D23)</f>
        <v>310405</v>
      </c>
      <c r="C5" s="3019">
        <f ca="1">ROUND(B5*10000/$B$1,0)</f>
        <v>16910</v>
      </c>
      <c r="D5" s="3019">
        <f ca="1">ROUND(B5*10000/$B$2,0)</f>
        <v>65177</v>
      </c>
      <c r="E5" s="3020"/>
      <c r="F5" s="3020"/>
    </row>
    <row r="6" spans="1:9" ht="16.5">
      <c r="A6" s="3019" t="s">
        <v>2852</v>
      </c>
      <c r="B6" s="3019">
        <f ca="1">SUM(G14:G23)</f>
        <v>310405</v>
      </c>
      <c r="C6" s="3019">
        <f t="shared" ref="C6:C8" ca="1" si="0">ROUND(B6*10000/$B$1,0)</f>
        <v>16910</v>
      </c>
      <c r="D6" s="3019">
        <f t="shared" ref="D6:D8" ca="1" si="1">ROUND(B6*10000/$B$2,0)</f>
        <v>65177</v>
      </c>
      <c r="E6" s="3020"/>
      <c r="F6" s="3020"/>
    </row>
    <row r="7" spans="1:9" ht="16.5">
      <c r="A7" s="3019" t="s">
        <v>2853</v>
      </c>
      <c r="B7" s="3019">
        <f>SUM(H14:H23)</f>
        <v>0</v>
      </c>
      <c r="C7" s="3019">
        <f t="shared" si="0"/>
        <v>0</v>
      </c>
      <c r="D7" s="3019">
        <f t="shared" si="1"/>
        <v>0</v>
      </c>
      <c r="E7" s="3020"/>
      <c r="F7" s="3020"/>
    </row>
    <row r="8" spans="1:9" ht="16.5">
      <c r="A8" s="3019" t="s">
        <v>2854</v>
      </c>
      <c r="B8" s="3019">
        <f>SUM(I14:I23)</f>
        <v>0</v>
      </c>
      <c r="C8" s="3019">
        <f t="shared" si="0"/>
        <v>0</v>
      </c>
      <c r="D8" s="3019">
        <f t="shared" si="1"/>
        <v>0</v>
      </c>
      <c r="E8" s="3020"/>
      <c r="F8" s="3020"/>
    </row>
    <row r="9" spans="1:9" ht="16.5">
      <c r="A9" s="3019" t="s">
        <v>2855</v>
      </c>
      <c r="B9" s="3022"/>
      <c r="C9" s="3020"/>
      <c r="D9" s="3020"/>
      <c r="E9" s="3020"/>
      <c r="F9" s="3020"/>
    </row>
    <row r="10" spans="1:9" ht="16.5">
      <c r="A10" s="3019" t="s">
        <v>2856</v>
      </c>
      <c r="B10" s="3022"/>
      <c r="C10" s="3020"/>
      <c r="D10" s="3020"/>
      <c r="E10" s="3020"/>
      <c r="F10" s="3020"/>
    </row>
    <row r="11" spans="1:9" ht="16.5">
      <c r="A11" s="3019" t="s">
        <v>2873</v>
      </c>
      <c r="B11" s="3022"/>
      <c r="C11" s="3020"/>
      <c r="D11" s="3020"/>
      <c r="E11" s="3020"/>
      <c r="F11" s="3020"/>
    </row>
    <row r="12" spans="1:9" ht="16.5">
      <c r="A12" s="3020"/>
      <c r="B12" s="3020"/>
      <c r="C12" s="3020"/>
      <c r="D12" s="3020"/>
      <c r="E12" s="3020"/>
      <c r="F12" s="3020"/>
    </row>
    <row r="13" spans="1:9" ht="33">
      <c r="A13" s="3025" t="s">
        <v>2872</v>
      </c>
      <c r="B13" s="3023" t="s">
        <v>2844</v>
      </c>
      <c r="C13" s="3023" t="s">
        <v>2845</v>
      </c>
      <c r="D13" s="3023" t="s">
        <v>2857</v>
      </c>
      <c r="E13" s="3019" t="s">
        <v>2871</v>
      </c>
      <c r="F13" s="3019" t="s">
        <v>2850</v>
      </c>
      <c r="G13" s="3023" t="s">
        <v>2858</v>
      </c>
      <c r="H13" s="3023" t="s">
        <v>2859</v>
      </c>
      <c r="I13" s="3023" t="s">
        <v>2860</v>
      </c>
    </row>
    <row r="14" spans="1:9" ht="16.5">
      <c r="A14" s="3026" t="s">
        <v>2870</v>
      </c>
      <c r="B14" s="3023">
        <f>结果表!L38</f>
        <v>183566.61000000002</v>
      </c>
      <c r="C14" s="3023">
        <f>结果表!K38</f>
        <v>47625</v>
      </c>
      <c r="D14" s="3023">
        <f ca="1">结果表!C42</f>
        <v>310405</v>
      </c>
      <c r="E14" s="3023">
        <f ca="1">ROUND(D14*10000/B14,0)</f>
        <v>16910</v>
      </c>
      <c r="F14" s="3023">
        <f ca="1">ROUND(D14*10000/C14,0)</f>
        <v>65177</v>
      </c>
      <c r="G14" s="3023">
        <f ca="1">结果表!C44</f>
        <v>310405</v>
      </c>
      <c r="H14" s="3023" t="str">
        <f>结果表!C45</f>
        <v>——</v>
      </c>
      <c r="I14" s="3023" t="str">
        <f>结果表!C46</f>
        <v>——</v>
      </c>
    </row>
    <row r="15" spans="1:9" ht="16.5">
      <c r="A15" s="3026" t="s">
        <v>2861</v>
      </c>
      <c r="B15" s="3027"/>
      <c r="C15" s="3027"/>
      <c r="D15" s="3027"/>
      <c r="E15" s="3023" t="e">
        <f t="shared" ref="E15:E23" si="2">ROUND(D15*10000/B15,0)</f>
        <v>#DIV/0!</v>
      </c>
      <c r="F15" s="3023" t="e">
        <f t="shared" ref="F15:F23" si="3">ROUND(D15*10000/C15,0)</f>
        <v>#DIV/0!</v>
      </c>
      <c r="G15" s="3024"/>
      <c r="H15" s="3024"/>
      <c r="I15" s="3027"/>
    </row>
    <row r="16" spans="1:9" ht="16.5">
      <c r="A16" s="3026" t="s">
        <v>2862</v>
      </c>
      <c r="B16" s="3027"/>
      <c r="C16" s="3027"/>
      <c r="D16" s="3027"/>
      <c r="E16" s="3023" t="e">
        <f t="shared" si="2"/>
        <v>#DIV/0!</v>
      </c>
      <c r="F16" s="3023" t="e">
        <f t="shared" si="3"/>
        <v>#DIV/0!</v>
      </c>
      <c r="G16" s="3024"/>
      <c r="H16" s="3024"/>
      <c r="I16" s="3027"/>
    </row>
    <row r="17" spans="1:9" ht="16.5">
      <c r="A17" s="3026" t="s">
        <v>2863</v>
      </c>
      <c r="B17" s="3027"/>
      <c r="C17" s="3027"/>
      <c r="D17" s="3027"/>
      <c r="E17" s="3023" t="e">
        <f t="shared" si="2"/>
        <v>#DIV/0!</v>
      </c>
      <c r="F17" s="3023" t="e">
        <f t="shared" si="3"/>
        <v>#DIV/0!</v>
      </c>
      <c r="G17" s="3024"/>
      <c r="H17" s="3024"/>
      <c r="I17" s="3027"/>
    </row>
    <row r="18" spans="1:9" ht="16.5">
      <c r="A18" s="3026" t="s">
        <v>2864</v>
      </c>
      <c r="B18" s="3027"/>
      <c r="C18" s="3027"/>
      <c r="D18" s="3027"/>
      <c r="E18" s="3023" t="e">
        <f t="shared" si="2"/>
        <v>#DIV/0!</v>
      </c>
      <c r="F18" s="3023" t="e">
        <f t="shared" si="3"/>
        <v>#DIV/0!</v>
      </c>
      <c r="G18" s="3027"/>
      <c r="H18" s="3027"/>
      <c r="I18" s="3027"/>
    </row>
    <row r="19" spans="1:9" ht="16.5">
      <c r="A19" s="3026" t="s">
        <v>2865</v>
      </c>
      <c r="B19" s="3027"/>
      <c r="C19" s="3027"/>
      <c r="D19" s="3027"/>
      <c r="E19" s="3023" t="e">
        <f t="shared" si="2"/>
        <v>#DIV/0!</v>
      </c>
      <c r="F19" s="3023" t="e">
        <f t="shared" si="3"/>
        <v>#DIV/0!</v>
      </c>
      <c r="G19" s="3027"/>
      <c r="H19" s="3027"/>
      <c r="I19" s="3027"/>
    </row>
    <row r="20" spans="1:9" ht="16.5">
      <c r="A20" s="3026" t="s">
        <v>2866</v>
      </c>
      <c r="B20" s="3027"/>
      <c r="C20" s="3027"/>
      <c r="D20" s="3027"/>
      <c r="E20" s="3023" t="e">
        <f t="shared" si="2"/>
        <v>#DIV/0!</v>
      </c>
      <c r="F20" s="3023" t="e">
        <f t="shared" si="3"/>
        <v>#DIV/0!</v>
      </c>
      <c r="G20" s="3027"/>
      <c r="H20" s="3027"/>
      <c r="I20" s="3027"/>
    </row>
    <row r="21" spans="1:9" ht="16.5">
      <c r="A21" s="3026" t="s">
        <v>2867</v>
      </c>
      <c r="B21" s="3027"/>
      <c r="C21" s="3027"/>
      <c r="D21" s="3027"/>
      <c r="E21" s="3023" t="e">
        <f t="shared" si="2"/>
        <v>#DIV/0!</v>
      </c>
      <c r="F21" s="3023" t="e">
        <f t="shared" si="3"/>
        <v>#DIV/0!</v>
      </c>
      <c r="G21" s="3027"/>
      <c r="H21" s="3027"/>
      <c r="I21" s="3027"/>
    </row>
    <row r="22" spans="1:9" ht="16.5">
      <c r="A22" s="3026" t="s">
        <v>2868</v>
      </c>
      <c r="B22" s="3027"/>
      <c r="C22" s="3027"/>
      <c r="D22" s="3027"/>
      <c r="E22" s="3023" t="e">
        <f t="shared" si="2"/>
        <v>#DIV/0!</v>
      </c>
      <c r="F22" s="3023" t="e">
        <f t="shared" si="3"/>
        <v>#DIV/0!</v>
      </c>
      <c r="G22" s="3027"/>
      <c r="H22" s="3027"/>
      <c r="I22" s="3027"/>
    </row>
    <row r="23" spans="1:9" ht="16.5">
      <c r="A23" s="3026" t="s">
        <v>2869</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31" zoomScaleNormal="100" zoomScaleSheetLayoutView="100" zoomScalePageLayoutView="80" workbookViewId="0">
      <selection activeCell="M38" sqref="M38:O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3343</v>
      </c>
      <c r="E1" s="1805" t="s">
        <v>2058</v>
      </c>
      <c r="F1" s="1807" t="s">
        <v>3344</v>
      </c>
      <c r="G1" s="311"/>
      <c r="H1" s="311"/>
      <c r="I1" s="311"/>
      <c r="J1" s="2029"/>
      <c r="K1" s="2029"/>
      <c r="L1" s="2029"/>
      <c r="M1" s="2029"/>
      <c r="N1" s="2029"/>
      <c r="O1" s="2029"/>
      <c r="P1" s="2029"/>
      <c r="Q1" s="2029"/>
      <c r="R1" s="2029"/>
      <c r="S1" s="2029"/>
      <c r="T1" s="2029"/>
      <c r="U1" s="2029"/>
      <c r="V1" s="2029"/>
    </row>
    <row r="2" spans="1:22" ht="21.75" customHeight="1" thickBot="1">
      <c r="A2" s="3326" t="str">
        <f>项目基本情况!K2</f>
        <v>出让国有建设用地使用权</v>
      </c>
      <c r="B2" s="3327"/>
      <c r="C2" s="3328"/>
      <c r="D2" s="3328"/>
      <c r="E2" s="3328"/>
      <c r="F2" s="3328"/>
      <c r="G2" s="3327"/>
      <c r="H2" s="3327"/>
      <c r="I2" s="3329"/>
      <c r="J2" s="2030"/>
      <c r="K2" s="2029"/>
      <c r="L2" s="2029"/>
      <c r="M2" s="2029"/>
      <c r="N2" s="2029"/>
      <c r="O2" s="2029"/>
      <c r="P2" s="2029"/>
      <c r="Q2" s="2029"/>
      <c r="R2" s="2029"/>
      <c r="S2" s="2029"/>
      <c r="T2" s="2029"/>
      <c r="U2" s="2029"/>
      <c r="V2" s="2029"/>
    </row>
    <row r="3" spans="1:22" ht="14.25">
      <c r="A3" s="3319" t="s">
        <v>298</v>
      </c>
      <c r="B3" s="3320"/>
      <c r="C3" s="3320"/>
      <c r="D3" s="3320"/>
      <c r="E3" s="3320"/>
      <c r="F3" s="3320"/>
      <c r="G3" s="3320"/>
      <c r="H3" s="3320"/>
      <c r="I3" s="3320"/>
      <c r="J3" s="2030"/>
      <c r="K3" s="2029"/>
      <c r="L3" s="2029"/>
      <c r="M3" s="2029"/>
      <c r="N3" s="2029"/>
      <c r="O3" s="2029"/>
      <c r="P3" s="2029"/>
      <c r="Q3" s="2029"/>
      <c r="R3" s="2029"/>
      <c r="S3" s="2029"/>
      <c r="T3" s="2029"/>
      <c r="U3" s="2029"/>
      <c r="V3" s="2029"/>
    </row>
    <row r="4" spans="1:22" ht="14.25">
      <c r="A4" s="258" t="s">
        <v>299</v>
      </c>
      <c r="B4" s="259" t="s">
        <v>300</v>
      </c>
      <c r="C4" s="260" t="s">
        <v>3002</v>
      </c>
      <c r="D4" s="260" t="s">
        <v>3003</v>
      </c>
      <c r="E4" s="3291" t="s">
        <v>301</v>
      </c>
      <c r="F4" s="3292"/>
      <c r="G4" s="3292"/>
      <c r="H4" s="3292"/>
      <c r="I4" s="3321"/>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90" t="s">
        <v>302</v>
      </c>
      <c r="B5" s="3316">
        <v>25</v>
      </c>
      <c r="C5" s="3314"/>
      <c r="D5" s="3318"/>
      <c r="E5" s="261" t="s">
        <v>303</v>
      </c>
      <c r="F5" s="262"/>
      <c r="G5" s="262"/>
      <c r="H5" s="262"/>
      <c r="I5" s="263"/>
      <c r="J5" s="2030"/>
      <c r="K5" s="2029"/>
      <c r="L5" s="2029"/>
      <c r="M5" s="2029"/>
      <c r="N5" s="2029"/>
      <c r="O5" s="2029"/>
      <c r="P5" s="2029"/>
      <c r="Q5" s="2029"/>
      <c r="R5" s="2029"/>
      <c r="S5" s="2029"/>
      <c r="T5" s="2029"/>
      <c r="U5" s="2029"/>
      <c r="V5" s="2029"/>
    </row>
    <row r="6" spans="1:22" ht="14.25">
      <c r="A6" s="3290"/>
      <c r="B6" s="3316"/>
      <c r="C6" s="3317"/>
      <c r="D6" s="3318"/>
      <c r="E6" s="261" t="s">
        <v>304</v>
      </c>
      <c r="F6" s="262"/>
      <c r="G6" s="262"/>
      <c r="H6" s="262"/>
      <c r="I6" s="263"/>
      <c r="J6" s="2030"/>
      <c r="K6" s="2029"/>
      <c r="L6" s="2029"/>
      <c r="M6" s="2029"/>
      <c r="N6" s="2029"/>
      <c r="O6" s="2029"/>
      <c r="P6" s="2029"/>
      <c r="Q6" s="2029"/>
      <c r="R6" s="2029"/>
      <c r="S6" s="2029"/>
      <c r="T6" s="2029"/>
      <c r="U6" s="2029"/>
      <c r="V6" s="2029"/>
    </row>
    <row r="7" spans="1:22" ht="14.25">
      <c r="A7" s="3290"/>
      <c r="B7" s="3316"/>
      <c r="C7" s="3315"/>
      <c r="D7" s="3318"/>
      <c r="E7" s="261" t="s">
        <v>305</v>
      </c>
      <c r="F7" s="262"/>
      <c r="G7" s="262"/>
      <c r="H7" s="262"/>
      <c r="I7" s="263"/>
      <c r="J7" s="2030"/>
      <c r="K7" s="2029"/>
      <c r="L7" s="2029"/>
      <c r="M7" s="2029"/>
      <c r="N7" s="2029"/>
      <c r="O7" s="2029"/>
      <c r="P7" s="2029"/>
      <c r="Q7" s="2029"/>
      <c r="R7" s="2029"/>
      <c r="S7" s="2029"/>
      <c r="T7" s="2029"/>
      <c r="U7" s="2029"/>
      <c r="V7" s="2029"/>
    </row>
    <row r="8" spans="1:22" ht="14.25">
      <c r="A8" s="3290" t="s">
        <v>306</v>
      </c>
      <c r="B8" s="3316">
        <v>15</v>
      </c>
      <c r="C8" s="3314"/>
      <c r="D8" s="3318"/>
      <c r="E8" s="261" t="s">
        <v>307</v>
      </c>
      <c r="F8" s="262"/>
      <c r="G8" s="262"/>
      <c r="H8" s="262"/>
      <c r="I8" s="263"/>
      <c r="J8" s="2030"/>
      <c r="K8" s="2029"/>
      <c r="L8" s="2029"/>
      <c r="M8" s="2029"/>
      <c r="N8" s="2029"/>
      <c r="O8" s="2029"/>
      <c r="P8" s="2029"/>
      <c r="Q8" s="2029"/>
      <c r="R8" s="2029"/>
      <c r="S8" s="2029"/>
      <c r="T8" s="2029"/>
      <c r="U8" s="2029"/>
      <c r="V8" s="2029"/>
    </row>
    <row r="9" spans="1:22" ht="14.25">
      <c r="A9" s="3290"/>
      <c r="B9" s="3316"/>
      <c r="C9" s="3315"/>
      <c r="D9" s="3318"/>
      <c r="E9" s="261" t="s">
        <v>308</v>
      </c>
      <c r="F9" s="262"/>
      <c r="G9" s="262"/>
      <c r="H9" s="262"/>
      <c r="I9" s="263"/>
      <c r="J9" s="2030"/>
      <c r="K9" s="2029"/>
      <c r="L9" s="2029"/>
      <c r="M9" s="2029"/>
      <c r="N9" s="2029"/>
      <c r="O9" s="2029"/>
      <c r="P9" s="2029"/>
      <c r="Q9" s="2029"/>
      <c r="R9" s="2029"/>
      <c r="S9" s="2029"/>
      <c r="T9" s="2029"/>
      <c r="U9" s="2029"/>
      <c r="V9" s="2029"/>
    </row>
    <row r="10" spans="1:22" ht="14.25">
      <c r="A10" s="3290" t="s">
        <v>309</v>
      </c>
      <c r="B10" s="3316">
        <v>15</v>
      </c>
      <c r="C10" s="3314"/>
      <c r="D10" s="3318"/>
      <c r="E10" s="261" t="s">
        <v>310</v>
      </c>
      <c r="F10" s="262"/>
      <c r="G10" s="262"/>
      <c r="H10" s="262"/>
      <c r="I10" s="263"/>
      <c r="J10" s="2030"/>
      <c r="K10" s="2029"/>
      <c r="L10" s="2029"/>
      <c r="M10" s="2029"/>
      <c r="N10" s="2029"/>
      <c r="O10" s="2029"/>
      <c r="P10" s="2029"/>
      <c r="Q10" s="2029"/>
      <c r="R10" s="2029"/>
      <c r="S10" s="2029"/>
      <c r="T10" s="2029"/>
      <c r="U10" s="2029"/>
      <c r="V10" s="2029"/>
    </row>
    <row r="11" spans="1:22" ht="14.25">
      <c r="A11" s="3290"/>
      <c r="B11" s="3316"/>
      <c r="C11" s="3315"/>
      <c r="D11" s="3318"/>
      <c r="E11" s="261" t="s">
        <v>311</v>
      </c>
      <c r="F11" s="262"/>
      <c r="G11" s="262"/>
      <c r="H11" s="262"/>
      <c r="I11" s="263"/>
      <c r="J11" s="2030"/>
      <c r="K11" s="2029"/>
      <c r="L11" s="2029"/>
      <c r="M11" s="2029"/>
      <c r="N11" s="2029"/>
      <c r="O11" s="2029"/>
      <c r="P11" s="2029"/>
      <c r="Q11" s="2029"/>
      <c r="R11" s="2029"/>
      <c r="S11" s="2029"/>
      <c r="T11" s="2029"/>
      <c r="U11" s="2029"/>
      <c r="V11" s="2029"/>
    </row>
    <row r="12" spans="1:22" ht="14.25">
      <c r="A12" s="3290" t="s">
        <v>312</v>
      </c>
      <c r="B12" s="3316">
        <v>15</v>
      </c>
      <c r="C12" s="3314"/>
      <c r="D12" s="3318"/>
      <c r="E12" s="261" t="s">
        <v>313</v>
      </c>
      <c r="F12" s="262"/>
      <c r="G12" s="262"/>
      <c r="H12" s="262"/>
      <c r="I12" s="263"/>
      <c r="J12" s="2030"/>
      <c r="K12" s="2029"/>
      <c r="L12" s="2029"/>
      <c r="M12" s="2029"/>
      <c r="N12" s="2029"/>
      <c r="O12" s="2029"/>
      <c r="P12" s="2029"/>
      <c r="Q12" s="2029"/>
      <c r="R12" s="2029"/>
      <c r="S12" s="2029"/>
      <c r="T12" s="2029"/>
      <c r="U12" s="2029"/>
      <c r="V12" s="2029"/>
    </row>
    <row r="13" spans="1:22" ht="14.25">
      <c r="A13" s="3290"/>
      <c r="B13" s="3316"/>
      <c r="C13" s="3315"/>
      <c r="D13" s="3318"/>
      <c r="E13" s="261" t="s">
        <v>314</v>
      </c>
      <c r="F13" s="262"/>
      <c r="G13" s="262"/>
      <c r="H13" s="262"/>
      <c r="I13" s="263"/>
      <c r="J13" s="2030"/>
      <c r="K13" s="2029"/>
      <c r="L13" s="2029"/>
      <c r="M13" s="2029"/>
      <c r="N13" s="2029"/>
      <c r="O13" s="2029"/>
      <c r="P13" s="2029"/>
      <c r="Q13" s="2029"/>
      <c r="R13" s="2029"/>
      <c r="S13" s="2029"/>
      <c r="T13" s="2029"/>
      <c r="U13" s="2029"/>
      <c r="V13" s="2029"/>
    </row>
    <row r="14" spans="1:22" ht="14.25">
      <c r="A14" s="3290" t="s">
        <v>315</v>
      </c>
      <c r="B14" s="3316">
        <v>30</v>
      </c>
      <c r="C14" s="3314">
        <v>5</v>
      </c>
      <c r="D14" s="3318">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90"/>
      <c r="B15" s="3316"/>
      <c r="C15" s="3317"/>
      <c r="D15" s="3318"/>
      <c r="E15" s="261" t="s">
        <v>317</v>
      </c>
      <c r="F15" s="262"/>
      <c r="G15" s="262"/>
      <c r="H15" s="262"/>
      <c r="I15" s="263"/>
      <c r="J15" s="2030"/>
      <c r="K15" s="2029"/>
      <c r="L15" s="2029"/>
      <c r="M15" s="2029"/>
      <c r="N15" s="2029"/>
      <c r="O15" s="2029"/>
      <c r="P15" s="2029"/>
      <c r="Q15" s="2029"/>
      <c r="R15" s="2029"/>
      <c r="S15" s="2029"/>
      <c r="T15" s="2029"/>
      <c r="U15" s="2029"/>
      <c r="V15" s="2029"/>
    </row>
    <row r="16" spans="1:22" ht="14.25">
      <c r="A16" s="3290"/>
      <c r="B16" s="3316"/>
      <c r="C16" s="3315"/>
      <c r="D16" s="3318"/>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315104</v>
      </c>
      <c r="D19" s="271">
        <f ca="1">SUMIF(INDIRECT("'"&amp;D4&amp;"'"&amp;"!A:A"),结果表!B19,INDIRECT("'"&amp;D4&amp;"'"&amp;"!B:B"))</f>
        <v>305706</v>
      </c>
      <c r="E19" s="268" t="s">
        <v>323</v>
      </c>
      <c r="F19" s="269" t="s">
        <v>322</v>
      </c>
      <c r="G19" s="272">
        <f ca="1">ROUND(C19*$C$18+D19*$D$18,0)</f>
        <v>310405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17166</v>
      </c>
      <c r="D20" s="277">
        <f ca="1">SUMIF(INDIRECT("'"&amp;D4&amp;"'"&amp;"!A:A"),结果表!B20,INDIRECT("'"&amp;D4&amp;"'"&amp;"!B:B"))</f>
        <v>16654</v>
      </c>
      <c r="E20" s="274"/>
      <c r="F20" s="275" t="s">
        <v>325</v>
      </c>
      <c r="G20" s="278">
        <f ca="1">ROUND(C20*$C$18+D20*$D$18,0)</f>
        <v>16910</v>
      </c>
      <c r="H20" s="279" t="s">
        <v>326</v>
      </c>
      <c r="I20" s="311"/>
      <c r="J20" s="2029"/>
      <c r="K20" s="2029">
        <f ca="1">G19/'数据-汇总表'!F31</f>
        <v>2.6034419565087932</v>
      </c>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66164</v>
      </c>
      <c r="D21" s="151">
        <f ca="1">SUMIF(INDIRECT("'"&amp;D4&amp;"'"&amp;"!A:A"),结果表!B21,INDIRECT("'"&amp;D4&amp;"'"&amp;"!B:B"))</f>
        <v>64190</v>
      </c>
      <c r="E21" s="274"/>
      <c r="F21" s="280" t="s">
        <v>327</v>
      </c>
      <c r="G21" s="282">
        <f ca="1">ROUND(C21*$C$18+D21*$D$18,0)</f>
        <v>65177</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3.0741954688491502E-2</v>
      </c>
      <c r="E22" s="284"/>
      <c r="F22" s="285"/>
      <c r="G22" s="286">
        <f ca="1">ROUND(G19/('数据-汇总表'!D3/666.67),0)</f>
        <v>4345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97"/>
      <c r="B25" s="1321" t="s">
        <v>331</v>
      </c>
      <c r="C25" s="290">
        <f>IF(B30=0,0,C30)</f>
        <v>0</v>
      </c>
      <c r="D25" s="291"/>
      <c r="E25" s="311"/>
      <c r="F25" s="311"/>
      <c r="G25" s="311"/>
      <c r="H25" s="311"/>
      <c r="I25" s="311"/>
      <c r="J25" s="2029"/>
      <c r="K25" s="1255" t="str">
        <f ca="1">项目基本情况!B16&amp;"国有建设用地使用权价格："&amp;O38&amp;"万元"</f>
        <v>出让国有建设用地使用权价格：310405万元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大写金额：人民币叁拾壹亿零肆佰零伍万元整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单位面积地价：65177元/平方米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楼面地价：16910元/平方米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抵押价格：310405万元</v>
      </c>
      <c r="L29" s="1252"/>
      <c r="M29" s="1252"/>
      <c r="N29" s="1252"/>
      <c r="O29" s="1251"/>
      <c r="P29" s="2029"/>
      <c r="V29" s="2029"/>
    </row>
    <row r="30" spans="1:26" ht="18.75" thickBot="1">
      <c r="A30" s="3104" t="s">
        <v>336</v>
      </c>
      <c r="B30" s="309"/>
      <c r="C30" s="309"/>
      <c r="D30" s="310"/>
      <c r="E30" s="3105" t="s">
        <v>2971</v>
      </c>
      <c r="F30" s="311"/>
      <c r="G30" s="311"/>
      <c r="H30" s="311"/>
      <c r="I30" s="311"/>
      <c r="J30" s="2029"/>
      <c r="K30" s="1258" t="str">
        <f ca="1">IF(K29="——","——","大写金额：人民币"&amp;NUMBERSTRING(INT(O39*10000),2)&amp;"元整")</f>
        <v>大写金额：人民币叁拾壹亿零肆佰零伍万元整</v>
      </c>
      <c r="L30" s="1252"/>
      <c r="M30" s="1252"/>
      <c r="N30" s="1252"/>
      <c r="O30" s="1251"/>
      <c r="P30" s="2029"/>
      <c r="V30" s="2029"/>
    </row>
    <row r="31" spans="1:26" ht="24" customHeight="1" thickBot="1">
      <c r="A31" s="311"/>
      <c r="B31" s="311"/>
      <c r="C31" s="311"/>
      <c r="D31" s="311"/>
      <c r="E31" s="311"/>
      <c r="F31" s="311"/>
      <c r="G31" s="311"/>
      <c r="H31" s="311"/>
      <c r="I31" s="311"/>
      <c r="J31" s="2029"/>
      <c r="K31" s="2446" t="str">
        <f>IF(项目基本情况!E8="抵押价格","——","抵押担保权已注销时的抵押价格："&amp;O40&amp;"万元")</f>
        <v>——</v>
      </c>
      <c r="L31" s="2442"/>
      <c r="M31" s="2442"/>
      <c r="N31" s="2442"/>
      <c r="O31" s="2443"/>
      <c r="P31" s="2029"/>
      <c r="V31" s="2029"/>
    </row>
    <row r="32" spans="1:26" ht="18.75" thickBot="1">
      <c r="A32" s="268" t="s">
        <v>337</v>
      </c>
      <c r="B32" s="1382" t="s">
        <v>1689</v>
      </c>
      <c r="C32" s="1383">
        <f ca="1">G19-C24</f>
        <v>310405</v>
      </c>
      <c r="D32" s="1384" t="s">
        <v>1690</v>
      </c>
      <c r="E32" s="311"/>
      <c r="F32" s="311"/>
      <c r="G32" s="311"/>
      <c r="H32" s="311"/>
      <c r="I32" s="311"/>
      <c r="J32" s="2029"/>
      <c r="K32" s="2441" t="str">
        <f>IF(K31="——","——","大写金额：人民币"&amp;NUMBERSTRING(INT(O40*10000),2)&amp;"元整")</f>
        <v>——</v>
      </c>
      <c r="L32" s="2444"/>
      <c r="M32" s="2444"/>
      <c r="N32" s="2444"/>
      <c r="O32" s="2445"/>
      <c r="P32" s="2029"/>
      <c r="V32" s="2029"/>
    </row>
    <row r="33" spans="1:26" ht="18.75" thickBot="1">
      <c r="A33" s="298" t="s">
        <v>340</v>
      </c>
      <c r="B33" s="1385" t="s">
        <v>1691</v>
      </c>
      <c r="C33" s="264">
        <f ca="1">ROUND(C32*10000/'数据-汇总表'!E3,0)</f>
        <v>16910</v>
      </c>
      <c r="D33" s="1386" t="s">
        <v>1692</v>
      </c>
      <c r="E33" s="3296"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65177</v>
      </c>
      <c r="D34" s="1388" t="s">
        <v>1692</v>
      </c>
      <c r="E34" s="3337"/>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4345</v>
      </c>
      <c r="D35" s="1391" t="s">
        <v>1694</v>
      </c>
      <c r="E35" s="3338"/>
      <c r="F35" s="301" t="s">
        <v>342</v>
      </c>
      <c r="G35" s="982"/>
      <c r="H35" s="981" t="s">
        <v>343</v>
      </c>
      <c r="I35" s="311"/>
      <c r="J35" s="2029"/>
      <c r="K35" s="3311" t="s">
        <v>350</v>
      </c>
      <c r="L35" s="3311" t="s">
        <v>351</v>
      </c>
      <c r="M35" s="1264" t="s">
        <v>352</v>
      </c>
      <c r="N35" s="3311" t="s">
        <v>353</v>
      </c>
      <c r="O35" s="3311" t="s">
        <v>354</v>
      </c>
      <c r="P35" s="2029"/>
      <c r="V35" s="2029"/>
    </row>
    <row r="36" spans="1:26" ht="16.5" customHeight="1">
      <c r="A36" s="303" t="s">
        <v>344</v>
      </c>
      <c r="B36" s="304" t="s">
        <v>333</v>
      </c>
      <c r="C36" s="305" t="s">
        <v>345</v>
      </c>
      <c r="D36" s="305" t="s">
        <v>346</v>
      </c>
      <c r="E36" s="306" t="s">
        <v>347</v>
      </c>
      <c r="F36" s="311"/>
      <c r="G36" s="311"/>
      <c r="H36" s="311"/>
      <c r="I36" s="311"/>
      <c r="J36" s="2031"/>
      <c r="K36" s="3312"/>
      <c r="L36" s="3312"/>
      <c r="M36" s="1266" t="s">
        <v>355</v>
      </c>
      <c r="N36" s="3312"/>
      <c r="O36" s="3312"/>
      <c r="P36" s="2029"/>
      <c r="V36" s="2029"/>
    </row>
    <row r="37" spans="1:26" ht="16.5" customHeight="1" thickBot="1">
      <c r="A37" s="1260" t="s">
        <v>348</v>
      </c>
      <c r="B37" s="307"/>
      <c r="C37" s="294"/>
      <c r="D37" s="294"/>
      <c r="E37" s="295"/>
      <c r="F37" s="311"/>
      <c r="G37" s="311"/>
      <c r="H37" s="311"/>
      <c r="I37" s="311"/>
      <c r="J37" s="2031"/>
      <c r="K37" s="3313"/>
      <c r="L37" s="3313"/>
      <c r="M37" s="1267"/>
      <c r="N37" s="3313"/>
      <c r="O37" s="3313"/>
      <c r="P37" s="2029"/>
      <c r="V37" s="2029"/>
    </row>
    <row r="38" spans="1:26" ht="16.5" customHeight="1" thickBot="1">
      <c r="A38" s="1260" t="s">
        <v>349</v>
      </c>
      <c r="B38" s="307"/>
      <c r="C38" s="294"/>
      <c r="D38" s="294"/>
      <c r="E38" s="295"/>
      <c r="F38" s="311"/>
      <c r="G38" s="311"/>
      <c r="H38" s="311"/>
      <c r="I38" s="311"/>
      <c r="J38" s="2031"/>
      <c r="K38" s="1268">
        <f>'数据-汇总表'!D3</f>
        <v>47625</v>
      </c>
      <c r="L38" s="1269">
        <f>'数据-汇总表'!E3</f>
        <v>183566.61000000002</v>
      </c>
      <c r="M38" s="1269">
        <f ca="1">C34</f>
        <v>65177</v>
      </c>
      <c r="N38" s="1269">
        <f ca="1">C33</f>
        <v>16910</v>
      </c>
      <c r="O38" s="1270">
        <f ca="1">C32</f>
        <v>310405</v>
      </c>
      <c r="P38" s="2029"/>
      <c r="V38" s="2029"/>
    </row>
    <row r="39" spans="1:26" ht="16.5" customHeight="1" thickBot="1">
      <c r="A39" s="1265"/>
      <c r="B39" s="308"/>
      <c r="C39" s="309"/>
      <c r="D39" s="309"/>
      <c r="E39" s="310"/>
      <c r="F39" s="311"/>
      <c r="G39" s="311"/>
      <c r="H39" s="311"/>
      <c r="I39" s="311"/>
      <c r="J39" s="2031"/>
      <c r="K39" s="3356" t="str">
        <f>MID(A44,3,LEN(A44)-2)</f>
        <v>抵押价格</v>
      </c>
      <c r="L39" s="3357"/>
      <c r="M39" s="3357"/>
      <c r="N39" s="3358"/>
      <c r="O39" s="1393">
        <f ca="1">C44</f>
        <v>310405</v>
      </c>
      <c r="P39" s="2029"/>
      <c r="V39" s="2029"/>
    </row>
    <row r="40" spans="1:26" ht="19.5" thickBot="1">
      <c r="A40" s="104" t="s">
        <v>873</v>
      </c>
      <c r="B40" s="311"/>
      <c r="C40" s="311"/>
      <c r="D40" s="311"/>
      <c r="E40" s="311"/>
      <c r="F40" s="311"/>
      <c r="G40" s="311"/>
      <c r="H40" s="311"/>
      <c r="I40" s="311"/>
      <c r="J40" s="2031"/>
      <c r="K40" s="3356" t="str">
        <f t="shared" ref="K40:K41" si="0">MID(A45,3,LEN(A45)-2)</f>
        <v/>
      </c>
      <c r="L40" s="3357"/>
      <c r="M40" s="3357"/>
      <c r="N40" s="3358"/>
      <c r="O40" s="1393" t="str">
        <f>C45</f>
        <v>——</v>
      </c>
      <c r="P40" s="2029"/>
      <c r="V40" s="2029"/>
    </row>
    <row r="41" spans="1:26" ht="16.5" thickBot="1">
      <c r="A41" s="312" t="s">
        <v>356</v>
      </c>
      <c r="B41" s="313"/>
      <c r="C41" s="314" t="s">
        <v>357</v>
      </c>
      <c r="D41" s="315" t="s">
        <v>358</v>
      </c>
      <c r="E41" s="315" t="s">
        <v>359</v>
      </c>
      <c r="F41" s="316" t="s">
        <v>360</v>
      </c>
      <c r="G41" s="311"/>
      <c r="H41" s="311"/>
      <c r="I41" s="311"/>
      <c r="J41" s="2031"/>
      <c r="K41" s="3356" t="str">
        <f t="shared" si="0"/>
        <v/>
      </c>
      <c r="L41" s="3357"/>
      <c r="M41" s="3357"/>
      <c r="N41" s="3358"/>
      <c r="O41" s="1393" t="str">
        <f>C46</f>
        <v>——</v>
      </c>
      <c r="P41" s="2029"/>
      <c r="V41" s="2029"/>
    </row>
    <row r="42" spans="1:26" ht="29.25">
      <c r="A42" s="3298" t="s">
        <v>2068</v>
      </c>
      <c r="B42" s="3299"/>
      <c r="C42" s="264">
        <f ca="1">C32</f>
        <v>310405</v>
      </c>
      <c r="D42" s="317">
        <f ca="1">C33</f>
        <v>16910</v>
      </c>
      <c r="E42" s="317">
        <f ca="1">C34</f>
        <v>65177</v>
      </c>
      <c r="F42" s="318">
        <f ca="1">C35</f>
        <v>4345</v>
      </c>
      <c r="G42" s="311"/>
      <c r="H42" s="311"/>
      <c r="I42" s="319"/>
      <c r="J42" s="2031"/>
      <c r="K42" s="1271" t="s">
        <v>361</v>
      </c>
      <c r="L42" s="2048" t="s">
        <v>362</v>
      </c>
      <c r="M42" s="1272" t="s">
        <v>363</v>
      </c>
      <c r="N42" s="2049" t="s">
        <v>364</v>
      </c>
      <c r="O42" s="2050" t="s">
        <v>365</v>
      </c>
      <c r="P42" s="2029"/>
      <c r="V42" s="2029"/>
    </row>
    <row r="43" spans="1:26" ht="30">
      <c r="A43" s="3309" t="s">
        <v>2731</v>
      </c>
      <c r="B43" s="3310"/>
      <c r="C43" s="264">
        <f>IF(H33="正常操作",G33+G34+G35,G34+G35)</f>
        <v>0</v>
      </c>
      <c r="D43" s="317" t="s">
        <v>43</v>
      </c>
      <c r="E43" s="317" t="s">
        <v>44</v>
      </c>
      <c r="F43" s="318" t="s">
        <v>44</v>
      </c>
      <c r="G43" s="2843" t="s">
        <v>952</v>
      </c>
      <c r="H43" s="311"/>
      <c r="I43" s="319"/>
      <c r="J43" s="2031"/>
      <c r="K43" s="1273" t="str">
        <f>C4</f>
        <v>比较法-住宅、综合</v>
      </c>
      <c r="L43" s="1274">
        <f ca="1">IF(L42="估价结果/万元",C19,C20)</f>
        <v>315104</v>
      </c>
      <c r="M43" s="1275">
        <f>C18</f>
        <v>0.5</v>
      </c>
      <c r="N43" s="1276">
        <f ca="1">IF(N42="测算结果/万元",G19,G20)</f>
        <v>310405</v>
      </c>
      <c r="O43" s="1277">
        <f ca="1">IF(O42="最终结果/万元",C32,C33)</f>
        <v>310405</v>
      </c>
      <c r="P43" s="2029"/>
      <c r="V43" s="2029"/>
    </row>
    <row r="44" spans="1:26" ht="30.75" thickBot="1">
      <c r="A44" s="3298" t="str">
        <f>IF(OR(项目基本情况!E8="抵押价格",项目基本情况!E8="已注销及未注销"),"3.抵押价格","——")</f>
        <v>3.抵押价格</v>
      </c>
      <c r="B44" s="3299"/>
      <c r="C44" s="264">
        <f ca="1">IF(A44="——","——",C42-C43)</f>
        <v>310405</v>
      </c>
      <c r="D44" s="317">
        <f ca="1">ROUND(C44*10000/'数据-汇总表'!E3,0)</f>
        <v>16910</v>
      </c>
      <c r="E44" s="317">
        <f ca="1">ROUND(C44*10000/'数据-汇总表'!D3,0)</f>
        <v>65177</v>
      </c>
      <c r="F44" s="318">
        <f ca="1">ROUND(C44/('数据-汇总表'!D3/666.67),0)</f>
        <v>4345</v>
      </c>
      <c r="G44" s="311"/>
      <c r="H44" s="311"/>
      <c r="I44" s="319"/>
      <c r="J44" s="2031"/>
      <c r="K44" s="1278" t="str">
        <f>D4</f>
        <v>剩余法-待开发</v>
      </c>
      <c r="L44" s="1279">
        <f ca="1">IF(L42="估价结果/万元",D19,D20)</f>
        <v>305706</v>
      </c>
      <c r="M44" s="1280">
        <f>D18</f>
        <v>0.5</v>
      </c>
      <c r="N44" s="1281"/>
      <c r="O44" s="1282"/>
      <c r="P44" s="2029"/>
      <c r="V44" s="2029"/>
    </row>
    <row r="45" spans="1:26" ht="15">
      <c r="A45" s="3304" t="str">
        <f>IF(项目基本情况!E8="已注销及未注销","4.抵押担保权已注销时的抵押价格",IF(项目基本情况!E8="已注销","3.抵押担保权已注销时的抵押价格","——"))</f>
        <v>——</v>
      </c>
      <c r="B45" s="330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00" t="str">
        <f>IF(项目基本情况!E9="抵押净值",IF(A45="——","4.抵押净值","5.抵押净值"),"——")</f>
        <v>——</v>
      </c>
      <c r="B46" s="330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5" t="s">
        <v>374</v>
      </c>
      <c r="B63" s="3346"/>
      <c r="C63" s="3347"/>
      <c r="D63" s="341">
        <f ca="1">ROUND(C42*F63,0)</f>
        <v>186243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06" t="s">
        <v>378</v>
      </c>
      <c r="B64" s="3307"/>
      <c r="C64" s="3307"/>
      <c r="D64" s="3307"/>
      <c r="E64" s="3307"/>
      <c r="F64" s="3307"/>
      <c r="G64" s="3308"/>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02" t="s">
        <v>386</v>
      </c>
      <c r="B66" s="3303"/>
      <c r="C66" s="3303"/>
      <c r="D66" s="261">
        <f ca="1">IF(H66="情况1",0,IF(H66="情况2",D70,IF(H66="情况3",D71,IF(H66="情况4",D72))))</f>
        <v>9933</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60" t="s">
        <v>385</v>
      </c>
      <c r="M66" s="3361"/>
      <c r="N66" s="2436"/>
      <c r="O66" s="2437"/>
      <c r="P66" s="2438"/>
      <c r="Q66" s="2029"/>
      <c r="R66" s="2029"/>
      <c r="S66" s="2029"/>
      <c r="T66" s="2029"/>
      <c r="U66" s="2029"/>
      <c r="V66" s="2029"/>
    </row>
    <row r="67" spans="1:22" ht="25.5" customHeight="1">
      <c r="A67" s="352" t="s">
        <v>390</v>
      </c>
      <c r="B67" s="3293" t="s">
        <v>391</v>
      </c>
      <c r="C67" s="3293"/>
      <c r="D67" s="353">
        <v>0</v>
      </c>
      <c r="E67" s="41" t="s">
        <v>392</v>
      </c>
      <c r="F67" s="62" t="s">
        <v>21</v>
      </c>
      <c r="G67" s="3348"/>
      <c r="H67" s="311"/>
      <c r="I67" s="1292"/>
      <c r="J67" s="2036"/>
      <c r="K67" s="1977">
        <v>2</v>
      </c>
      <c r="L67" s="3359" t="s">
        <v>389</v>
      </c>
      <c r="M67" s="3359"/>
      <c r="N67" s="1325">
        <f>'数据-取费表'!B2</f>
        <v>43490</v>
      </c>
      <c r="O67" s="1325"/>
      <c r="P67" s="1325"/>
      <c r="Q67" s="2029"/>
      <c r="R67" s="2029"/>
      <c r="S67" s="2029"/>
      <c r="T67" s="2029"/>
      <c r="U67" s="2029"/>
      <c r="V67" s="2029"/>
    </row>
    <row r="68" spans="1:22" ht="25.5" customHeight="1">
      <c r="A68" s="354"/>
      <c r="B68" s="3293" t="s">
        <v>394</v>
      </c>
      <c r="C68" s="3293"/>
      <c r="D68" s="355"/>
      <c r="E68" s="77"/>
      <c r="F68" s="356"/>
      <c r="G68" s="3349"/>
      <c r="H68" s="311"/>
      <c r="I68" s="1292"/>
      <c r="J68" s="2036"/>
      <c r="K68" s="1977">
        <v>3</v>
      </c>
      <c r="L68" s="3359" t="s">
        <v>393</v>
      </c>
      <c r="M68" s="3359"/>
      <c r="N68" s="1293">
        <f ca="1">C42</f>
        <v>310405</v>
      </c>
      <c r="O68" s="1293"/>
      <c r="P68" s="1293"/>
      <c r="Q68" s="2029"/>
      <c r="R68" s="2029"/>
      <c r="S68" s="2029"/>
      <c r="T68" s="2029"/>
      <c r="U68" s="2029"/>
      <c r="V68" s="2029"/>
    </row>
    <row r="69" spans="1:22" ht="12" customHeight="1">
      <c r="A69" s="357"/>
      <c r="B69" s="3293" t="s">
        <v>395</v>
      </c>
      <c r="C69" s="3293"/>
      <c r="D69" s="358"/>
      <c r="E69" s="73"/>
      <c r="F69" s="356"/>
      <c r="G69" s="3350"/>
      <c r="H69" s="311"/>
      <c r="I69" s="1292"/>
      <c r="J69" s="2036"/>
      <c r="K69" s="1294">
        <v>4</v>
      </c>
      <c r="L69" s="3364" t="s">
        <v>2883</v>
      </c>
      <c r="M69" s="3365"/>
      <c r="N69" s="1295">
        <f ca="1">C44</f>
        <v>310405</v>
      </c>
      <c r="O69" s="1295"/>
      <c r="P69" s="1295"/>
      <c r="Q69" s="2029"/>
      <c r="R69" s="2029"/>
      <c r="S69" s="2029"/>
      <c r="T69" s="2029"/>
      <c r="U69" s="2029"/>
      <c r="V69" s="2029"/>
    </row>
    <row r="70" spans="1:22" ht="24" customHeight="1">
      <c r="A70" s="359" t="s">
        <v>396</v>
      </c>
      <c r="B70" s="3293" t="s">
        <v>397</v>
      </c>
      <c r="C70" s="3293"/>
      <c r="D70" s="358">
        <f ca="1">ROUND(D63*'数据-取费表'!B41/(1+'数据-取费表'!C42),0)</f>
        <v>9933</v>
      </c>
      <c r="E70" s="17" t="s">
        <v>398</v>
      </c>
      <c r="F70" s="360">
        <f>'数据-取费表'!B41</f>
        <v>5.6000000000000001E-2</v>
      </c>
      <c r="G70" s="361"/>
      <c r="H70" s="311"/>
      <c r="I70" s="1292"/>
      <c r="J70" s="2036"/>
      <c r="K70" s="3036"/>
      <c r="L70" s="3037"/>
      <c r="M70" s="3037"/>
      <c r="N70" s="3038" t="s">
        <v>2888</v>
      </c>
      <c r="O70" s="3037"/>
      <c r="P70" s="3039"/>
      <c r="Q70" s="2029"/>
      <c r="R70" s="2029"/>
      <c r="S70" s="2029"/>
      <c r="T70" s="2029"/>
      <c r="U70" s="2029"/>
      <c r="V70" s="2029"/>
    </row>
    <row r="71" spans="1:22" ht="12" customHeight="1">
      <c r="A71" s="359" t="s">
        <v>404</v>
      </c>
      <c r="B71" s="3294" t="s">
        <v>405</v>
      </c>
      <c r="C71" s="3295"/>
      <c r="D71" s="358">
        <f ca="1">ROUND(D63*'数据-取费表'!B41/(1+'数据-取费表'!C42),0)</f>
        <v>9933</v>
      </c>
      <c r="E71" s="17" t="s">
        <v>398</v>
      </c>
      <c r="F71" s="360">
        <f>'数据-取费表'!B41</f>
        <v>5.6000000000000001E-2</v>
      </c>
      <c r="G71" s="361"/>
      <c r="H71" s="311"/>
      <c r="I71" s="1292"/>
      <c r="J71" s="2036"/>
      <c r="K71" s="3035" t="s">
        <v>399</v>
      </c>
      <c r="L71" s="3366" t="s">
        <v>400</v>
      </c>
      <c r="M71" s="3366"/>
      <c r="N71" s="3035" t="s">
        <v>401</v>
      </c>
      <c r="O71" s="3035" t="s">
        <v>402</v>
      </c>
      <c r="P71" s="3035" t="s">
        <v>403</v>
      </c>
      <c r="Q71" s="2029"/>
      <c r="R71" s="2029"/>
      <c r="S71" s="2029"/>
      <c r="T71" s="2029"/>
      <c r="U71" s="2029"/>
      <c r="V71" s="2029"/>
    </row>
    <row r="72" spans="1:22" ht="12" customHeight="1">
      <c r="A72" s="359" t="s">
        <v>407</v>
      </c>
      <c r="B72" s="3294" t="s">
        <v>408</v>
      </c>
      <c r="C72" s="3295"/>
      <c r="D72" s="358">
        <f ca="1">C86</f>
        <v>9821</v>
      </c>
      <c r="E72" s="73" t="s">
        <v>409</v>
      </c>
      <c r="F72" s="360">
        <f>'数据-取费表'!B41</f>
        <v>5.6000000000000001E-2</v>
      </c>
      <c r="G72" s="361"/>
      <c r="H72" s="1298"/>
      <c r="I72" s="1292"/>
      <c r="J72" s="2036"/>
      <c r="K72" s="1977">
        <v>1</v>
      </c>
      <c r="L72" s="3341" t="s">
        <v>406</v>
      </c>
      <c r="M72" s="3341"/>
      <c r="N72" s="1296">
        <f ca="1">D66</f>
        <v>9933</v>
      </c>
      <c r="O72" s="1860" t="str">
        <f>E66</f>
        <v>销售额×税（费）率</v>
      </c>
      <c r="P72" s="1297">
        <f>F66</f>
        <v>5.6000000000000001E-2</v>
      </c>
      <c r="Q72" s="2029"/>
      <c r="R72" s="2029"/>
      <c r="S72" s="2029"/>
      <c r="T72" s="2029"/>
      <c r="U72" s="2029"/>
      <c r="V72" s="2029"/>
    </row>
    <row r="73" spans="1:22" ht="24" customHeight="1">
      <c r="A73" s="3335" t="s">
        <v>411</v>
      </c>
      <c r="B73" s="3303"/>
      <c r="C73" s="3303"/>
      <c r="D73" s="362">
        <f>IF(H73="个人住宅",0,ROUND(D63*I73,0))</f>
        <v>0</v>
      </c>
      <c r="E73" s="17" t="s">
        <v>412</v>
      </c>
      <c r="F73" s="360" t="str">
        <f>IF(H73="正常",I73,"免征")</f>
        <v>免征</v>
      </c>
      <c r="G73" s="361"/>
      <c r="H73" s="191" t="s">
        <v>2456</v>
      </c>
      <c r="I73" s="360">
        <f>'数据-取费表'!B49</f>
        <v>5.0000000000000001E-4</v>
      </c>
      <c r="J73" s="2036"/>
      <c r="K73" s="1977">
        <v>2</v>
      </c>
      <c r="L73" s="3341" t="s">
        <v>410</v>
      </c>
      <c r="M73" s="3341"/>
      <c r="N73" s="1296">
        <f t="shared" ref="N73:P74" si="1">D73</f>
        <v>0</v>
      </c>
      <c r="O73" s="1860" t="str">
        <f t="shared" si="1"/>
        <v>销售额×税（费）率</v>
      </c>
      <c r="P73" s="1297" t="str">
        <f t="shared" si="1"/>
        <v>免征</v>
      </c>
      <c r="Q73" s="2029"/>
      <c r="R73" s="2029"/>
      <c r="S73" s="2029"/>
      <c r="T73" s="2029"/>
      <c r="U73" s="2029"/>
      <c r="V73" s="2029"/>
    </row>
    <row r="74" spans="1:22" ht="24.75">
      <c r="A74" s="3335" t="s">
        <v>415</v>
      </c>
      <c r="B74" s="3303"/>
      <c r="C74" s="3303"/>
      <c r="D74" s="362">
        <f ca="1">IF(H74="个人住宅",D75,D76)</f>
        <v>104758</v>
      </c>
      <c r="E74" s="17" t="s">
        <v>416</v>
      </c>
      <c r="F74" s="360" t="str">
        <f>IF(H74="正常",F76,"免征")</f>
        <v>——</v>
      </c>
      <c r="G74" s="983" t="s">
        <v>417</v>
      </c>
      <c r="H74" s="363" t="s">
        <v>413</v>
      </c>
      <c r="I74" s="42"/>
      <c r="J74" s="2036"/>
      <c r="K74" s="1977">
        <v>3</v>
      </c>
      <c r="L74" s="3341" t="s">
        <v>414</v>
      </c>
      <c r="M74" s="3341"/>
      <c r="N74" s="1296">
        <f t="shared" ca="1" si="1"/>
        <v>104758</v>
      </c>
      <c r="O74" s="1860" t="str">
        <f t="shared" si="1"/>
        <v>增值额×税（费）率</v>
      </c>
      <c r="P74" s="1299" t="str">
        <f t="shared" si="1"/>
        <v>——</v>
      </c>
      <c r="Q74" s="2029"/>
      <c r="R74" s="2029"/>
      <c r="S74" s="2029"/>
      <c r="T74" s="2029"/>
      <c r="U74" s="2029"/>
      <c r="V74" s="2029"/>
    </row>
    <row r="75" spans="1:22" ht="24">
      <c r="A75" s="359" t="s">
        <v>418</v>
      </c>
      <c r="B75" s="3291" t="s">
        <v>419</v>
      </c>
      <c r="C75" s="3321"/>
      <c r="D75" s="364">
        <v>0</v>
      </c>
      <c r="E75" s="41" t="s">
        <v>420</v>
      </c>
      <c r="F75" s="365"/>
      <c r="G75" s="361"/>
      <c r="H75" s="42"/>
      <c r="I75" s="42"/>
      <c r="J75" s="2036"/>
      <c r="K75" s="3028">
        <f>IF(H77="非个人房产","",4)</f>
        <v>4</v>
      </c>
      <c r="L75" s="3341" t="str">
        <f>IF(H77="非个人房产","——","个人所得税")</f>
        <v>个人所得税</v>
      </c>
      <c r="M75" s="3341"/>
      <c r="N75" s="1300">
        <f ca="1">D77</f>
        <v>1862</v>
      </c>
      <c r="O75" s="1873" t="str">
        <f>E77</f>
        <v>销售额×税（费）率</v>
      </c>
      <c r="P75" s="1301">
        <f>F77</f>
        <v>0.01</v>
      </c>
      <c r="Q75" s="2029"/>
      <c r="R75" s="2029"/>
      <c r="S75" s="2029"/>
      <c r="T75" s="2029"/>
      <c r="U75" s="2029"/>
      <c r="V75" s="2029"/>
    </row>
    <row r="76" spans="1:22" ht="24.75">
      <c r="A76" s="359" t="s">
        <v>396</v>
      </c>
      <c r="B76" s="3291" t="s">
        <v>422</v>
      </c>
      <c r="C76" s="3292"/>
      <c r="D76" s="362">
        <f ca="1">IF(H76="转让取得",C99,C115)</f>
        <v>104758</v>
      </c>
      <c r="E76" s="17" t="s">
        <v>423</v>
      </c>
      <c r="F76" s="53" t="s">
        <v>21</v>
      </c>
      <c r="G76" s="361"/>
      <c r="H76" s="363" t="s">
        <v>424</v>
      </c>
      <c r="I76" s="42"/>
      <c r="J76" s="2036"/>
      <c r="K76" s="3028" t="str">
        <f>IF(项目基本情况!K6="上海银行",IF(K75="",4,K75+1),"")</f>
        <v/>
      </c>
      <c r="L76" s="3352" t="str">
        <f>IF(项目基本情况!K6="上海银行","其他处置费用","")</f>
        <v/>
      </c>
      <c r="M76" s="3353"/>
      <c r="N76" s="1296" t="str">
        <f>IF(项目基本情况!K6="上海银行",N89,"")</f>
        <v/>
      </c>
      <c r="O76" s="3354" t="str">
        <f>IF(项目基本情况!K6="上海银行","包含处置中涉及的律师、诉讼、拍卖、评估等费用","")</f>
        <v/>
      </c>
      <c r="P76" s="3355"/>
      <c r="Q76" s="2029"/>
      <c r="R76" s="2029"/>
      <c r="S76" s="2029"/>
      <c r="T76" s="2029"/>
      <c r="U76" s="2029"/>
      <c r="V76" s="2029"/>
    </row>
    <row r="77" spans="1:22" ht="26.25" thickBot="1">
      <c r="A77" s="3343" t="s">
        <v>426</v>
      </c>
      <c r="B77" s="3344"/>
      <c r="C77" s="3344"/>
      <c r="D77" s="366">
        <f ca="1">IF(H77="非个人房产","——",IF(H77="个人住宅",0,ROUND(D63*I77,0)))</f>
        <v>1862</v>
      </c>
      <c r="E77" s="367" t="str">
        <f>IF(H77="非个人房产","——","销售额×税（费）率")</f>
        <v>销售额×税（费）率</v>
      </c>
      <c r="F77" s="368">
        <f>IF(H77="非个人房产","——",IF(H77="个人住宅","免征",I77))</f>
        <v>0.01</v>
      </c>
      <c r="G77" s="984" t="s">
        <v>417</v>
      </c>
      <c r="H77" s="363" t="s">
        <v>2884</v>
      </c>
      <c r="I77" s="369">
        <v>0.01</v>
      </c>
      <c r="J77" s="2036"/>
      <c r="K77" s="3342">
        <f>IF(AND(K75="",K76=""),4,IF(项目基本情况!K6="上海银行",K76+1,K75+1))</f>
        <v>5</v>
      </c>
      <c r="L77" s="3341" t="s">
        <v>2885</v>
      </c>
      <c r="M77" s="3034" t="s">
        <v>421</v>
      </c>
      <c r="N77" s="1302"/>
      <c r="O77" s="1303">
        <f ca="1">SUMIF(N72:N76,"&lt;9e307")</f>
        <v>116553</v>
      </c>
      <c r="P77" s="1304"/>
      <c r="Q77" s="3032">
        <f ca="1">O77/N69</f>
        <v>0.37548686393582575</v>
      </c>
      <c r="R77" s="2029"/>
      <c r="S77" s="2029"/>
      <c r="T77" s="2029"/>
      <c r="U77" s="2029"/>
      <c r="V77" s="2029"/>
    </row>
    <row r="78" spans="1:22" ht="12" customHeight="1">
      <c r="A78" s="1305"/>
      <c r="B78" s="311"/>
      <c r="C78" s="311"/>
      <c r="D78" s="311"/>
      <c r="E78" s="42"/>
      <c r="F78" s="42"/>
      <c r="G78" s="42"/>
      <c r="H78" s="1003"/>
      <c r="I78" s="311"/>
      <c r="J78" s="2036"/>
      <c r="K78" s="3342"/>
      <c r="L78" s="3341"/>
      <c r="M78" s="3034" t="s">
        <v>425</v>
      </c>
      <c r="N78" s="1302"/>
      <c r="O78" s="1303" t="str">
        <f ca="1">NUMBERSTRING(INT(O77*10000),2)&amp;"元整"</f>
        <v>壹拾壹亿陆仟伍佰伍拾叁万元整</v>
      </c>
      <c r="P78" s="1304"/>
      <c r="Q78" s="2029"/>
      <c r="R78" s="2029"/>
      <c r="S78" s="2029"/>
      <c r="T78" s="2029"/>
      <c r="U78" s="2029"/>
      <c r="V78" s="2029"/>
    </row>
    <row r="79" spans="1:22" ht="13.5" thickBot="1">
      <c r="A79" s="3336" t="s">
        <v>427</v>
      </c>
      <c r="B79" s="3336"/>
      <c r="C79" s="3336"/>
      <c r="D79" s="3336"/>
      <c r="E79" s="3336"/>
      <c r="F79" s="42"/>
      <c r="G79" s="42"/>
      <c r="H79" s="1003"/>
      <c r="I79" s="311"/>
      <c r="J79" s="2036"/>
      <c r="K79" s="3362">
        <f>K77+1</f>
        <v>6</v>
      </c>
      <c r="L79" s="3341" t="s">
        <v>2886</v>
      </c>
      <c r="M79" s="3034" t="s">
        <v>421</v>
      </c>
      <c r="N79" s="1302"/>
      <c r="O79" s="1303">
        <f ca="1">N69-O77</f>
        <v>193852</v>
      </c>
      <c r="P79" s="1304"/>
      <c r="Q79" s="2029"/>
      <c r="R79" s="2029"/>
      <c r="S79" s="2029"/>
      <c r="T79" s="2029"/>
      <c r="U79" s="2029"/>
      <c r="V79" s="2029"/>
    </row>
    <row r="80" spans="1:22" ht="25.5">
      <c r="A80" s="3331" t="s">
        <v>428</v>
      </c>
      <c r="B80" s="3332"/>
      <c r="C80" s="994"/>
      <c r="D80" s="994" t="s">
        <v>429</v>
      </c>
      <c r="E80" s="370" t="s">
        <v>430</v>
      </c>
      <c r="F80" s="42"/>
      <c r="G80" s="42"/>
      <c r="H80" s="1003"/>
      <c r="I80" s="311"/>
      <c r="J80" s="2029"/>
      <c r="K80" s="3363"/>
      <c r="L80" s="3341"/>
      <c r="M80" s="3034" t="s">
        <v>425</v>
      </c>
      <c r="N80" s="1302"/>
      <c r="O80" s="1303" t="str">
        <f ca="1">NUMBERSTRING(INT(O79*10000),2)&amp;"元整"</f>
        <v>壹拾玖亿叁仟捌佰伍拾贰万元整</v>
      </c>
      <c r="P80" s="1304"/>
      <c r="Q80" s="2029"/>
      <c r="R80" s="2029"/>
      <c r="S80" s="2029"/>
      <c r="T80" s="2029"/>
      <c r="U80" s="2029"/>
      <c r="V80" s="2029"/>
    </row>
    <row r="81" spans="1:26" ht="13.5" thickBot="1">
      <c r="A81" s="381" t="s">
        <v>1824</v>
      </c>
      <c r="B81" s="371" t="s">
        <v>431</v>
      </c>
      <c r="C81" s="372">
        <f ca="1">ROUND((C82+C83)/(1+'数据-取费表'!C42),0)</f>
        <v>177374</v>
      </c>
      <c r="D81" s="373"/>
      <c r="E81" s="374"/>
      <c r="F81" s="42"/>
      <c r="G81" s="42"/>
      <c r="H81" s="1003"/>
      <c r="I81" s="311"/>
      <c r="J81" s="2029"/>
      <c r="K81" s="3028">
        <f>K79+1</f>
        <v>7</v>
      </c>
      <c r="L81" s="3339" t="s">
        <v>2887</v>
      </c>
      <c r="M81" s="3340"/>
      <c r="N81" s="1306"/>
      <c r="O81" s="1307">
        <f ca="1">ROUND(O79*10000/'数据-汇总表'!E3,0)</f>
        <v>10560</v>
      </c>
      <c r="P81" s="1308"/>
      <c r="Q81" s="2029"/>
      <c r="R81" s="2029"/>
      <c r="S81" s="2029"/>
      <c r="T81" s="2029"/>
      <c r="U81" s="2029"/>
      <c r="V81" s="2029"/>
    </row>
    <row r="82" spans="1:26" ht="13.5" thickTop="1">
      <c r="A82" s="375" t="s">
        <v>1825</v>
      </c>
      <c r="B82" s="376" t="s">
        <v>432</v>
      </c>
      <c r="C82" s="377">
        <f ca="1">D63</f>
        <v>186243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51" t="s">
        <v>2874</v>
      </c>
      <c r="L83" s="3040" t="s">
        <v>2875</v>
      </c>
      <c r="M83" s="3030">
        <f ca="1">IF(N69&gt;10000,N69*0.5%,IF(AND(N69&gt;1000,N69&lt;=10000),N69*1%,IF(AND(N69&gt;100,N69&lt;=1000),N69*3%,IF(AND(N69&gt;10,N69&lt;=100),N69*5%,N69*8%))))</f>
        <v>1552.0250000000001</v>
      </c>
      <c r="N83" s="53">
        <f ca="1">ROUND(M83,1)</f>
        <v>1552</v>
      </c>
      <c r="O83" s="3033"/>
      <c r="P83" s="2029"/>
      <c r="Q83" s="2029"/>
      <c r="R83" s="2029"/>
      <c r="S83" s="2029"/>
      <c r="T83" s="2029"/>
      <c r="U83" s="2029"/>
      <c r="V83" s="2029"/>
    </row>
    <row r="84" spans="1:26" ht="12.75">
      <c r="A84" s="381" t="s">
        <v>1827</v>
      </c>
      <c r="B84" s="382" t="s">
        <v>434</v>
      </c>
      <c r="C84" s="383">
        <v>2000</v>
      </c>
      <c r="D84" s="384" t="s">
        <v>19</v>
      </c>
      <c r="E84" s="3075" t="s">
        <v>2943</v>
      </c>
      <c r="F84" s="42"/>
      <c r="G84" s="42"/>
      <c r="H84" s="1003"/>
      <c r="I84" s="311"/>
      <c r="J84" s="2029"/>
      <c r="K84" s="3351"/>
      <c r="L84" s="3040" t="s">
        <v>2876</v>
      </c>
      <c r="M84" s="3030">
        <f ca="1">IF(N69&gt;2000,N69*0.5%,IF(AND(N69&gt;1000,N69&lt;=2000),N69*0.6%,IF(AND(N69&gt;500,N69&lt;=1000),N69*0.7%,IF(AND(N69&gt;200,N69&lt;=500),N69*0.8%,IF(AND(N69&gt;100,N69&lt;=200),N69*0.9%,IF(AND(N69&gt;50,N69&lt;=100),N69*1%,IF(AND(N69&gt;20,N69&lt;=50),N69*1.5%,IF(AND(N69&gt;10,N69&lt;=20),N69*2%,IF(AND(N69&gt;1,N69&lt;=10),N69*2.5%)))))))))</f>
        <v>1552.0250000000001</v>
      </c>
      <c r="N84" s="53">
        <f t="shared" ref="N84:N85" ca="1" si="2">ROUND(M84,1)</f>
        <v>1552</v>
      </c>
      <c r="O84" s="2029" t="s">
        <v>2877</v>
      </c>
      <c r="P84" s="2029"/>
      <c r="Q84" s="2029"/>
      <c r="R84" s="2029"/>
      <c r="S84" s="2029"/>
      <c r="T84" s="2029"/>
      <c r="U84" s="2029"/>
      <c r="V84" s="2029"/>
    </row>
    <row r="85" spans="1:26" ht="12.75">
      <c r="A85" s="381" t="s">
        <v>1828</v>
      </c>
      <c r="B85" s="382" t="s">
        <v>435</v>
      </c>
      <c r="C85" s="385">
        <f ca="1">C81-C84</f>
        <v>175374</v>
      </c>
      <c r="D85" s="378" t="s">
        <v>19</v>
      </c>
      <c r="E85" s="379"/>
      <c r="F85" s="42"/>
      <c r="G85" s="42"/>
      <c r="H85" s="1003"/>
      <c r="I85" s="311"/>
      <c r="J85" s="2029"/>
      <c r="K85" s="3351"/>
      <c r="L85" s="3040" t="s">
        <v>2878</v>
      </c>
      <c r="M85" s="3030">
        <f ca="1">IF(N69&gt;1000,N69*0.1%,IF(AND(N69&gt;500,N69&lt;=1000),N69*0.5%,IF(AND(N69&gt;50,N69&lt;=500),N69*1%,IF(AND(N69&gt;1,N69&lt;=50),N69*1.5%))))</f>
        <v>310.40500000000003</v>
      </c>
      <c r="N85" s="53">
        <f t="shared" ca="1" si="2"/>
        <v>310.39999999999998</v>
      </c>
      <c r="O85" s="2029" t="s">
        <v>2877</v>
      </c>
      <c r="P85" s="2029"/>
      <c r="Q85" s="2029"/>
      <c r="R85" s="2029"/>
      <c r="S85" s="2029"/>
      <c r="T85" s="2029"/>
      <c r="U85" s="2029"/>
      <c r="V85" s="2029"/>
    </row>
    <row r="86" spans="1:26" ht="13.5" thickBot="1">
      <c r="A86" s="386" t="s">
        <v>1829</v>
      </c>
      <c r="B86" s="387" t="s">
        <v>436</v>
      </c>
      <c r="C86" s="388">
        <f ca="1">IF(C85&lt;=0,0,ROUND(C85*D86,0))</f>
        <v>9821</v>
      </c>
      <c r="D86" s="389">
        <f>'数据-取费表'!B41</f>
        <v>5.6000000000000001E-2</v>
      </c>
      <c r="E86" s="390"/>
      <c r="F86" s="42"/>
      <c r="G86" s="42"/>
      <c r="H86" s="1003"/>
      <c r="I86" s="311"/>
      <c r="J86" s="2029"/>
      <c r="K86" s="3351"/>
      <c r="L86" s="3040" t="s">
        <v>2879</v>
      </c>
      <c r="M86" s="3030">
        <f ca="1">N69*0.5%</f>
        <v>1552.0250000000001</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51"/>
      <c r="L87" s="3040" t="s">
        <v>2881</v>
      </c>
      <c r="M87" s="3030">
        <f ca="1">IF(N69&gt;=10000,(8.25+(N69-10000)*0.01%),IF(AND(N69&gt;=8000,N69&lt;10000),(7.85+(N69-8000)*0.02%),IF(AND(N69&gt;=5000,N69&lt;8000),(6.65+(N69-5000)*0.04%),IF(AND(N69&gt;=2000,N69&lt;5000),(4.25+(PN69-2000)*0.08%),IF(AND(N69&gt;=1000,N69&lt;2000),(2.75+(N69-1000)*0.15%),IF(AND(N69&gt;=100,N69&lt;1000),(0.5+(N69-100)*0.25%),IF(AND(N69&gt;0,N69&lt;100),N69*0.5%)))))))</f>
        <v>38.290500000000002</v>
      </c>
      <c r="N87" s="53">
        <f ca="1">ROUND(M87*0.9,1)</f>
        <v>34.5</v>
      </c>
      <c r="O87" s="3033"/>
      <c r="P87" s="311"/>
      <c r="Q87" s="2029"/>
      <c r="R87" s="2029"/>
      <c r="S87" s="2029"/>
      <c r="T87" s="2029"/>
      <c r="U87" s="2029"/>
      <c r="V87" s="2029"/>
      <c r="W87" s="292"/>
      <c r="X87" s="292"/>
      <c r="Y87" s="292"/>
      <c r="Z87" s="292"/>
    </row>
    <row r="88" spans="1:26" s="1314" customFormat="1" ht="15" thickBot="1">
      <c r="A88" s="3333" t="s">
        <v>437</v>
      </c>
      <c r="B88" s="3334"/>
      <c r="C88" s="3334"/>
      <c r="D88" s="3334"/>
      <c r="E88" s="3334"/>
      <c r="F88" s="3334"/>
      <c r="G88" s="3334"/>
      <c r="H88" s="3334"/>
      <c r="I88" s="1315"/>
      <c r="J88" s="2037"/>
      <c r="K88" s="3351"/>
      <c r="L88" s="3040" t="s">
        <v>2882</v>
      </c>
      <c r="M88" s="3030">
        <f ca="1">IF(N69&gt;10000,N69*0.5%,IF(AND(N69&gt;5000,N69&lt;=10000),N69*1%,IF(AND(N69&gt;1000,N69&lt;=5000),N69*2%,IF(AND(N69&gt;200,N69&lt;=1000),N69*3%,N69*5%))))</f>
        <v>1552.0250000000001</v>
      </c>
      <c r="N88" s="53">
        <f ca="1">ROUND(M88,1)</f>
        <v>1552</v>
      </c>
      <c r="O88" s="3033"/>
      <c r="P88" s="11"/>
      <c r="Q88" s="2034"/>
      <c r="R88" s="2034"/>
      <c r="S88" s="2034"/>
      <c r="T88" s="2034"/>
      <c r="U88" s="2034"/>
      <c r="V88" s="2034"/>
      <c r="W88" s="2038"/>
      <c r="X88" s="2038"/>
      <c r="Y88" s="2038"/>
      <c r="Z88" s="2038"/>
    </row>
    <row r="89" spans="1:26" s="1314" customFormat="1" ht="14.25">
      <c r="A89" s="3331" t="s">
        <v>428</v>
      </c>
      <c r="B89" s="3332"/>
      <c r="C89" s="994"/>
      <c r="D89" s="994" t="s">
        <v>429</v>
      </c>
      <c r="E89" s="391" t="s">
        <v>438</v>
      </c>
      <c r="F89" s="392"/>
      <c r="G89" s="392"/>
      <c r="H89" s="393"/>
      <c r="I89" s="1316"/>
      <c r="J89" s="2039"/>
      <c r="K89" s="3351"/>
      <c r="L89" s="3040" t="s">
        <v>27</v>
      </c>
      <c r="M89" s="3031"/>
      <c r="N89" s="53">
        <f ca="1">ROUND(SUM(N83:N88),0)</f>
        <v>5001</v>
      </c>
      <c r="O89" s="3041">
        <f ca="1">N89/N69</f>
        <v>1.6111209548815258E-2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177374</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3625</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94" t="s">
        <v>447</v>
      </c>
      <c r="F94" s="3293"/>
      <c r="G94" s="3293"/>
      <c r="H94" s="3330"/>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1064</v>
      </c>
      <c r="D96" s="406">
        <f>'数据-取费表'!B43</f>
        <v>6.000000000000001E-3</v>
      </c>
      <c r="E96" s="3322" t="s">
        <v>2429</v>
      </c>
      <c r="F96" s="3323"/>
      <c r="G96" s="3323"/>
      <c r="H96" s="332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173749</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47.930758620689652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102981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33" t="s">
        <v>454</v>
      </c>
      <c r="B101" s="3334"/>
      <c r="C101" s="3334"/>
      <c r="D101" s="3334"/>
      <c r="E101" s="3334"/>
      <c r="F101" s="3334"/>
      <c r="G101" s="3334"/>
      <c r="H101" s="333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1" t="s">
        <v>428</v>
      </c>
      <c r="B102" s="3332"/>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177374</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1754</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25" t="s">
        <v>462</v>
      </c>
      <c r="F109" s="3323"/>
      <c r="G109" s="3323"/>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25" t="s">
        <v>464</v>
      </c>
      <c r="F110" s="3323"/>
      <c r="G110" s="3323"/>
      <c r="H110" s="332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1064</v>
      </c>
      <c r="D111" s="406">
        <f>'数据-取费表'!B43</f>
        <v>6.000000000000001E-3</v>
      </c>
      <c r="E111" s="3322" t="s">
        <v>2429</v>
      </c>
      <c r="F111" s="3323"/>
      <c r="G111" s="3323"/>
      <c r="H111" s="332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25" t="s">
        <v>2454</v>
      </c>
      <c r="F112" s="3323"/>
      <c r="G112" s="3323"/>
      <c r="H112" s="332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175620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100.1254275940707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104758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F58" sqref="F58"/>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315104</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17166</v>
      </c>
      <c r="C3" s="2062"/>
      <c r="D3" s="2548"/>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66164</v>
      </c>
      <c r="C4" s="2062"/>
      <c r="D4" s="2548"/>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4411</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6" t="s">
        <v>522</v>
      </c>
      <c r="D6" s="3377"/>
      <c r="E6" s="3376" t="s">
        <v>523</v>
      </c>
      <c r="F6" s="3377"/>
      <c r="G6" s="3376" t="s">
        <v>524</v>
      </c>
      <c r="H6" s="3377"/>
      <c r="I6" s="3376" t="s">
        <v>525</v>
      </c>
      <c r="J6" s="3377"/>
      <c r="K6" s="514" t="s">
        <v>526</v>
      </c>
      <c r="L6" s="2134"/>
      <c r="M6" s="2133"/>
      <c r="N6" s="2133"/>
      <c r="O6" s="2135"/>
      <c r="P6" s="3378" t="s">
        <v>527</v>
      </c>
      <c r="Q6" s="3379"/>
      <c r="R6" s="3384" t="s">
        <v>523</v>
      </c>
      <c r="S6" s="3385"/>
      <c r="T6" s="3384" t="s">
        <v>524</v>
      </c>
      <c r="U6" s="3385"/>
      <c r="V6" s="3371" t="s">
        <v>525</v>
      </c>
      <c r="W6" s="3371"/>
      <c r="X6" s="1568"/>
      <c r="Y6" s="3384" t="s">
        <v>527</v>
      </c>
      <c r="Z6" s="3385"/>
      <c r="AA6" s="3373" t="s">
        <v>523</v>
      </c>
      <c r="AB6" s="3374" t="s">
        <v>524</v>
      </c>
      <c r="AC6" s="3373" t="s">
        <v>525</v>
      </c>
    </row>
    <row r="7" spans="1:30" ht="41.25" customHeight="1">
      <c r="A7" s="515"/>
      <c r="B7" s="516"/>
      <c r="C7" s="3392" t="s">
        <v>2930</v>
      </c>
      <c r="D7" s="3393"/>
      <c r="E7" s="3392" t="str">
        <f>Sheet1!A6</f>
        <v>萧山经济技术开发区市北东部区块</v>
      </c>
      <c r="F7" s="3393"/>
      <c r="G7" s="3392" t="str">
        <f>Sheet1!A8</f>
        <v>萧山城区市北东单元C-21地块</v>
      </c>
      <c r="H7" s="3393"/>
      <c r="I7" s="3392" t="str">
        <f>Sheet1!A11</f>
        <v>市北西单元兴议村C-21地块</v>
      </c>
      <c r="J7" s="3393"/>
      <c r="K7" s="514"/>
      <c r="L7" s="2134"/>
      <c r="M7" s="2133"/>
      <c r="N7" s="2133"/>
      <c r="O7" s="2135"/>
      <c r="P7" s="3380"/>
      <c r="Q7" s="3381"/>
      <c r="R7" s="3386"/>
      <c r="S7" s="3387"/>
      <c r="T7" s="3386"/>
      <c r="U7" s="3387"/>
      <c r="V7" s="3371"/>
      <c r="W7" s="3371"/>
      <c r="X7" s="1568"/>
      <c r="Y7" s="3386"/>
      <c r="Z7" s="3387"/>
      <c r="AA7" s="3374"/>
      <c r="AB7" s="3374"/>
      <c r="AC7" s="3374"/>
    </row>
    <row r="8" spans="1:30" ht="57" customHeight="1" thickBot="1">
      <c r="A8" s="515"/>
      <c r="B8" s="516"/>
      <c r="C8" s="3394" t="s">
        <v>2934</v>
      </c>
      <c r="D8" s="3395"/>
      <c r="E8" s="3394" t="str">
        <f>Sheet1!E6</f>
        <v>东至河道,南至建设三路、规划体育用地、规划绿地,西至经四路,北至加贸路</v>
      </c>
      <c r="F8" s="3395"/>
      <c r="G8" s="3390" t="str">
        <f>Sheet1!E8</f>
        <v>位于市北东单元,东至宁东路,南至建设三路,西至宁安路,北至规划商业商务用地、规划体育用地、绿地等</v>
      </c>
      <c r="H8" s="3391"/>
      <c r="I8" s="3390" t="str">
        <f>Sheet1!E11</f>
        <v>位于市北西单元,东至兴议中心河绿化带,南至建设一路,西至萧邮路,北至兴五路</v>
      </c>
      <c r="J8" s="3391"/>
      <c r="K8" s="514" t="s">
        <v>528</v>
      </c>
      <c r="L8" s="2134"/>
      <c r="M8" s="2133"/>
      <c r="N8" s="2133"/>
      <c r="O8" s="2135"/>
      <c r="P8" s="3382"/>
      <c r="Q8" s="3383"/>
      <c r="R8" s="3386"/>
      <c r="S8" s="3387"/>
      <c r="T8" s="3388"/>
      <c r="U8" s="3389"/>
      <c r="V8" s="3371"/>
      <c r="W8" s="3371"/>
      <c r="X8" s="1568"/>
      <c r="Y8" s="3388"/>
      <c r="Z8" s="3389"/>
      <c r="AA8" s="3375"/>
      <c r="AB8" s="3375"/>
      <c r="AC8" s="3375"/>
    </row>
    <row r="9" spans="1:30" s="1220" customFormat="1" ht="21" thickBot="1">
      <c r="A9" s="2889"/>
      <c r="B9" s="2896" t="s">
        <v>529</v>
      </c>
      <c r="C9" s="2888">
        <f>'数据-取费表'!B2</f>
        <v>43490</v>
      </c>
      <c r="D9" s="520">
        <v>100</v>
      </c>
      <c r="E9" s="521" t="str">
        <f>Sheet1!K6</f>
        <v>2018-07-11</v>
      </c>
      <c r="F9" s="522">
        <f>SUMIF(72:72,YEAR(E9)&amp;"-"&amp;INT((MONTH(E9)+2)/3),73:73)</f>
        <v>98</v>
      </c>
      <c r="G9" s="521" t="str">
        <f>Sheet1!K8</f>
        <v>2018-06-15</v>
      </c>
      <c r="H9" s="520">
        <f>SUMIF(72:72,YEAR(G9)&amp;"-"&amp;INT((MONTH(G9)+2)/3),73:73)</f>
        <v>97</v>
      </c>
      <c r="I9" s="521" t="str">
        <f>Sheet1!K11</f>
        <v>2018-05-21</v>
      </c>
      <c r="J9" s="520">
        <f>SUMIF(72:72,YEAR(I9)&amp;"-"&amp;INT((MONTH(I9)+2)/3),73:73)</f>
        <v>97</v>
      </c>
      <c r="K9" s="524"/>
      <c r="L9" s="2136"/>
      <c r="M9" s="2133"/>
      <c r="N9" s="2133"/>
      <c r="O9" s="2137"/>
      <c r="P9" s="3401" t="s">
        <v>530</v>
      </c>
      <c r="Q9" s="3403"/>
      <c r="R9" s="1569" t="s">
        <v>8</v>
      </c>
      <c r="S9" s="1570">
        <f t="shared" ref="S9:S17" si="0">F9</f>
        <v>98</v>
      </c>
      <c r="T9" s="1569" t="s">
        <v>8</v>
      </c>
      <c r="U9" s="1570">
        <f t="shared" ref="U9:U17" si="1">H9</f>
        <v>97</v>
      </c>
      <c r="V9" s="1569" t="s">
        <v>8</v>
      </c>
      <c r="W9" s="1570">
        <f t="shared" ref="W9:W17" si="2">J9</f>
        <v>97</v>
      </c>
      <c r="X9" s="1571"/>
      <c r="Y9" s="3401" t="s">
        <v>530</v>
      </c>
      <c r="Z9" s="3402"/>
      <c r="AA9" s="1572">
        <f>D9/F9</f>
        <v>1.0204081632653061</v>
      </c>
      <c r="AB9" s="1572">
        <f>D9/H9</f>
        <v>1.0309278350515463</v>
      </c>
      <c r="AC9" s="1572">
        <f>D9/J9</f>
        <v>1.0309278350515463</v>
      </c>
    </row>
    <row r="10" spans="1:30" s="1220" customFormat="1" ht="21" thickBot="1">
      <c r="A10" s="2890"/>
      <c r="B10" s="2897" t="s">
        <v>531</v>
      </c>
      <c r="C10" s="856" t="s">
        <v>532</v>
      </c>
      <c r="D10" s="520">
        <v>100</v>
      </c>
      <c r="E10" s="525" t="s">
        <v>3025</v>
      </c>
      <c r="F10" s="522">
        <f>SUMIF(75:75,E10,76:76)-SUMIF(75:75,C10,76:76)+100</f>
        <v>100</v>
      </c>
      <c r="G10" s="525" t="s">
        <v>3025</v>
      </c>
      <c r="H10" s="520">
        <f>SUMIF(75:75,G10,76:76)-SUMIF(75:75,C10,76:76)+100</f>
        <v>100</v>
      </c>
      <c r="I10" s="525" t="s">
        <v>3025</v>
      </c>
      <c r="J10" s="520">
        <f>SUMIF(75:75,I10,76:76)-SUMIF(75:75,C10,76:76)+100</f>
        <v>100</v>
      </c>
      <c r="K10" s="524"/>
      <c r="L10" s="2136"/>
      <c r="M10" s="2133"/>
      <c r="N10" s="2133"/>
      <c r="O10" s="2137"/>
      <c r="P10" s="3401" t="s">
        <v>533</v>
      </c>
      <c r="Q10" s="3402"/>
      <c r="R10" s="1569" t="s">
        <v>8</v>
      </c>
      <c r="S10" s="1570">
        <f t="shared" si="0"/>
        <v>100</v>
      </c>
      <c r="T10" s="1569" t="s">
        <v>8</v>
      </c>
      <c r="U10" s="1570">
        <f t="shared" si="1"/>
        <v>100</v>
      </c>
      <c r="V10" s="1569" t="s">
        <v>8</v>
      </c>
      <c r="W10" s="1570">
        <f t="shared" si="2"/>
        <v>100</v>
      </c>
      <c r="X10" s="1571"/>
      <c r="Y10" s="3401" t="s">
        <v>533</v>
      </c>
      <c r="Z10" s="3402"/>
      <c r="AA10" s="1572">
        <f t="shared" ref="AA10:AA47" si="3">D10/F10</f>
        <v>1</v>
      </c>
      <c r="AB10" s="1572">
        <f t="shared" ref="AB10:AB47" si="4">D10/H10</f>
        <v>1</v>
      </c>
      <c r="AC10" s="1572">
        <f t="shared" ref="AC10:AC47" si="5">D10/J10</f>
        <v>1</v>
      </c>
    </row>
    <row r="11" spans="1:30" s="1220" customFormat="1" ht="20.25">
      <c r="A11" s="2891"/>
      <c r="B11" s="2898" t="s">
        <v>2757</v>
      </c>
      <c r="C11" s="2885"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6"/>
      <c r="M11" s="2133"/>
      <c r="N11" s="2133"/>
      <c r="O11" s="2138"/>
      <c r="P11" s="3370" t="s">
        <v>535</v>
      </c>
      <c r="Q11" s="1151" t="str">
        <f t="shared" ref="Q11:Q17" si="6">B11</f>
        <v>用途</v>
      </c>
      <c r="R11" s="1569" t="s">
        <v>8</v>
      </c>
      <c r="S11" s="1570">
        <f t="shared" si="0"/>
        <v>100</v>
      </c>
      <c r="T11" s="1569" t="s">
        <v>8</v>
      </c>
      <c r="U11" s="1570">
        <f t="shared" si="1"/>
        <v>100</v>
      </c>
      <c r="V11" s="1569" t="s">
        <v>8</v>
      </c>
      <c r="W11" s="1570">
        <f t="shared" si="2"/>
        <v>100</v>
      </c>
      <c r="X11" s="1571"/>
      <c r="Y11" s="3316" t="s">
        <v>536</v>
      </c>
      <c r="Z11" s="1150" t="str">
        <f t="shared" ref="Z11:Z17" si="7">Q11</f>
        <v>用途</v>
      </c>
      <c r="AA11" s="1572">
        <f t="shared" si="3"/>
        <v>1</v>
      </c>
      <c r="AB11" s="1572">
        <f t="shared" si="4"/>
        <v>1</v>
      </c>
      <c r="AC11" s="1572">
        <f t="shared" si="5"/>
        <v>1</v>
      </c>
    </row>
    <row r="12" spans="1:30" s="1338" customFormat="1" ht="27">
      <c r="A12" s="2892"/>
      <c r="B12" s="2897" t="s">
        <v>2758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70"/>
      <c r="Q12" s="1151" t="str">
        <f t="shared" si="6"/>
        <v>土地使用年限（年）</v>
      </c>
      <c r="R12" s="1569" t="s">
        <v>8</v>
      </c>
      <c r="S12" s="1570">
        <f t="shared" si="0"/>
        <v>100</v>
      </c>
      <c r="T12" s="1569" t="s">
        <v>8</v>
      </c>
      <c r="U12" s="1570">
        <f t="shared" si="1"/>
        <v>100</v>
      </c>
      <c r="V12" s="1569" t="s">
        <v>8</v>
      </c>
      <c r="W12" s="1570">
        <f t="shared" si="2"/>
        <v>100</v>
      </c>
      <c r="X12" s="1571"/>
      <c r="Y12" s="3316"/>
      <c r="Z12" s="1150" t="str">
        <f t="shared" si="7"/>
        <v>土地使用年限（年）</v>
      </c>
      <c r="AA12" s="1572">
        <f t="shared" si="3"/>
        <v>1</v>
      </c>
      <c r="AB12" s="1572">
        <f t="shared" si="4"/>
        <v>1</v>
      </c>
      <c r="AC12" s="1572">
        <f t="shared" si="5"/>
        <v>1</v>
      </c>
    </row>
    <row r="13" spans="1:30" ht="20.25">
      <c r="A13" s="2893"/>
      <c r="B13" s="2897" t="s">
        <v>2759</v>
      </c>
      <c r="C13" s="534">
        <v>2.5</v>
      </c>
      <c r="D13" s="255">
        <v>100</v>
      </c>
      <c r="E13" s="533">
        <v>2.5</v>
      </c>
      <c r="F13" s="255">
        <f>LOOKUP(E13,82:82,83:83)-LOOKUP(C13,82:82,83:83)+100</f>
        <v>100</v>
      </c>
      <c r="G13" s="534">
        <v>2.5</v>
      </c>
      <c r="H13" s="255">
        <f>LOOKUP(G13,82:82,83:83)-LOOKUP(C13,82:82,83:83)+100</f>
        <v>100</v>
      </c>
      <c r="I13" s="533">
        <v>2.8</v>
      </c>
      <c r="J13" s="255">
        <f>LOOKUP(I13,82:82,83:83)-LOOKUP(C13,82:82,83:83)+100</f>
        <v>100</v>
      </c>
      <c r="K13" s="535">
        <v>3</v>
      </c>
      <c r="L13" s="2141"/>
      <c r="M13" s="2133"/>
      <c r="N13" s="2133"/>
      <c r="O13" s="2142"/>
      <c r="P13" s="3370"/>
      <c r="Q13" s="1151" t="str">
        <f t="shared" si="6"/>
        <v>容积率</v>
      </c>
      <c r="R13" s="1569" t="s">
        <v>8</v>
      </c>
      <c r="S13" s="1570">
        <f t="shared" si="0"/>
        <v>100</v>
      </c>
      <c r="T13" s="1569" t="s">
        <v>8</v>
      </c>
      <c r="U13" s="1570">
        <f t="shared" si="1"/>
        <v>100</v>
      </c>
      <c r="V13" s="1569" t="s">
        <v>8</v>
      </c>
      <c r="W13" s="1570">
        <f t="shared" si="2"/>
        <v>100</v>
      </c>
      <c r="X13" s="1571"/>
      <c r="Y13" s="3316"/>
      <c r="Z13" s="1150" t="str">
        <f t="shared" si="7"/>
        <v>容积率</v>
      </c>
      <c r="AA13" s="1572">
        <f t="shared" si="3"/>
        <v>1</v>
      </c>
      <c r="AB13" s="1572">
        <f t="shared" si="4"/>
        <v>1</v>
      </c>
      <c r="AC13" s="1572">
        <f t="shared" si="5"/>
        <v>1</v>
      </c>
    </row>
    <row r="14" spans="1:30" s="1220" customFormat="1" ht="20.25">
      <c r="A14" s="2890"/>
      <c r="B14" s="2899" t="s">
        <v>2760</v>
      </c>
      <c r="C14" s="2886"/>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70"/>
      <c r="Q14" s="1151" t="str">
        <f t="shared" si="6"/>
        <v>配建</v>
      </c>
      <c r="R14" s="1569" t="s">
        <v>8</v>
      </c>
      <c r="S14" s="1570">
        <f t="shared" si="0"/>
        <v>100</v>
      </c>
      <c r="T14" s="1569" t="s">
        <v>8</v>
      </c>
      <c r="U14" s="1570">
        <f t="shared" si="1"/>
        <v>100</v>
      </c>
      <c r="V14" s="1569" t="s">
        <v>8</v>
      </c>
      <c r="W14" s="1570">
        <f t="shared" si="2"/>
        <v>100</v>
      </c>
      <c r="X14" s="1571"/>
      <c r="Y14" s="3316"/>
      <c r="Z14" s="1150" t="str">
        <f t="shared" si="7"/>
        <v>配建</v>
      </c>
      <c r="AA14" s="1572">
        <f>D14/F14</f>
        <v>1</v>
      </c>
      <c r="AB14" s="1572">
        <f>D14/H14</f>
        <v>1</v>
      </c>
      <c r="AC14" s="1572">
        <f>D14/J14</f>
        <v>1</v>
      </c>
    </row>
    <row r="15" spans="1:30" ht="20.25">
      <c r="A15" s="2894"/>
      <c r="B15" s="2900">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70"/>
      <c r="Q15" s="1151">
        <f t="shared" si="6"/>
        <v>111</v>
      </c>
      <c r="R15" s="1569" t="s">
        <v>8</v>
      </c>
      <c r="S15" s="1570">
        <f t="shared" si="0"/>
        <v>100</v>
      </c>
      <c r="T15" s="1569" t="s">
        <v>8</v>
      </c>
      <c r="U15" s="1570">
        <f t="shared" si="1"/>
        <v>100</v>
      </c>
      <c r="V15" s="1569" t="s">
        <v>8</v>
      </c>
      <c r="W15" s="1570">
        <f t="shared" si="2"/>
        <v>100</v>
      </c>
      <c r="X15" s="1571"/>
      <c r="Y15" s="3316"/>
      <c r="Z15" s="1150">
        <f t="shared" si="7"/>
        <v>111</v>
      </c>
      <c r="AA15" s="1572">
        <f>D15/F15</f>
        <v>1</v>
      </c>
      <c r="AB15" s="1572">
        <f>D15/H15</f>
        <v>1</v>
      </c>
      <c r="AC15" s="1572">
        <f>D15/J15</f>
        <v>1</v>
      </c>
    </row>
    <row r="16" spans="1:30" ht="21" thickBot="1">
      <c r="A16" s="2895"/>
      <c r="B16" s="2901">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0"/>
      <c r="Q16" s="1151">
        <f t="shared" si="6"/>
        <v>111</v>
      </c>
      <c r="R16" s="1569" t="s">
        <v>8</v>
      </c>
      <c r="S16" s="1570">
        <f t="shared" si="0"/>
        <v>100</v>
      </c>
      <c r="T16" s="1569" t="s">
        <v>8</v>
      </c>
      <c r="U16" s="1570">
        <f t="shared" si="1"/>
        <v>100</v>
      </c>
      <c r="V16" s="1569" t="s">
        <v>8</v>
      </c>
      <c r="W16" s="1570">
        <f t="shared" si="2"/>
        <v>100</v>
      </c>
      <c r="X16" s="1571"/>
      <c r="Y16" s="3316"/>
      <c r="Z16" s="1150">
        <f t="shared" si="7"/>
        <v>111</v>
      </c>
      <c r="AA16" s="1572">
        <f>D16/F16</f>
        <v>1</v>
      </c>
      <c r="AB16" s="1572">
        <f>D16/H16</f>
        <v>1</v>
      </c>
      <c r="AC16" s="1572">
        <f>D16/J16</f>
        <v>1</v>
      </c>
    </row>
    <row r="17" spans="1:29" ht="99.75">
      <c r="A17" s="2887"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2"/>
      <c r="J17" s="549">
        <f>SUMIF(90:90,I18,91:91)-SUMIF(90:90,C18,91:91)+100</f>
        <v>100</v>
      </c>
      <c r="K17" s="535">
        <v>3</v>
      </c>
      <c r="L17" s="2143"/>
      <c r="M17" s="2133"/>
      <c r="N17" s="2133"/>
      <c r="O17" s="2142"/>
      <c r="P17" s="3404" t="s">
        <v>540</v>
      </c>
      <c r="Q17" s="1573" t="str">
        <f t="shared" si="6"/>
        <v>居住社区成熟度</v>
      </c>
      <c r="R17" s="1574" t="s">
        <v>8</v>
      </c>
      <c r="S17" s="1575">
        <f t="shared" si="0"/>
        <v>100</v>
      </c>
      <c r="T17" s="1574" t="s">
        <v>8</v>
      </c>
      <c r="U17" s="1575">
        <f t="shared" si="1"/>
        <v>100</v>
      </c>
      <c r="V17" s="1574" t="s">
        <v>8</v>
      </c>
      <c r="W17" s="1575">
        <f t="shared" si="2"/>
        <v>100</v>
      </c>
      <c r="X17" s="1568"/>
      <c r="Y17" s="3404" t="s">
        <v>540</v>
      </c>
      <c r="Z17" s="1576" t="str">
        <f t="shared" si="7"/>
        <v>居住社区成熟度</v>
      </c>
      <c r="AA17" s="1577">
        <f t="shared" si="3"/>
        <v>1</v>
      </c>
      <c r="AB17" s="1577">
        <f t="shared" si="4"/>
        <v>1</v>
      </c>
      <c r="AC17" s="1577">
        <f t="shared" si="5"/>
        <v>1</v>
      </c>
    </row>
    <row r="18" spans="1:29" ht="20.25">
      <c r="A18" s="532"/>
      <c r="B18" s="553"/>
      <c r="C18" s="554" t="s">
        <v>3338</v>
      </c>
      <c r="D18" s="557"/>
      <c r="E18" s="558" t="s">
        <v>3338</v>
      </c>
      <c r="F18" s="555"/>
      <c r="G18" s="558" t="s">
        <v>3338</v>
      </c>
      <c r="H18" s="559"/>
      <c r="I18" s="558" t="s">
        <v>3338</v>
      </c>
      <c r="J18" s="555"/>
      <c r="K18" s="531"/>
      <c r="L18" s="2143"/>
      <c r="M18" s="2133"/>
      <c r="N18" s="2133"/>
      <c r="O18" s="2142"/>
      <c r="P18" s="3405"/>
      <c r="Q18" s="1573"/>
      <c r="R18" s="1574"/>
      <c r="S18" s="1575"/>
      <c r="T18" s="1574"/>
      <c r="U18" s="1575"/>
      <c r="V18" s="1574"/>
      <c r="W18" s="1575"/>
      <c r="X18" s="1568"/>
      <c r="Y18" s="340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3</v>
      </c>
      <c r="L19" s="2143"/>
      <c r="M19" s="2133"/>
      <c r="N19" s="2133"/>
      <c r="O19" s="2142"/>
      <c r="P19" s="3405"/>
      <c r="Q19" s="1573" t="str">
        <f>B19</f>
        <v>商业繁华度</v>
      </c>
      <c r="R19" s="1574" t="s">
        <v>8</v>
      </c>
      <c r="S19" s="1575">
        <f>F19</f>
        <v>100</v>
      </c>
      <c r="T19" s="1574" t="s">
        <v>8</v>
      </c>
      <c r="U19" s="1575">
        <f>H19</f>
        <v>100</v>
      </c>
      <c r="V19" s="1574" t="s">
        <v>8</v>
      </c>
      <c r="W19" s="1575">
        <f>J19</f>
        <v>100</v>
      </c>
      <c r="X19" s="1568"/>
      <c r="Y19" s="3405"/>
      <c r="Z19" s="1576" t="str">
        <f>Q19</f>
        <v>商业繁华度</v>
      </c>
      <c r="AA19" s="1577">
        <f t="shared" si="3"/>
        <v>1</v>
      </c>
      <c r="AB19" s="1577">
        <f t="shared" si="4"/>
        <v>1</v>
      </c>
      <c r="AC19" s="1577">
        <f t="shared" si="5"/>
        <v>1</v>
      </c>
    </row>
    <row r="20" spans="1:29" ht="20.25">
      <c r="A20" s="532"/>
      <c r="B20" s="566"/>
      <c r="C20" s="567" t="s">
        <v>3338</v>
      </c>
      <c r="D20" s="563"/>
      <c r="E20" s="569" t="s">
        <v>3338</v>
      </c>
      <c r="F20" s="559"/>
      <c r="G20" s="569" t="s">
        <v>3338</v>
      </c>
      <c r="H20" s="555"/>
      <c r="I20" s="569" t="s">
        <v>3338</v>
      </c>
      <c r="J20" s="555"/>
      <c r="K20" s="531"/>
      <c r="L20" s="2143"/>
      <c r="M20" s="2133"/>
      <c r="N20" s="2133"/>
      <c r="O20" s="2142"/>
      <c r="P20" s="3405"/>
      <c r="Q20" s="1573"/>
      <c r="R20" s="1574"/>
      <c r="S20" s="1575"/>
      <c r="T20" s="1574"/>
      <c r="U20" s="1575"/>
      <c r="V20" s="1574"/>
      <c r="W20" s="1575"/>
      <c r="X20" s="1568"/>
      <c r="Y20" s="3405"/>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43"/>
      <c r="M21" s="2133"/>
      <c r="N21" s="2133"/>
      <c r="O21" s="2142"/>
      <c r="P21" s="3405"/>
      <c r="Q21" s="1573" t="str">
        <f>B21</f>
        <v>办公集聚程度</v>
      </c>
      <c r="R21" s="1574" t="s">
        <v>8</v>
      </c>
      <c r="S21" s="1575">
        <f>F21</f>
        <v>100</v>
      </c>
      <c r="T21" s="1574" t="s">
        <v>8</v>
      </c>
      <c r="U21" s="1575">
        <f>H21</f>
        <v>100</v>
      </c>
      <c r="V21" s="1574" t="s">
        <v>8</v>
      </c>
      <c r="W21" s="1575">
        <f>J21</f>
        <v>100</v>
      </c>
      <c r="X21" s="1568"/>
      <c r="Y21" s="3405"/>
      <c r="Z21" s="1576" t="str">
        <f>Q21</f>
        <v>办公集聚程度</v>
      </c>
      <c r="AA21" s="1577">
        <f t="shared" si="3"/>
        <v>1</v>
      </c>
      <c r="AB21" s="1577">
        <f t="shared" si="4"/>
        <v>1</v>
      </c>
      <c r="AC21" s="1577">
        <f t="shared" si="5"/>
        <v>1</v>
      </c>
    </row>
    <row r="22" spans="1:29" ht="20.25" hidden="1">
      <c r="A22" s="532"/>
      <c r="B22" s="566"/>
      <c r="C22" s="554"/>
      <c r="D22" s="557"/>
      <c r="E22" s="558"/>
      <c r="F22" s="555"/>
      <c r="G22" s="558"/>
      <c r="H22" s="555"/>
      <c r="I22" s="558"/>
      <c r="J22" s="555"/>
      <c r="K22" s="531"/>
      <c r="L22" s="2143"/>
      <c r="M22" s="2133"/>
      <c r="N22" s="2133"/>
      <c r="O22" s="2142"/>
      <c r="P22" s="3405"/>
      <c r="Q22" s="1573"/>
      <c r="R22" s="1574"/>
      <c r="S22" s="1575"/>
      <c r="T22" s="1574"/>
      <c r="U22" s="1575"/>
      <c r="V22" s="1574"/>
      <c r="W22" s="1575"/>
      <c r="X22" s="1568"/>
      <c r="Y22" s="340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97</v>
      </c>
      <c r="K23" s="535">
        <v>3</v>
      </c>
      <c r="L23" s="2143"/>
      <c r="M23" s="2133"/>
      <c r="N23" s="2133"/>
      <c r="O23" s="2142"/>
      <c r="P23" s="3405"/>
      <c r="Q23" s="1573" t="str">
        <f>B23</f>
        <v>交通便捷度</v>
      </c>
      <c r="R23" s="1574" t="s">
        <v>8</v>
      </c>
      <c r="S23" s="1575">
        <f>F23</f>
        <v>100</v>
      </c>
      <c r="T23" s="1574" t="s">
        <v>8</v>
      </c>
      <c r="U23" s="1575">
        <f>H23</f>
        <v>100</v>
      </c>
      <c r="V23" s="1574" t="s">
        <v>8</v>
      </c>
      <c r="W23" s="1575">
        <f>J23</f>
        <v>97</v>
      </c>
      <c r="X23" s="1568"/>
      <c r="Y23" s="3405"/>
      <c r="Z23" s="1576" t="str">
        <f>Q23</f>
        <v>交通便捷度</v>
      </c>
      <c r="AA23" s="1577">
        <f t="shared" si="3"/>
        <v>1</v>
      </c>
      <c r="AB23" s="1577">
        <f t="shared" si="4"/>
        <v>1</v>
      </c>
      <c r="AC23" s="1577">
        <f t="shared" si="5"/>
        <v>1.0309278350515463</v>
      </c>
    </row>
    <row r="24" spans="1:29" ht="20.25">
      <c r="A24" s="532"/>
      <c r="B24" s="578"/>
      <c r="C24" s="554" t="s">
        <v>3337</v>
      </c>
      <c r="D24" s="557"/>
      <c r="E24" s="558" t="s">
        <v>3337</v>
      </c>
      <c r="F24" s="555"/>
      <c r="G24" s="558" t="s">
        <v>3337</v>
      </c>
      <c r="H24" s="555"/>
      <c r="I24" s="558" t="s">
        <v>3338</v>
      </c>
      <c r="J24" s="555"/>
      <c r="K24" s="531"/>
      <c r="L24" s="2143"/>
      <c r="M24" s="2133"/>
      <c r="N24" s="2133"/>
      <c r="O24" s="2142"/>
      <c r="P24" s="3405"/>
      <c r="Q24" s="1573"/>
      <c r="R24" s="1574"/>
      <c r="S24" s="1575"/>
      <c r="T24" s="1574"/>
      <c r="U24" s="1575"/>
      <c r="V24" s="1574"/>
      <c r="W24" s="1575"/>
      <c r="X24" s="1568"/>
      <c r="Y24" s="340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3"/>
      <c r="M25" s="2133"/>
      <c r="N25" s="2133"/>
      <c r="O25" s="2142"/>
      <c r="P25" s="3405"/>
      <c r="Q25" s="1573" t="str">
        <f t="shared" ref="Q25:Q39" si="8">B25</f>
        <v>区域土地利用方向</v>
      </c>
      <c r="R25" s="1574" t="s">
        <v>8</v>
      </c>
      <c r="S25" s="1575">
        <f>F25</f>
        <v>100</v>
      </c>
      <c r="T25" s="1574" t="s">
        <v>8</v>
      </c>
      <c r="U25" s="1575">
        <f>H25</f>
        <v>100</v>
      </c>
      <c r="V25" s="1574" t="s">
        <v>8</v>
      </c>
      <c r="W25" s="1575">
        <f>J25</f>
        <v>100</v>
      </c>
      <c r="X25" s="1568"/>
      <c r="Y25" s="3405"/>
      <c r="Z25" s="1576" t="str">
        <f>Q25</f>
        <v>区域土地利用方向</v>
      </c>
      <c r="AA25" s="1577">
        <f t="shared" si="3"/>
        <v>1</v>
      </c>
      <c r="AB25" s="1577">
        <f t="shared" si="4"/>
        <v>1</v>
      </c>
      <c r="AC25" s="1577">
        <f t="shared" si="5"/>
        <v>1</v>
      </c>
    </row>
    <row r="26" spans="1:29" ht="20.25">
      <c r="A26" s="515"/>
      <c r="B26" s="1007"/>
      <c r="C26" s="554" t="s">
        <v>3338</v>
      </c>
      <c r="D26" s="557"/>
      <c r="E26" s="558" t="s">
        <v>3338</v>
      </c>
      <c r="F26" s="555"/>
      <c r="G26" s="558" t="s">
        <v>3338</v>
      </c>
      <c r="H26" s="555"/>
      <c r="I26" s="558" t="s">
        <v>3338</v>
      </c>
      <c r="J26" s="555"/>
      <c r="K26" s="531"/>
      <c r="L26" s="2143"/>
      <c r="M26" s="2133"/>
      <c r="N26" s="2133"/>
      <c r="O26" s="2142"/>
      <c r="P26" s="3405"/>
      <c r="Q26" s="1573"/>
      <c r="R26" s="1574"/>
      <c r="S26" s="1575"/>
      <c r="T26" s="1574"/>
      <c r="U26" s="1575"/>
      <c r="V26" s="1574"/>
      <c r="W26" s="1575"/>
      <c r="X26" s="1568"/>
      <c r="Y26" s="340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3</v>
      </c>
      <c r="L27" s="2143"/>
      <c r="M27" s="2133"/>
      <c r="N27" s="2133"/>
      <c r="O27" s="2142"/>
      <c r="P27" s="3405"/>
      <c r="Q27" s="1573" t="str">
        <f t="shared" si="8"/>
        <v>自然及人文环境状况</v>
      </c>
      <c r="R27" s="1574" t="s">
        <v>8</v>
      </c>
      <c r="S27" s="1575">
        <f>F27</f>
        <v>100</v>
      </c>
      <c r="T27" s="1574" t="s">
        <v>8</v>
      </c>
      <c r="U27" s="1575">
        <f>H27</f>
        <v>100</v>
      </c>
      <c r="V27" s="1574" t="s">
        <v>8</v>
      </c>
      <c r="W27" s="1575">
        <f>J27</f>
        <v>100</v>
      </c>
      <c r="X27" s="1568"/>
      <c r="Y27" s="3405"/>
      <c r="Z27" s="1576" t="str">
        <f>Q27</f>
        <v>自然及人文环境状况</v>
      </c>
      <c r="AA27" s="1577">
        <f t="shared" si="3"/>
        <v>1</v>
      </c>
      <c r="AB27" s="1577">
        <f t="shared" si="4"/>
        <v>1</v>
      </c>
      <c r="AC27" s="1577">
        <f t="shared" si="5"/>
        <v>1</v>
      </c>
    </row>
    <row r="28" spans="1:29" ht="20.25">
      <c r="A28" s="515"/>
      <c r="B28" s="566"/>
      <c r="C28" s="554" t="s">
        <v>3338</v>
      </c>
      <c r="D28" s="557"/>
      <c r="E28" s="576" t="s">
        <v>3338</v>
      </c>
      <c r="F28" s="555"/>
      <c r="G28" s="576" t="s">
        <v>3338</v>
      </c>
      <c r="H28" s="555"/>
      <c r="I28" s="576" t="s">
        <v>3338</v>
      </c>
      <c r="J28" s="555"/>
      <c r="K28" s="531"/>
      <c r="L28" s="2143"/>
      <c r="M28" s="2133"/>
      <c r="N28" s="2133"/>
      <c r="O28" s="2142"/>
      <c r="P28" s="3405"/>
      <c r="Q28" s="1573"/>
      <c r="R28" s="1574"/>
      <c r="S28" s="1575"/>
      <c r="T28" s="1574"/>
      <c r="U28" s="1575"/>
      <c r="V28" s="1574"/>
      <c r="W28" s="1575"/>
      <c r="X28" s="1568"/>
      <c r="Y28" s="3405"/>
      <c r="Z28" s="1576"/>
      <c r="AA28" s="1577">
        <v>1</v>
      </c>
      <c r="AB28" s="1577">
        <v>1</v>
      </c>
      <c r="AC28" s="1577">
        <v>1</v>
      </c>
    </row>
    <row r="29" spans="1:29" s="1220" customFormat="1" ht="42.75">
      <c r="A29" s="577"/>
      <c r="B29" s="2569" t="s">
        <v>2549</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36"/>
      <c r="M29" s="2133"/>
      <c r="N29" s="2133"/>
      <c r="O29" s="2138"/>
      <c r="P29" s="3405"/>
      <c r="Q29" s="1151" t="str">
        <f t="shared" si="8"/>
        <v>公共配套设施</v>
      </c>
      <c r="R29" s="1569" t="s">
        <v>8</v>
      </c>
      <c r="S29" s="1570">
        <f>F29</f>
        <v>100</v>
      </c>
      <c r="T29" s="1569" t="s">
        <v>8</v>
      </c>
      <c r="U29" s="1570">
        <f>H29</f>
        <v>100</v>
      </c>
      <c r="V29" s="1569" t="s">
        <v>8</v>
      </c>
      <c r="W29" s="1570">
        <f>J29</f>
        <v>100</v>
      </c>
      <c r="X29" s="1571"/>
      <c r="Y29" s="3405"/>
      <c r="Z29" s="1150" t="str">
        <f>Q29</f>
        <v>公共配套设施</v>
      </c>
      <c r="AA29" s="1577">
        <f>D29/F29</f>
        <v>1</v>
      </c>
      <c r="AB29" s="1577">
        <f>D29/H29</f>
        <v>1</v>
      </c>
      <c r="AC29" s="1577">
        <f>D29/J29</f>
        <v>1</v>
      </c>
    </row>
    <row r="30" spans="1:29" s="1220" customFormat="1" ht="20.25">
      <c r="A30" s="577"/>
      <c r="B30" s="566"/>
      <c r="C30" s="579" t="s">
        <v>3337</v>
      </c>
      <c r="D30" s="557"/>
      <c r="E30" s="576" t="s">
        <v>3337</v>
      </c>
      <c r="F30" s="555"/>
      <c r="G30" s="576" t="s">
        <v>3337</v>
      </c>
      <c r="H30" s="555"/>
      <c r="I30" s="576" t="s">
        <v>3337</v>
      </c>
      <c r="J30" s="555"/>
      <c r="K30" s="531"/>
      <c r="L30" s="2136"/>
      <c r="M30" s="2133"/>
      <c r="N30" s="2133"/>
      <c r="O30" s="2138"/>
      <c r="P30" s="3405"/>
      <c r="Q30" s="1151"/>
      <c r="R30" s="1569"/>
      <c r="S30" s="1570"/>
      <c r="T30" s="1569"/>
      <c r="U30" s="1570"/>
      <c r="V30" s="1569"/>
      <c r="W30" s="1570"/>
      <c r="X30" s="1571"/>
      <c r="Y30" s="3405"/>
      <c r="Z30" s="1150"/>
      <c r="AA30" s="1577">
        <v>1</v>
      </c>
      <c r="AB30" s="1577">
        <v>1</v>
      </c>
      <c r="AC30" s="1577">
        <v>1</v>
      </c>
    </row>
    <row r="31" spans="1:29" s="1220" customFormat="1" ht="28.5">
      <c r="A31" s="577"/>
      <c r="B31" s="2569" t="s">
        <v>2550</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6"/>
      <c r="M31" s="2133"/>
      <c r="N31" s="2133"/>
      <c r="O31" s="2138"/>
      <c r="P31" s="3405"/>
      <c r="Q31" s="2556" t="str">
        <f t="shared" ref="Q31" si="9">B31</f>
        <v>基础设施水平</v>
      </c>
      <c r="R31" s="1569" t="s">
        <v>8</v>
      </c>
      <c r="S31" s="1570">
        <f>F31</f>
        <v>100</v>
      </c>
      <c r="T31" s="1569" t="s">
        <v>8</v>
      </c>
      <c r="U31" s="1570">
        <f>H31</f>
        <v>100</v>
      </c>
      <c r="V31" s="1569" t="s">
        <v>8</v>
      </c>
      <c r="W31" s="1570">
        <f>J31</f>
        <v>100</v>
      </c>
      <c r="X31" s="1571"/>
      <c r="Y31" s="3405"/>
      <c r="Z31" s="2553" t="str">
        <f>Q31</f>
        <v>基础设施水平</v>
      </c>
      <c r="AA31" s="1577">
        <f>D31/F31</f>
        <v>1</v>
      </c>
      <c r="AB31" s="1577">
        <f>D31/H31</f>
        <v>1</v>
      </c>
      <c r="AC31" s="1577">
        <f>D31/J31</f>
        <v>1</v>
      </c>
    </row>
    <row r="32" spans="1:29" s="1220" customFormat="1" ht="20.25">
      <c r="A32" s="577"/>
      <c r="B32" s="566"/>
      <c r="C32" s="579" t="s">
        <v>3354</v>
      </c>
      <c r="D32" s="557"/>
      <c r="E32" s="2570" t="s">
        <v>3354</v>
      </c>
      <c r="F32" s="555"/>
      <c r="G32" s="2570" t="s">
        <v>3354</v>
      </c>
      <c r="H32" s="555"/>
      <c r="I32" s="2570" t="s">
        <v>3354</v>
      </c>
      <c r="J32" s="555"/>
      <c r="K32" s="531"/>
      <c r="L32" s="2136"/>
      <c r="M32" s="2133"/>
      <c r="N32" s="2133"/>
      <c r="O32" s="2138"/>
      <c r="P32" s="3405"/>
      <c r="Q32" s="2556"/>
      <c r="R32" s="1569"/>
      <c r="S32" s="1570"/>
      <c r="T32" s="1569"/>
      <c r="U32" s="1570"/>
      <c r="V32" s="1569"/>
      <c r="W32" s="1570"/>
      <c r="X32" s="1571"/>
      <c r="Y32" s="3405"/>
      <c r="Z32" s="2553"/>
      <c r="AA32" s="1577">
        <v>1</v>
      </c>
      <c r="AB32" s="1577">
        <v>1</v>
      </c>
      <c r="AC32" s="1577">
        <v>1</v>
      </c>
    </row>
    <row r="33" spans="1:29" ht="20.25">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c r="L33" s="2143"/>
      <c r="M33" s="2133"/>
      <c r="N33" s="2133"/>
      <c r="O33" s="2142"/>
      <c r="P33" s="340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c r="L34" s="2143"/>
      <c r="M34" s="2133"/>
      <c r="N34" s="2133"/>
      <c r="O34" s="2142"/>
      <c r="P34" s="3405"/>
      <c r="Q34" s="1573" t="str">
        <f t="shared" si="8"/>
        <v>毗邻道路的类型与等级</v>
      </c>
      <c r="R34" s="1574" t="s">
        <v>8</v>
      </c>
      <c r="S34" s="1575">
        <f t="shared" si="10"/>
        <v>100</v>
      </c>
      <c r="T34" s="1574" t="s">
        <v>8</v>
      </c>
      <c r="U34" s="1575">
        <f t="shared" si="11"/>
        <v>100</v>
      </c>
      <c r="V34" s="1574" t="s">
        <v>8</v>
      </c>
      <c r="W34" s="1575">
        <f t="shared" si="12"/>
        <v>100</v>
      </c>
      <c r="X34" s="1568"/>
      <c r="Y34" s="3405"/>
      <c r="Z34" s="1576" t="str">
        <f t="shared" si="13"/>
        <v>毗邻道路的类型与等级</v>
      </c>
      <c r="AA34" s="1577">
        <f t="shared" si="3"/>
        <v>1</v>
      </c>
      <c r="AB34" s="1577">
        <f t="shared" si="4"/>
        <v>1</v>
      </c>
      <c r="AC34" s="1577">
        <f t="shared" si="5"/>
        <v>1</v>
      </c>
    </row>
    <row r="35" spans="1:29" ht="20.25">
      <c r="A35" s="532"/>
      <c r="B35" s="566"/>
      <c r="C35" s="554" t="s">
        <v>3355</v>
      </c>
      <c r="D35" s="557"/>
      <c r="E35" s="576" t="s">
        <v>3355</v>
      </c>
      <c r="F35" s="555"/>
      <c r="G35" s="576" t="s">
        <v>3355</v>
      </c>
      <c r="H35" s="555"/>
      <c r="I35" s="576" t="s">
        <v>3355</v>
      </c>
      <c r="J35" s="555"/>
      <c r="K35" s="581"/>
      <c r="L35" s="2143"/>
      <c r="M35" s="2133"/>
      <c r="N35" s="2133"/>
      <c r="O35" s="2142"/>
      <c r="P35" s="3405"/>
      <c r="Q35" s="1573"/>
      <c r="R35" s="1574"/>
      <c r="S35" s="1575"/>
      <c r="T35" s="1574"/>
      <c r="U35" s="1575"/>
      <c r="V35" s="1574"/>
      <c r="W35" s="1575"/>
      <c r="X35" s="1568"/>
      <c r="Y35" s="340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5"/>
      <c r="Q36" s="1573" t="str">
        <f t="shared" si="8"/>
        <v>土地级别</v>
      </c>
      <c r="R36" s="1574" t="s">
        <v>8</v>
      </c>
      <c r="S36" s="1575">
        <f t="shared" si="10"/>
        <v>100</v>
      </c>
      <c r="T36" s="1574" t="s">
        <v>8</v>
      </c>
      <c r="U36" s="1575">
        <f t="shared" si="11"/>
        <v>100</v>
      </c>
      <c r="V36" s="1574" t="s">
        <v>8</v>
      </c>
      <c r="W36" s="1575">
        <f t="shared" si="12"/>
        <v>100</v>
      </c>
      <c r="X36" s="1568"/>
      <c r="Y36" s="3405"/>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5"/>
      <c r="Q37" s="1573">
        <f t="shared" si="8"/>
        <v>111</v>
      </c>
      <c r="R37" s="1574" t="s">
        <v>8</v>
      </c>
      <c r="S37" s="1575">
        <f t="shared" si="10"/>
        <v>100</v>
      </c>
      <c r="T37" s="1574" t="s">
        <v>8</v>
      </c>
      <c r="U37" s="1575">
        <f t="shared" si="11"/>
        <v>100</v>
      </c>
      <c r="V37" s="1574" t="s">
        <v>8</v>
      </c>
      <c r="W37" s="1575">
        <f t="shared" si="12"/>
        <v>100</v>
      </c>
      <c r="X37" s="1568"/>
      <c r="Y37" s="3405"/>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6" t="s">
        <v>550</v>
      </c>
      <c r="Q38" s="1573">
        <f t="shared" si="8"/>
        <v>111</v>
      </c>
      <c r="R38" s="1574" t="s">
        <v>8</v>
      </c>
      <c r="S38" s="1575">
        <f t="shared" si="10"/>
        <v>100</v>
      </c>
      <c r="T38" s="1574" t="s">
        <v>8</v>
      </c>
      <c r="U38" s="1575">
        <f t="shared" si="11"/>
        <v>100</v>
      </c>
      <c r="V38" s="1574" t="s">
        <v>8</v>
      </c>
      <c r="W38" s="1575">
        <f t="shared" si="12"/>
        <v>100</v>
      </c>
      <c r="X38" s="1568"/>
      <c r="Y38" s="3407"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7"/>
      <c r="Q39" s="1573">
        <f t="shared" si="8"/>
        <v>111</v>
      </c>
      <c r="R39" s="1578" t="s">
        <v>8</v>
      </c>
      <c r="S39" s="1579">
        <f t="shared" si="10"/>
        <v>100</v>
      </c>
      <c r="T39" s="1578" t="s">
        <v>8</v>
      </c>
      <c r="U39" s="1579">
        <f t="shared" si="11"/>
        <v>100</v>
      </c>
      <c r="V39" s="1578" t="s">
        <v>8</v>
      </c>
      <c r="W39" s="1579">
        <f t="shared" si="12"/>
        <v>100</v>
      </c>
      <c r="X39" s="1580"/>
      <c r="Y39" s="3407"/>
      <c r="Z39" s="1581">
        <f t="shared" si="13"/>
        <v>111</v>
      </c>
      <c r="AA39" s="1577">
        <f t="shared" si="3"/>
        <v>1</v>
      </c>
      <c r="AB39" s="1577">
        <f t="shared" si="4"/>
        <v>1</v>
      </c>
      <c r="AC39" s="1577">
        <f t="shared" si="5"/>
        <v>1</v>
      </c>
    </row>
    <row r="40" spans="1:29" ht="20.25">
      <c r="A40" s="2884" t="s">
        <v>2756</v>
      </c>
      <c r="B40" s="3192" t="s">
        <v>552</v>
      </c>
      <c r="C40" s="3193">
        <f>'数据-汇总表'!D3</f>
        <v>47625</v>
      </c>
      <c r="D40" s="3194">
        <v>100</v>
      </c>
      <c r="E40" s="3193">
        <f>Sheet1!H6</f>
        <v>24153</v>
      </c>
      <c r="F40" s="3194">
        <f>LOOKUP(E40,119:119,120:120)-LOOKUP(C40,119:119,120:120)+100</f>
        <v>100</v>
      </c>
      <c r="G40" s="3193">
        <f>Sheet1!H8</f>
        <v>45064</v>
      </c>
      <c r="H40" s="3194">
        <f>LOOKUP(G40,119:119,120:120)-LOOKUP(C40,119:119,120:120)+100</f>
        <v>100</v>
      </c>
      <c r="I40" s="3195">
        <f>Sheet1!H11</f>
        <v>78107</v>
      </c>
      <c r="J40" s="3194">
        <f>LOOKUP(I40,119:119,120:120)-LOOKUP(C40,119:119,120:120)+100</f>
        <v>100</v>
      </c>
      <c r="K40" s="581"/>
      <c r="L40" s="2143"/>
      <c r="M40" s="2133"/>
      <c r="N40" s="2133"/>
      <c r="O40" s="2142"/>
      <c r="P40" s="3407"/>
      <c r="Q40" s="1573" t="str">
        <f>B40</f>
        <v>宗地面积</v>
      </c>
      <c r="R40" s="1574" t="s">
        <v>8</v>
      </c>
      <c r="S40" s="1575">
        <f t="shared" si="10"/>
        <v>100</v>
      </c>
      <c r="T40" s="1574" t="s">
        <v>8</v>
      </c>
      <c r="U40" s="1575">
        <f t="shared" si="11"/>
        <v>100</v>
      </c>
      <c r="V40" s="1574" t="s">
        <v>8</v>
      </c>
      <c r="W40" s="1575">
        <f t="shared" si="12"/>
        <v>100</v>
      </c>
      <c r="X40" s="1568"/>
      <c r="Y40" s="3407"/>
      <c r="Z40" s="1576" t="str">
        <f t="shared" si="13"/>
        <v>宗地面积</v>
      </c>
      <c r="AA40" s="1577">
        <f t="shared" si="3"/>
        <v>1</v>
      </c>
      <c r="AB40" s="1577">
        <f t="shared" si="4"/>
        <v>1</v>
      </c>
      <c r="AC40" s="1577">
        <f t="shared" si="5"/>
        <v>1</v>
      </c>
    </row>
    <row r="41" spans="1:29" ht="20.25">
      <c r="A41" s="594"/>
      <c r="B41" s="527" t="s">
        <v>553</v>
      </c>
      <c r="C41" s="599" t="s">
        <v>3339</v>
      </c>
      <c r="D41" s="540">
        <v>100</v>
      </c>
      <c r="E41" s="599" t="s">
        <v>3341</v>
      </c>
      <c r="F41" s="540">
        <f>SUMIF(121:121,E41,122:122)-SUMIF(121:121,C41,122:122)+100</f>
        <v>97</v>
      </c>
      <c r="G41" s="599" t="s">
        <v>3339</v>
      </c>
      <c r="H41" s="540">
        <f>SUMIF(121:121,G41,122:122)-SUMIF(121:121,C41,122:122)+100</f>
        <v>100</v>
      </c>
      <c r="I41" s="599" t="s">
        <v>3341</v>
      </c>
      <c r="J41" s="540">
        <f>SUMIF(121:121,I41,122:122)-SUMIF(121:121,C41,122:122)+100</f>
        <v>97</v>
      </c>
      <c r="K41" s="584">
        <v>3</v>
      </c>
      <c r="L41" s="2143"/>
      <c r="M41" s="2133"/>
      <c r="N41" s="2133"/>
      <c r="O41" s="2142"/>
      <c r="P41" s="3407"/>
      <c r="Q41" s="1573" t="str">
        <f t="shared" ref="Q41:Q47" si="14">B41</f>
        <v>宗地形状</v>
      </c>
      <c r="R41" s="1574" t="s">
        <v>8</v>
      </c>
      <c r="S41" s="1575">
        <f t="shared" si="10"/>
        <v>97</v>
      </c>
      <c r="T41" s="1574" t="s">
        <v>8</v>
      </c>
      <c r="U41" s="1575">
        <f t="shared" si="11"/>
        <v>100</v>
      </c>
      <c r="V41" s="1574" t="s">
        <v>8</v>
      </c>
      <c r="W41" s="1575">
        <f t="shared" si="12"/>
        <v>97</v>
      </c>
      <c r="X41" s="1568"/>
      <c r="Y41" s="3407"/>
      <c r="Z41" s="1576" t="str">
        <f t="shared" si="13"/>
        <v>宗地形状</v>
      </c>
      <c r="AA41" s="1577">
        <f t="shared" si="3"/>
        <v>1.0309278350515463</v>
      </c>
      <c r="AB41" s="1577">
        <f t="shared" si="4"/>
        <v>1</v>
      </c>
      <c r="AC41" s="1577">
        <f t="shared" si="5"/>
        <v>1.0309278350515463</v>
      </c>
    </row>
    <row r="42" spans="1:29" ht="20.25">
      <c r="A42" s="594"/>
      <c r="B42" s="527" t="s">
        <v>554</v>
      </c>
      <c r="C42" s="599" t="s">
        <v>3357</v>
      </c>
      <c r="D42" s="540">
        <v>100</v>
      </c>
      <c r="E42" s="599" t="s">
        <v>3357</v>
      </c>
      <c r="F42" s="540">
        <f>SUMIF(123:123,E42,124:124)-SUMIF(123:123,C42,124:124)+100</f>
        <v>100</v>
      </c>
      <c r="G42" s="599" t="s">
        <v>3357</v>
      </c>
      <c r="H42" s="540">
        <f>SUMIF(123:123,G42,124:124)-SUMIF(123:123,C42,124:124)+100</f>
        <v>100</v>
      </c>
      <c r="I42" s="599" t="s">
        <v>3357</v>
      </c>
      <c r="J42" s="540">
        <f>SUMIF(123:123,I42,124:124)-SUMIF(123:123,C42,124:124)+100</f>
        <v>100</v>
      </c>
      <c r="K42" s="584">
        <v>1</v>
      </c>
      <c r="L42" s="2143"/>
      <c r="M42" s="2133"/>
      <c r="N42" s="2133"/>
      <c r="O42" s="2142"/>
      <c r="P42" s="3407"/>
      <c r="Q42" s="1573" t="str">
        <f t="shared" si="14"/>
        <v>临街宽度及深度</v>
      </c>
      <c r="R42" s="1574" t="s">
        <v>8</v>
      </c>
      <c r="S42" s="1575">
        <f t="shared" si="10"/>
        <v>100</v>
      </c>
      <c r="T42" s="1574" t="s">
        <v>8</v>
      </c>
      <c r="U42" s="1575">
        <f t="shared" si="11"/>
        <v>100</v>
      </c>
      <c r="V42" s="1574" t="s">
        <v>8</v>
      </c>
      <c r="W42" s="1575">
        <f t="shared" si="12"/>
        <v>100</v>
      </c>
      <c r="X42" s="1568"/>
      <c r="Y42" s="3407"/>
      <c r="Z42" s="1576" t="str">
        <f t="shared" si="13"/>
        <v>临街宽度及深度</v>
      </c>
      <c r="AA42" s="1577">
        <f t="shared" si="3"/>
        <v>1</v>
      </c>
      <c r="AB42" s="1577">
        <f t="shared" si="4"/>
        <v>1</v>
      </c>
      <c r="AC42" s="1577">
        <f t="shared" si="5"/>
        <v>1</v>
      </c>
    </row>
    <row r="43" spans="1:29" s="1220" customFormat="1" ht="20.25">
      <c r="A43" s="600"/>
      <c r="B43" s="1896" t="s">
        <v>2425</v>
      </c>
      <c r="C43" s="601" t="s">
        <v>3359</v>
      </c>
      <c r="D43" s="255">
        <v>100</v>
      </c>
      <c r="E43" s="601" t="s">
        <v>3362</v>
      </c>
      <c r="F43" s="540">
        <f>SUMIF(125:125,E43,126:126)-SUMIF(125:125,C43,126:126)+100</f>
        <v>97</v>
      </c>
      <c r="G43" s="601" t="s">
        <v>3362</v>
      </c>
      <c r="H43" s="540">
        <f>SUMIF(125:125,G43,126:126)-SUMIF(125:125,C43,126:126)+100</f>
        <v>97</v>
      </c>
      <c r="I43" s="601" t="s">
        <v>3362</v>
      </c>
      <c r="J43" s="540">
        <f>SUMIF(125:125,I43,126:126)-SUMIF(125:125,C43,126:126)+100</f>
        <v>97</v>
      </c>
      <c r="K43" s="584">
        <v>1</v>
      </c>
      <c r="L43" s="2136"/>
      <c r="M43" s="2133"/>
      <c r="N43" s="2133"/>
      <c r="O43" s="2138"/>
      <c r="P43" s="3407"/>
      <c r="Q43" s="1573" t="str">
        <f t="shared" si="14"/>
        <v>宗地开发程度</v>
      </c>
      <c r="R43" s="1569" t="s">
        <v>8</v>
      </c>
      <c r="S43" s="1570">
        <f t="shared" si="10"/>
        <v>97</v>
      </c>
      <c r="T43" s="1569" t="s">
        <v>8</v>
      </c>
      <c r="U43" s="1570">
        <f t="shared" si="11"/>
        <v>97</v>
      </c>
      <c r="V43" s="1569" t="s">
        <v>8</v>
      </c>
      <c r="W43" s="1570">
        <f t="shared" si="12"/>
        <v>97</v>
      </c>
      <c r="X43" s="1571"/>
      <c r="Y43" s="3407"/>
      <c r="Z43" s="1150" t="str">
        <f t="shared" si="13"/>
        <v>宗地开发程度</v>
      </c>
      <c r="AA43" s="1572">
        <f t="shared" si="3"/>
        <v>1.0309278350515463</v>
      </c>
      <c r="AB43" s="1572">
        <f t="shared" si="4"/>
        <v>1.0309278350515463</v>
      </c>
      <c r="AC43" s="1572">
        <f t="shared" si="5"/>
        <v>1.0309278350515463</v>
      </c>
    </row>
    <row r="44" spans="1:29" ht="20.25">
      <c r="A44" s="594"/>
      <c r="B44" s="527" t="s">
        <v>555</v>
      </c>
      <c r="C44" s="599" t="s">
        <v>3337</v>
      </c>
      <c r="D44" s="540">
        <v>100</v>
      </c>
      <c r="E44" s="599" t="s">
        <v>3337</v>
      </c>
      <c r="F44" s="540">
        <f>SUMIF(127:127,E44,128:128)-SUMIF(127:127,C44,128:128)+100</f>
        <v>100</v>
      </c>
      <c r="G44" s="599" t="s">
        <v>3337</v>
      </c>
      <c r="H44" s="540">
        <f>SUMIF(127:127,G44,128:128)-SUMIF(127:127,C44,128:128)+100</f>
        <v>100</v>
      </c>
      <c r="I44" s="599" t="s">
        <v>3337</v>
      </c>
      <c r="J44" s="540">
        <f>SUMIF(127:127,I44,128:128)-SUMIF(127:127,C44,128:128)+100</f>
        <v>100</v>
      </c>
      <c r="K44" s="584">
        <v>1</v>
      </c>
      <c r="L44" s="2143"/>
      <c r="M44" s="2133"/>
      <c r="N44" s="2133"/>
      <c r="O44" s="2142"/>
      <c r="P44" s="3407" t="s">
        <v>550</v>
      </c>
      <c r="Q44" s="1573" t="str">
        <f t="shared" si="14"/>
        <v>工程地质条件</v>
      </c>
      <c r="R44" s="1574" t="s">
        <v>8</v>
      </c>
      <c r="S44" s="1575">
        <f t="shared" si="10"/>
        <v>100</v>
      </c>
      <c r="T44" s="1574" t="s">
        <v>8</v>
      </c>
      <c r="U44" s="1575">
        <f t="shared" si="11"/>
        <v>100</v>
      </c>
      <c r="V44" s="1574" t="s">
        <v>8</v>
      </c>
      <c r="W44" s="1575">
        <f t="shared" si="12"/>
        <v>100</v>
      </c>
      <c r="X44" s="1568"/>
      <c r="Y44" s="3407"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7"/>
      <c r="Q45" s="1573">
        <f t="shared" si="14"/>
        <v>111</v>
      </c>
      <c r="R45" s="1574" t="s">
        <v>8</v>
      </c>
      <c r="S45" s="1575">
        <f t="shared" si="10"/>
        <v>100</v>
      </c>
      <c r="T45" s="1574" t="s">
        <v>8</v>
      </c>
      <c r="U45" s="1575">
        <f t="shared" si="11"/>
        <v>100</v>
      </c>
      <c r="V45" s="1574" t="s">
        <v>8</v>
      </c>
      <c r="W45" s="1575">
        <f t="shared" si="12"/>
        <v>100</v>
      </c>
      <c r="X45" s="1568"/>
      <c r="Y45" s="340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7"/>
      <c r="Q46" s="1573">
        <f t="shared" si="14"/>
        <v>111</v>
      </c>
      <c r="R46" s="1574" t="s">
        <v>8</v>
      </c>
      <c r="S46" s="1575">
        <f t="shared" si="10"/>
        <v>100</v>
      </c>
      <c r="T46" s="1574" t="s">
        <v>8</v>
      </c>
      <c r="U46" s="1575">
        <f t="shared" si="11"/>
        <v>100</v>
      </c>
      <c r="V46" s="1574" t="s">
        <v>8</v>
      </c>
      <c r="W46" s="1575">
        <f t="shared" si="12"/>
        <v>100</v>
      </c>
      <c r="X46" s="1568"/>
      <c r="Y46" s="340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7"/>
      <c r="Q47" s="1573">
        <f t="shared" si="14"/>
        <v>111</v>
      </c>
      <c r="R47" s="1578" t="s">
        <v>8</v>
      </c>
      <c r="S47" s="1579">
        <f t="shared" si="10"/>
        <v>100</v>
      </c>
      <c r="T47" s="1578" t="s">
        <v>8</v>
      </c>
      <c r="U47" s="1579">
        <f t="shared" si="11"/>
        <v>100</v>
      </c>
      <c r="V47" s="1578" t="s">
        <v>8</v>
      </c>
      <c r="W47" s="1579">
        <f t="shared" si="12"/>
        <v>100</v>
      </c>
      <c r="X47" s="1580"/>
      <c r="Y47" s="3407"/>
      <c r="Z47" s="1581">
        <f t="shared" si="13"/>
        <v>111</v>
      </c>
      <c r="AA47" s="1577">
        <f t="shared" si="3"/>
        <v>1</v>
      </c>
      <c r="AB47" s="1577">
        <f t="shared" si="4"/>
        <v>1</v>
      </c>
      <c r="AC47" s="1577">
        <f t="shared" si="5"/>
        <v>1</v>
      </c>
    </row>
    <row r="48" spans="1:29" ht="20.25">
      <c r="A48" s="607" t="s">
        <v>556</v>
      </c>
      <c r="B48" s="608" t="s">
        <v>3026</v>
      </c>
      <c r="C48" s="609" t="s">
        <v>1</v>
      </c>
      <c r="D48" s="610"/>
      <c r="E48" s="611">
        <f>Sheet1!P6</f>
        <v>23079.200000000001</v>
      </c>
      <c r="F48" s="612"/>
      <c r="G48" s="613">
        <f>Sheet1!P8</f>
        <v>24389.65</v>
      </c>
      <c r="H48" s="614"/>
      <c r="I48" s="611">
        <f>Sheet1!P11</f>
        <v>25796.25</v>
      </c>
      <c r="J48" s="614"/>
      <c r="K48" s="1340"/>
      <c r="L48" s="2145"/>
      <c r="M48" s="2133"/>
      <c r="N48" s="2133"/>
      <c r="O48" s="2146"/>
      <c r="P48" s="3370" t="str">
        <f>A48</f>
        <v>成交单价</v>
      </c>
      <c r="Q48" s="3370"/>
      <c r="R48" s="3371">
        <f>E48</f>
        <v>23079.200000000001</v>
      </c>
      <c r="S48" s="3371"/>
      <c r="T48" s="3371">
        <f>G48</f>
        <v>24389.65</v>
      </c>
      <c r="U48" s="3371"/>
      <c r="V48" s="3371">
        <f>I48</f>
        <v>25796.25</v>
      </c>
      <c r="W48" s="3371"/>
      <c r="X48" s="1560"/>
      <c r="Y48" s="1582"/>
      <c r="Z48" s="1560"/>
      <c r="AA48" s="1560"/>
      <c r="AB48" s="1560"/>
      <c r="AC48" s="1560"/>
    </row>
    <row r="49" spans="1:29" ht="21" thickBot="1">
      <c r="A49" s="615" t="s">
        <v>2694</v>
      </c>
      <c r="B49" s="616"/>
      <c r="C49" s="617">
        <f>R50</f>
        <v>26697</v>
      </c>
      <c r="D49" s="618"/>
      <c r="E49" s="617">
        <f>R49</f>
        <v>25029</v>
      </c>
      <c r="F49" s="619"/>
      <c r="G49" s="620">
        <f>T49</f>
        <v>25922</v>
      </c>
      <c r="H49" s="618"/>
      <c r="I49" s="617">
        <f>V49</f>
        <v>29139</v>
      </c>
      <c r="J49" s="618"/>
      <c r="K49" s="1341"/>
      <c r="L49" s="2145"/>
      <c r="M49" s="2133"/>
      <c r="N49" s="2133"/>
      <c r="O49" s="2146"/>
      <c r="P49" s="3370" t="str">
        <f>A49</f>
        <v>比较价格（元/平方米）</v>
      </c>
      <c r="Q49" s="3370"/>
      <c r="R49" s="3372">
        <f>ROUND(PRODUCT(R48,AA9:AA47),0)</f>
        <v>25029</v>
      </c>
      <c r="S49" s="3372"/>
      <c r="T49" s="3372">
        <f>ROUND(PRODUCT(T48,AB9:AB47),0)</f>
        <v>25922</v>
      </c>
      <c r="U49" s="3372"/>
      <c r="V49" s="3372">
        <f>ROUND(PRODUCT(V48,AC9:AC47),0)</f>
        <v>29139</v>
      </c>
      <c r="W49" s="3372"/>
      <c r="X49" s="1560"/>
      <c r="Y49" s="1560"/>
      <c r="Z49" s="1560"/>
      <c r="AA49" s="1560"/>
      <c r="AB49" s="1560"/>
      <c r="AC49" s="1560"/>
    </row>
    <row r="50" spans="1:29" ht="21" thickBot="1">
      <c r="A50" s="621" t="s">
        <v>2936</v>
      </c>
      <c r="B50" s="622"/>
      <c r="C50" s="623">
        <f>R50</f>
        <v>26697</v>
      </c>
      <c r="D50" s="623"/>
      <c r="E50" s="623"/>
      <c r="F50" s="623"/>
      <c r="G50" s="623"/>
      <c r="H50" s="623"/>
      <c r="I50" s="623"/>
      <c r="J50" s="623"/>
      <c r="K50" s="1342"/>
      <c r="L50" s="2145"/>
      <c r="M50" s="2133"/>
      <c r="N50" s="2133"/>
      <c r="O50" s="2146"/>
      <c r="P50" s="3367" t="str">
        <f>A50</f>
        <v>估价对象XX用房的比较价格（楼面单价，元/平方米）</v>
      </c>
      <c r="Q50" s="3368"/>
      <c r="R50" s="3369">
        <f>ROUND(AVERAGE(R49:V49),0)</f>
        <v>26697</v>
      </c>
      <c r="S50" s="3369"/>
      <c r="T50" s="3369"/>
      <c r="U50" s="3369"/>
      <c r="V50" s="3369"/>
      <c r="W50" s="3369"/>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8.448299767756251E-2</v>
      </c>
      <c r="F53" s="627" t="str">
        <f>IF(OR(E53&gt;=0.3,E53&lt;=-0.3),"超过30%","")</f>
        <v/>
      </c>
      <c r="G53" s="626">
        <f>IF(G48&lt;G49,G49/G48-1,G48/G49-1)</f>
        <v>6.2827879858874391E-2</v>
      </c>
      <c r="H53" s="627" t="str">
        <f>IF(OR(G53&gt;=0.3,G53&lt;=-0.3),"超过30%","")</f>
        <v/>
      </c>
      <c r="I53" s="626">
        <f>IF(I48&lt;I49,I49/I48-1,I48/I49-1)</f>
        <v>0.12958278819595881</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3.5678612809141308E-2</v>
      </c>
      <c r="F54" s="627" t="str">
        <f>IF(OR(E54&gt;=0.2,E54&lt;=-0.2),"超过20%","")</f>
        <v/>
      </c>
      <c r="G54" s="626">
        <f>IF(G49&lt;I49,I49/G49-1,G49/I49-1)</f>
        <v>0.12410307846616764</v>
      </c>
      <c r="H54" s="627" t="str">
        <f>IF(OR(G54&gt;=0.2,G54&lt;=-0.2),"超过20%","")</f>
        <v/>
      </c>
      <c r="I54" s="626">
        <f>IF(I49&lt;E49,E49/I49-1,I49/E49-1)</f>
        <v>0.16420951696032593</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5.6780564317653992E-2</v>
      </c>
      <c r="F55" s="627" t="str">
        <f>IF(OR(E55&gt;=0.3,E55&lt;=-0.3),"超过30%","")</f>
        <v/>
      </c>
      <c r="G55" s="626">
        <f>IF(G48&lt;I48,I48/G48-1,G48/I48-1)</f>
        <v>5.7672004313304992E-2</v>
      </c>
      <c r="H55" s="627" t="str">
        <f>IF(OR(G55&gt;=0.3,G55&lt;=-0.3),"超过30%","")</f>
        <v/>
      </c>
      <c r="I55" s="626">
        <f>IF(I48&lt;E48,E48/I48-1,I48/E48-1)</f>
        <v>0.11772721758119853</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96" t="s">
        <v>2282</v>
      </c>
      <c r="H57" s="3397"/>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26697</v>
      </c>
      <c r="C58" s="635">
        <v>1</v>
      </c>
      <c r="D58" s="2229">
        <v>1</v>
      </c>
      <c r="E58" s="635">
        <f>'数据-汇总表'!E8+'数据-汇总表'!E9</f>
        <v>118029.63</v>
      </c>
      <c r="F58" s="636">
        <f t="shared" ref="F58:F67" si="15">ROUND(B58*E58/10000,0)</f>
        <v>315104</v>
      </c>
      <c r="G58" s="3398"/>
      <c r="H58" s="339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00"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0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0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0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57727.82</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175757.45</v>
      </c>
      <c r="F68" s="644">
        <f>IF(B48="楼面地价",SUM(F58:F67),ROUND(C50*E68/10000,0))</f>
        <v>315104</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6" t="s">
        <v>2533</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3" t="s">
        <v>2648</v>
      </c>
      <c r="B73" s="479" t="str">
        <f>"北京市平均增长率"&amp;TEXT(SUMIF(基准地价!N21:N25,A73,基准地价!P21:P25),"0.00%")</f>
        <v>北京市平均增长率2.09%</v>
      </c>
      <c r="C73" s="894">
        <v>100</v>
      </c>
      <c r="D73" s="730">
        <v>99</v>
      </c>
      <c r="E73" s="730">
        <v>98</v>
      </c>
      <c r="F73" s="730">
        <v>97</v>
      </c>
      <c r="G73" s="730">
        <v>96</v>
      </c>
      <c r="H73" s="730">
        <v>95</v>
      </c>
      <c r="I73" s="730">
        <v>94</v>
      </c>
      <c r="J73" s="730">
        <v>93</v>
      </c>
      <c r="K73" s="730">
        <v>92</v>
      </c>
      <c r="L73" s="730">
        <v>91</v>
      </c>
      <c r="M73" s="730">
        <v>90</v>
      </c>
      <c r="N73" s="2770"/>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3" t="s">
        <v>2647</v>
      </c>
      <c r="B74" s="2782"/>
      <c r="C74" s="2767"/>
      <c r="D74" s="2768">
        <v>0.98</v>
      </c>
      <c r="E74" s="2768">
        <v>1.01</v>
      </c>
      <c r="F74" s="2768">
        <v>1.98</v>
      </c>
      <c r="G74" s="2768">
        <v>0.97</v>
      </c>
      <c r="H74" s="2768"/>
      <c r="I74" s="2768"/>
      <c r="J74" s="2768"/>
      <c r="K74" s="2768"/>
      <c r="L74" s="2768"/>
      <c r="M74" s="2768"/>
      <c r="N74" s="2768"/>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5" t="s">
        <v>3353</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3.5（含）-4</v>
      </c>
      <c r="I81" s="682" t="str">
        <f t="shared" si="20"/>
        <v>4（含）-4.5</v>
      </c>
      <c r="J81" s="682" t="str">
        <f t="shared" si="20"/>
        <v>4.5（含）-5</v>
      </c>
      <c r="K81" s="682" t="str">
        <f t="shared" si="20"/>
        <v>5（含）-5.5</v>
      </c>
      <c r="L81" s="682" t="str">
        <f t="shared" si="20"/>
        <v>5.5（含）-6</v>
      </c>
      <c r="M81" s="555" t="str">
        <f>M82&amp;"（含）"&amp;"-"&amp;P82</f>
        <v>6（含）-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1</v>
      </c>
      <c r="D82" s="541">
        <v>1.5</v>
      </c>
      <c r="E82" s="541">
        <v>2</v>
      </c>
      <c r="F82" s="541">
        <v>2.5</v>
      </c>
      <c r="G82" s="541">
        <v>3</v>
      </c>
      <c r="H82" s="541">
        <v>3.5</v>
      </c>
      <c r="I82" s="541">
        <v>4</v>
      </c>
      <c r="J82" s="541">
        <v>4.5</v>
      </c>
      <c r="K82" s="541">
        <v>5</v>
      </c>
      <c r="L82" s="541">
        <v>5.5</v>
      </c>
      <c r="M82" s="541">
        <v>6</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5" t="s">
        <v>2551</v>
      </c>
      <c r="C104" s="2576" t="s">
        <v>2552</v>
      </c>
      <c r="D104" s="2576" t="s">
        <v>2553</v>
      </c>
      <c r="E104" s="2576" t="s">
        <v>2554</v>
      </c>
      <c r="F104" s="2576" t="s">
        <v>2555</v>
      </c>
      <c r="G104" s="2576"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8"/>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3186" t="s">
        <v>3356</v>
      </c>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0(含)-5000000</v>
      </c>
      <c r="D118" s="704" t="str">
        <f t="shared" si="25"/>
        <v>5000000(含)-100000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67" t="str">
        <f t="shared" si="25"/>
        <v>350000(含)-400000</v>
      </c>
      <c r="K118" s="3067" t="str">
        <f t="shared" si="25"/>
        <v>400000(含)-450000</v>
      </c>
      <c r="L118" s="3068" t="str">
        <f t="shared" si="25"/>
        <v>450000(含)-</v>
      </c>
      <c r="M118" s="306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5000000</v>
      </c>
      <c r="E119" s="730">
        <v>100000</v>
      </c>
      <c r="F119" s="730">
        <v>150000</v>
      </c>
      <c r="G119" s="730">
        <v>200000</v>
      </c>
      <c r="H119" s="730">
        <v>250000</v>
      </c>
      <c r="I119" s="730">
        <v>300000</v>
      </c>
      <c r="J119" s="730">
        <v>350000</v>
      </c>
      <c r="K119" s="730">
        <v>400000</v>
      </c>
      <c r="L119" s="730">
        <v>450000</v>
      </c>
      <c r="M119" s="2347"/>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00">
        <v>104</v>
      </c>
      <c r="F120" s="726">
        <v>106</v>
      </c>
      <c r="G120" s="700">
        <v>108</v>
      </c>
      <c r="H120" s="726">
        <v>110</v>
      </c>
      <c r="I120" s="700">
        <v>112</v>
      </c>
      <c r="J120" s="726">
        <v>114</v>
      </c>
      <c r="K120" s="700">
        <v>116</v>
      </c>
      <c r="L120" s="726">
        <v>118</v>
      </c>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4" t="s">
        <v>3340</v>
      </c>
      <c r="D121" s="3184" t="s">
        <v>3342</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3186" t="s">
        <v>3358</v>
      </c>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t="s">
        <v>3361</v>
      </c>
      <c r="E125" s="1376"/>
      <c r="F125" s="1376"/>
      <c r="G125" s="1376" t="s">
        <v>3363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3186" t="s">
        <v>3360</v>
      </c>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36" sqref="C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6"/>
      <c r="C1" s="2105"/>
      <c r="D1" s="2105"/>
      <c r="E1" s="2105"/>
      <c r="F1" s="2105"/>
      <c r="G1" s="2105"/>
      <c r="H1" s="2105"/>
      <c r="I1" s="2105"/>
      <c r="J1" s="2105"/>
      <c r="K1" s="422">
        <f>MATCH(B1,'数据-取费表'!A6:A16,0)+5</f>
        <v>9</v>
      </c>
    </row>
    <row r="2" spans="1:31" s="2042" customFormat="1" ht="18" customHeight="1">
      <c r="A2" s="2102" t="s">
        <v>467</v>
      </c>
      <c r="B2" s="2106">
        <f ca="1">C36</f>
        <v>305706</v>
      </c>
      <c r="C2" s="2105"/>
      <c r="D2" s="2105"/>
      <c r="E2" s="2105"/>
      <c r="F2" s="2105"/>
      <c r="G2" s="2105"/>
      <c r="H2" s="2105"/>
      <c r="I2" s="2105"/>
      <c r="J2" s="2105"/>
      <c r="K2" s="2105"/>
    </row>
    <row r="3" spans="1:31" s="2042" customFormat="1" ht="18" customHeight="1">
      <c r="A3" s="2107" t="s">
        <v>1685</v>
      </c>
      <c r="B3" s="2108">
        <f ca="1">ROUND(B2*10000/IF(B1="",'数据-汇总表'!E3,INDIRECT("'数据-取费表'!K"&amp;$K$1)),0)</f>
        <v>16654</v>
      </c>
      <c r="C3" s="2105"/>
      <c r="D3" s="2105"/>
      <c r="E3" s="2105"/>
      <c r="F3" s="2105"/>
      <c r="G3" s="2105"/>
      <c r="H3" s="2105"/>
      <c r="I3" s="2105"/>
      <c r="J3" s="2105"/>
      <c r="K3" s="2105"/>
    </row>
    <row r="4" spans="1:31" s="2042" customFormat="1" ht="18" customHeight="1">
      <c r="A4" s="426" t="s">
        <v>468</v>
      </c>
      <c r="B4" s="427">
        <f ca="1">ROUND(B2*10000/IF(B1="",'数据-汇总表'!D3,INDIRECT("'数据-取费表'!R"&amp;$K$1)),0)</f>
        <v>64190</v>
      </c>
      <c r="C4" s="428"/>
      <c r="D4" s="422"/>
      <c r="E4" s="422"/>
      <c r="F4" s="422"/>
      <c r="G4" s="422"/>
      <c r="H4" s="422"/>
      <c r="I4" s="422"/>
      <c r="J4" s="422"/>
      <c r="K4" s="422"/>
    </row>
    <row r="5" spans="1:31" s="2042" customFormat="1" ht="18" customHeight="1" thickBot="1">
      <c r="A5" s="429"/>
      <c r="B5" s="430">
        <f ca="1">ROUND(B2/(IF(B1="",'数据-汇总表'!D3,INDIRECT("'数据-取费表'!R"&amp;$K$1))/666.67),0)</f>
        <v>4279</v>
      </c>
      <c r="C5" s="431" t="s">
        <v>469</v>
      </c>
      <c r="D5" s="422"/>
      <c r="E5" s="422"/>
      <c r="F5" s="422"/>
      <c r="G5" s="422"/>
      <c r="H5" s="422"/>
      <c r="I5" s="422"/>
      <c r="J5" s="422"/>
      <c r="K5" s="422"/>
    </row>
    <row r="6" spans="1:31" s="2112" customFormat="1" ht="16.5" customHeight="1">
      <c r="A6" s="2805" t="s">
        <v>1843</v>
      </c>
      <c r="B6" s="2806"/>
      <c r="C6" s="2807">
        <f ca="1">SUM(C10:K10)</f>
        <v>480290</v>
      </c>
      <c r="D6" s="2806"/>
      <c r="E6" s="2806"/>
      <c r="F6" s="2806"/>
      <c r="G6" s="2806"/>
      <c r="H6" s="2806"/>
      <c r="I6" s="2806"/>
      <c r="J6" s="2806"/>
      <c r="K6" s="2808"/>
    </row>
    <row r="7" spans="1:31" s="2114" customFormat="1" ht="15">
      <c r="A7" s="2809" t="s">
        <v>470</v>
      </c>
      <c r="B7" s="2810" t="s">
        <v>471</v>
      </c>
      <c r="C7" s="436" t="s">
        <v>923</v>
      </c>
      <c r="D7" s="436" t="s">
        <v>3030</v>
      </c>
      <c r="E7" s="436" t="s">
        <v>3032</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1">
        <f>'不动产比较法-住宅'!B3</f>
        <v>39161</v>
      </c>
      <c r="D8" s="2811">
        <f ca="1">不动产收益法!B3</f>
        <v>38828</v>
      </c>
      <c r="E8" s="2811"/>
      <c r="F8" s="2811"/>
      <c r="G8" s="2811"/>
      <c r="H8" s="2811"/>
      <c r="I8" s="2811"/>
      <c r="J8" s="2811"/>
      <c r="K8" s="281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116672.36</v>
      </c>
      <c r="D9" s="441">
        <f>SUMIF('数据-汇总表'!$C19:$C33,'剩余法-待开发'!D7,'数据-汇总表'!$E19:$E33)</f>
        <v>1357.27</v>
      </c>
      <c r="E9" s="441">
        <f>SUMIF('数据-汇总表'!$C19:$C33,'剩余法-待开发'!E7,'数据-汇总表'!$E19:$E33)</f>
        <v>57727.82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3" t="s">
        <v>1848</v>
      </c>
      <c r="B10" s="2799" t="s">
        <v>474</v>
      </c>
      <c r="C10" s="3003">
        <f>'不动产比较法-住宅'!B2</f>
        <v>456901</v>
      </c>
      <c r="D10" s="3003">
        <f ca="1">不动产收益法!B2</f>
        <v>5270</v>
      </c>
      <c r="E10" s="3003">
        <f ca="1">不动产收益法车库!B2</f>
        <v>18119</v>
      </c>
      <c r="F10" s="2814"/>
      <c r="G10" s="2814"/>
      <c r="H10" s="2814"/>
      <c r="I10" s="2814"/>
      <c r="J10" s="2814"/>
      <c r="K10" s="281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6" t="s">
        <v>1844</v>
      </c>
      <c r="B11" s="2806"/>
      <c r="C11" s="2806"/>
      <c r="D11" s="2806"/>
      <c r="E11" s="2806"/>
      <c r="F11" s="2806"/>
      <c r="G11" s="2806"/>
      <c r="H11" s="2806"/>
      <c r="I11" s="2806"/>
      <c r="J11" s="2806"/>
      <c r="K11" s="2808"/>
    </row>
    <row r="12" spans="1:31" s="2086" customFormat="1" ht="13.5" customHeight="1">
      <c r="A12" s="2817" t="s">
        <v>470</v>
      </c>
      <c r="B12" s="2789" t="s">
        <v>471</v>
      </c>
      <c r="C12" s="2818" t="s">
        <v>475</v>
      </c>
      <c r="D12" s="2785" t="s">
        <v>476</v>
      </c>
      <c r="E12" s="2785" t="s">
        <v>477</v>
      </c>
      <c r="F12" s="2785" t="s">
        <v>478</v>
      </c>
      <c r="G12" s="2789"/>
      <c r="H12" s="2790"/>
      <c r="I12" s="2790"/>
      <c r="J12" s="2790"/>
      <c r="K12" s="2791"/>
    </row>
    <row r="13" spans="1:31" s="2117" customFormat="1" ht="13.5" customHeight="1">
      <c r="A13" s="2819" t="s">
        <v>1849</v>
      </c>
      <c r="B13" s="2820" t="s">
        <v>479</v>
      </c>
      <c r="C13" s="450">
        <f ca="1">IF(B1="",'数据-取费表'!P16,INDIRECT("'数据-取费表'!p"&amp;$K$1)+INDIRECT("'数据-取费表'!t"&amp;$K$1))</f>
        <v>65710</v>
      </c>
      <c r="D13" s="2821"/>
      <c r="E13" s="2822"/>
      <c r="F13" s="2823"/>
      <c r="G13" s="2789"/>
      <c r="H13" s="2790"/>
      <c r="I13" s="2790"/>
      <c r="J13" s="2790"/>
      <c r="K13" s="2791"/>
    </row>
    <row r="14" spans="1:31" s="2117" customFormat="1" ht="13.5" customHeight="1">
      <c r="A14" s="2819" t="s">
        <v>1850</v>
      </c>
      <c r="B14" s="2820" t="s">
        <v>480</v>
      </c>
      <c r="C14" s="53">
        <f ca="1">ROUND(C13*F14,0)</f>
        <v>1971</v>
      </c>
      <c r="D14" s="2821"/>
      <c r="E14" s="2822"/>
      <c r="F14" s="2824">
        <f>'数据-取费表'!B33</f>
        <v>0.03</v>
      </c>
      <c r="G14" s="2789" t="s">
        <v>481</v>
      </c>
      <c r="H14" s="2790"/>
      <c r="I14" s="2790"/>
      <c r="J14" s="2790"/>
      <c r="K14" s="2791"/>
    </row>
    <row r="15" spans="1:31" s="2117" customFormat="1" ht="13.5" customHeight="1">
      <c r="A15" s="2819" t="s">
        <v>1851</v>
      </c>
      <c r="B15" s="2820" t="s">
        <v>482</v>
      </c>
      <c r="C15" s="53">
        <f ca="1">ROUND(IF(B1="",SUMIF('数据-取费表'!C:C,"住宅",'数据-取费表'!P:P)*F15,IF(INDIRECT("'数据-取费表'!c"&amp;$K$1)="住宅",INDIRECT("'数据-取费表'!P"&amp;$K$1)*F15,0)),0)</f>
        <v>1575</v>
      </c>
      <c r="D15" s="2821"/>
      <c r="E15" s="2822"/>
      <c r="F15" s="2824">
        <f>'数据-取费表'!B34</f>
        <v>0.03</v>
      </c>
      <c r="G15" s="2789" t="s">
        <v>483</v>
      </c>
      <c r="H15" s="2790"/>
      <c r="I15" s="2790"/>
      <c r="J15" s="2790"/>
      <c r="K15" s="2791"/>
    </row>
    <row r="16" spans="1:31" s="2118" customFormat="1" ht="13.5" customHeight="1">
      <c r="A16" s="2819" t="s">
        <v>1852</v>
      </c>
      <c r="B16" s="2820" t="s">
        <v>484</v>
      </c>
      <c r="C16" s="53">
        <f ca="1">ROUND(D16*E16/10000,0)</f>
        <v>3671</v>
      </c>
      <c r="D16" s="2821">
        <f ca="1">IF(B1="",'数据-汇总表'!E3,INDIRECT("'数据-取费表'!K"&amp;$K$1)+INDIRECT("'数据-取费表'!S"&amp;$K$1))</f>
        <v>183566.61000000002</v>
      </c>
      <c r="E16" s="53">
        <f>'数据-取费表'!B35</f>
        <v>200</v>
      </c>
      <c r="F16" s="2824"/>
      <c r="G16" s="2789"/>
      <c r="H16" s="2790"/>
      <c r="I16" s="2790"/>
      <c r="J16" s="2790"/>
      <c r="K16" s="279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19" t="s">
        <v>1853</v>
      </c>
      <c r="B17" s="2820" t="s">
        <v>485</v>
      </c>
      <c r="C17" s="2825">
        <f ca="1">ROUND(C13*F17,0)</f>
        <v>986</v>
      </c>
      <c r="D17" s="475"/>
      <c r="E17" s="2825"/>
      <c r="F17" s="2826">
        <f>'数据-取费表'!B36</f>
        <v>1.4999999999999999E-2</v>
      </c>
      <c r="G17" s="261" t="s">
        <v>486</v>
      </c>
      <c r="H17" s="2792"/>
      <c r="I17" s="2792"/>
      <c r="J17" s="2792"/>
      <c r="K17" s="279"/>
    </row>
    <row r="18" spans="1:14" s="2117" customFormat="1" ht="13.5" customHeight="1">
      <c r="A18" s="2827" t="s">
        <v>1854</v>
      </c>
      <c r="B18" s="2828" t="s">
        <v>487</v>
      </c>
      <c r="C18" s="2829">
        <f ca="1">SUM(C13:C17)</f>
        <v>73913</v>
      </c>
      <c r="D18" s="2830"/>
      <c r="E18" s="468"/>
      <c r="F18" s="468"/>
      <c r="G18" s="2793" t="s">
        <v>2431</v>
      </c>
      <c r="H18" s="2794"/>
      <c r="I18" s="2794"/>
      <c r="J18" s="2794"/>
      <c r="K18" s="2795"/>
    </row>
    <row r="19" spans="1:14" s="2117" customFormat="1" ht="13.5" customHeight="1">
      <c r="A19" s="2827" t="s">
        <v>1855</v>
      </c>
      <c r="B19" s="2828" t="s">
        <v>488</v>
      </c>
      <c r="C19" s="2785">
        <f ca="1">ROUND(D19*E19/10000,0)</f>
        <v>0</v>
      </c>
      <c r="D19" s="2831">
        <f ca="1">D16</f>
        <v>183566.61000000002</v>
      </c>
      <c r="E19" s="2785">
        <f>'数据-取费表'!B32</f>
        <v>0</v>
      </c>
      <c r="F19" s="468"/>
      <c r="G19" s="2789" t="s">
        <v>489</v>
      </c>
      <c r="H19" s="2790"/>
      <c r="I19" s="2794"/>
      <c r="J19" s="2794"/>
      <c r="K19" s="2795"/>
    </row>
    <row r="20" spans="1:14" s="2117" customFormat="1" ht="13.5" customHeight="1">
      <c r="A20" s="2827" t="s">
        <v>1856</v>
      </c>
      <c r="B20" s="2828" t="s">
        <v>490</v>
      </c>
      <c r="C20" s="2785">
        <f ca="1">C21+C22-IF(B1="",'数据-取费表'!B29,IF(G20="已全部缴纳",C21+C22,H20))</f>
        <v>1987</v>
      </c>
      <c r="D20" s="2831"/>
      <c r="E20" s="2785"/>
      <c r="F20" s="2832"/>
      <c r="G20" s="3063"/>
      <c r="H20" s="2787"/>
      <c r="I20" s="2788" t="s">
        <v>2652</v>
      </c>
      <c r="J20" s="2794"/>
      <c r="K20" s="2795"/>
    </row>
    <row r="21" spans="1:14" s="2117" customFormat="1" ht="13.5" customHeight="1">
      <c r="A21" s="2819" t="s">
        <v>1857</v>
      </c>
      <c r="B21" s="2820" t="s">
        <v>491</v>
      </c>
      <c r="C21" s="53">
        <f ca="1">ROUND(D21*E21/10000,0)</f>
        <v>1050</v>
      </c>
      <c r="D21" s="2821">
        <f ca="1">IF(B1="",'数据-汇总表'!E5,IF(INDIRECT("'数据-取费表'!c"&amp;$K$1)="住宅",INDIRECT("'数据-取费表'!k"&amp;$K$1),0))</f>
        <v>116672.36</v>
      </c>
      <c r="E21" s="53">
        <f>'数据-取费表'!B27</f>
        <v>90</v>
      </c>
      <c r="F21" s="2824"/>
      <c r="G21" s="26"/>
      <c r="H21" s="51"/>
      <c r="I21" s="51"/>
      <c r="J21" s="51"/>
      <c r="K21" s="2796"/>
    </row>
    <row r="22" spans="1:14" s="2117" customFormat="1" ht="13.5" customHeight="1">
      <c r="A22" s="2819" t="s">
        <v>1858</v>
      </c>
      <c r="B22" s="2820" t="s">
        <v>492</v>
      </c>
      <c r="C22" s="53">
        <f ca="1">ROUND(D22*E22/10000,0)</f>
        <v>937</v>
      </c>
      <c r="D22" s="2821">
        <f ca="1">IF(B1="",'数据-汇总表'!E6,IF(INDIRECT("'数据-取费表'!c"&amp;$K$1)="住宅",INDIRECT("'数据-取费表'!s"&amp;$K$1),INDIRECT("'数据-取费表'!k"&amp;$K$1)+INDIRECT("'数据-取费表'!s"&amp;$K$1)))</f>
        <v>66894.250000000015</v>
      </c>
      <c r="E22" s="53">
        <f>'数据-取费表'!B28</f>
        <v>140</v>
      </c>
      <c r="F22" s="2824"/>
      <c r="G22" s="26"/>
      <c r="H22" s="51"/>
      <c r="I22" s="51"/>
      <c r="J22" s="51"/>
      <c r="K22" s="2796"/>
    </row>
    <row r="23" spans="1:14" s="2117" customFormat="1" ht="13.5" customHeight="1">
      <c r="A23" s="2827" t="s">
        <v>1859</v>
      </c>
      <c r="B23" s="3009" t="s">
        <v>2834</v>
      </c>
      <c r="C23" s="2829">
        <f ca="1">ROUND((C18+C19+C20)*F23,0)</f>
        <v>1139</v>
      </c>
      <c r="D23" s="468"/>
      <c r="E23" s="468"/>
      <c r="F23" s="2833">
        <f>'数据-取费表'!B37</f>
        <v>1.4999999999999999E-2</v>
      </c>
      <c r="G23" s="2789" t="s">
        <v>2432</v>
      </c>
      <c r="H23" s="2790"/>
      <c r="I23" s="2790"/>
      <c r="J23" s="2790"/>
      <c r="K23" s="2791"/>
      <c r="L23" s="2119"/>
      <c r="M23" s="2119"/>
      <c r="N23" s="2119"/>
    </row>
    <row r="24" spans="1:14" s="2117" customFormat="1" ht="13.5" customHeight="1">
      <c r="A24" s="2827" t="s">
        <v>1860</v>
      </c>
      <c r="B24" s="3009" t="s">
        <v>2837</v>
      </c>
      <c r="C24" s="2829">
        <f ca="1">ROUND(C6*F24,0)</f>
        <v>4803</v>
      </c>
      <c r="D24" s="475"/>
      <c r="E24" s="473"/>
      <c r="F24" s="2833">
        <f>'数据-取费表'!B38</f>
        <v>0.01</v>
      </c>
      <c r="G24" s="2798" t="s">
        <v>499</v>
      </c>
      <c r="H24" s="2792"/>
      <c r="I24" s="2792"/>
      <c r="J24" s="2792"/>
      <c r="K24" s="279"/>
      <c r="L24" s="2119"/>
      <c r="M24" s="2119"/>
      <c r="N24" s="2119"/>
    </row>
    <row r="25" spans="1:14" s="2120" customFormat="1" ht="13.5" customHeight="1">
      <c r="A25" s="2827" t="s">
        <v>1861</v>
      </c>
      <c r="B25" s="3009" t="s">
        <v>2835</v>
      </c>
      <c r="C25" s="467">
        <f>ROUND(F25/(1+'数据-取费表'!C42),4)</f>
        <v>2.9000000000000001E-2</v>
      </c>
      <c r="D25" s="462" t="s">
        <v>2829</v>
      </c>
      <c r="E25" s="469"/>
      <c r="F25" s="2833">
        <f>'数据-取费表'!B48+'数据-取费表'!B49</f>
        <v>3.0499999999999999E-2</v>
      </c>
      <c r="G25" s="2797" t="s">
        <v>2290</v>
      </c>
      <c r="H25" s="2790"/>
      <c r="I25" s="2790"/>
      <c r="J25" s="2790"/>
      <c r="K25" s="2791"/>
    </row>
    <row r="26" spans="1:14" s="2119" customFormat="1" ht="13.5" customHeight="1">
      <c r="A26" s="2827" t="s">
        <v>1862</v>
      </c>
      <c r="B26" s="3010" t="s">
        <v>2836</v>
      </c>
      <c r="C26" s="2834">
        <f ca="1">C28</f>
        <v>3887</v>
      </c>
      <c r="D26" s="467">
        <f ca="1">C27</f>
        <v>0.10009999999999999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21" customFormat="1" ht="13.5" customHeight="1">
      <c r="A27" s="803" t="s">
        <v>1857</v>
      </c>
      <c r="B27" s="2835" t="s">
        <v>496</v>
      </c>
      <c r="C27" s="2836">
        <f ca="1">ROUND(IF('数据-取费表'!B22&lt;=1,(1+C25)*F26*'数据-取费表'!B24,(1+C25)*(POWER((1+F26),'数据-取费表'!B24)-1)),4)</f>
        <v>0.10009999999999999</v>
      </c>
      <c r="D27" s="472"/>
      <c r="E27" s="473"/>
      <c r="F27" s="474"/>
      <c r="G27" s="2550" t="str">
        <f>IF('数据-取费表'!B22&lt;=1,"（1+取得税费率/(1+5%)）×年利率×建设期","（1+取得税费率）/(1+5%)×((1+年利率)^建设期-1)")</f>
        <v>（1+取得税费率）/(1+5%)×((1+年利率)^建设期-1)</v>
      </c>
      <c r="H27" s="2792"/>
      <c r="I27" s="2792"/>
      <c r="J27" s="2792"/>
      <c r="K27" s="279"/>
    </row>
    <row r="28" spans="1:14" s="2121" customFormat="1" ht="13.5" customHeight="1">
      <c r="A28" s="803" t="s">
        <v>1858</v>
      </c>
      <c r="B28" s="2835" t="s">
        <v>2838</v>
      </c>
      <c r="C28" s="2837">
        <f ca="1">ROUND(IF('数据-取费表'!B22&lt;=1,(C18+C19+C20+C23+C24)*F26*'数据-取费表'!B24/2,(C18+C19+C20+C23+C24)*(POWER((1+F26),'数据-取费表'!B24/2)-1)),0)</f>
        <v>3887</v>
      </c>
      <c r="D28" s="472"/>
      <c r="E28" s="473"/>
      <c r="F28" s="474"/>
      <c r="G28" s="2550" t="str">
        <f>IF('数据-取费表'!B22&lt;=1,"（1）-（4）项×年利率×建设期÷2","（1）-（4）项×((1+年利率)^(建设期÷2)-1)")</f>
        <v>（1）-（4）项×((1+年利率)^(建设期÷2)-1)</v>
      </c>
      <c r="H28" s="2792"/>
      <c r="I28" s="2792"/>
      <c r="J28" s="2792"/>
      <c r="K28" s="279"/>
    </row>
    <row r="29" spans="1:14" s="2121" customFormat="1" ht="13.5" customHeight="1">
      <c r="A29" s="2838" t="s">
        <v>1863</v>
      </c>
      <c r="B29" s="2828" t="s">
        <v>497</v>
      </c>
      <c r="C29" s="2829">
        <f ca="1">ROUND(C6*F29/(1+'数据-取费表'!C42),0)</f>
        <v>25615</v>
      </c>
      <c r="D29" s="468"/>
      <c r="E29" s="468"/>
      <c r="F29" s="3011">
        <f>'数据-取费表'!B41</f>
        <v>5.6000000000000001E-2</v>
      </c>
      <c r="G29" s="2798" t="s">
        <v>498</v>
      </c>
      <c r="H29" s="2790"/>
      <c r="I29" s="2790"/>
      <c r="J29" s="2790"/>
      <c r="K29" s="2791"/>
    </row>
    <row r="30" spans="1:14" s="2122" customFormat="1" ht="13.5" customHeight="1">
      <c r="A30" s="1636" t="s">
        <v>1864</v>
      </c>
      <c r="B30" s="2839" t="s">
        <v>500</v>
      </c>
      <c r="C30" s="2834">
        <f ca="1">C31</f>
        <v>111344</v>
      </c>
      <c r="D30" s="477">
        <f ca="1">C32</f>
        <v>0.12909999999999999</v>
      </c>
      <c r="E30" s="469" t="s">
        <v>495</v>
      </c>
      <c r="F30" s="471"/>
      <c r="G30" s="2797" t="s">
        <v>2975</v>
      </c>
      <c r="H30" s="2790"/>
      <c r="I30" s="2790"/>
      <c r="J30" s="2790"/>
      <c r="K30" s="2791"/>
    </row>
    <row r="31" spans="1:14" s="2121" customFormat="1" ht="13.5" customHeight="1">
      <c r="A31" s="803" t="s">
        <v>1857</v>
      </c>
      <c r="B31" s="2835"/>
      <c r="C31" s="450">
        <f ca="1">C18+C19+C20+C23+C24+C26+C29</f>
        <v>111344</v>
      </c>
      <c r="D31" s="472"/>
      <c r="E31" s="473"/>
      <c r="F31" s="474"/>
      <c r="G31" s="261"/>
      <c r="H31" s="2792"/>
      <c r="I31" s="2792"/>
      <c r="J31" s="2792"/>
      <c r="K31" s="279"/>
    </row>
    <row r="32" spans="1:14" s="2121" customFormat="1" ht="13.5" customHeight="1">
      <c r="A32" s="803" t="s">
        <v>1858</v>
      </c>
      <c r="B32" s="2835"/>
      <c r="C32" s="53">
        <f ca="1">ROUND(C25+D26,4)</f>
        <v>0.12909999999999999</v>
      </c>
      <c r="D32" s="472"/>
      <c r="E32" s="473"/>
      <c r="F32" s="474"/>
      <c r="G32" s="261"/>
      <c r="H32" s="2792"/>
      <c r="I32" s="2792"/>
      <c r="J32" s="2792"/>
      <c r="K32" s="279"/>
    </row>
    <row r="33" spans="1:11" s="2123" customFormat="1" ht="13.5" customHeight="1">
      <c r="A33" s="3008" t="s">
        <v>2833</v>
      </c>
      <c r="B33" s="3006" t="s">
        <v>2831</v>
      </c>
      <c r="C33" s="478">
        <f ca="1">C35</f>
        <v>4911</v>
      </c>
      <c r="D33" s="467">
        <f ca="1">C34</f>
        <v>6.1699999999999998E-2</v>
      </c>
      <c r="E33" s="469" t="s">
        <v>495</v>
      </c>
      <c r="F33" s="479">
        <f ca="1">IF(B1="",'数据-取费表'!Q16,INDIRECT("'数据-取费表'!q"&amp;$K$1))</f>
        <v>0.06</v>
      </c>
      <c r="G33" s="2793"/>
      <c r="H33" s="2794"/>
      <c r="I33" s="2794"/>
      <c r="J33" s="2794"/>
      <c r="K33" s="2795"/>
    </row>
    <row r="34" spans="1:11" s="2124" customFormat="1" ht="13.5" customHeight="1">
      <c r="A34" s="375" t="s">
        <v>1857</v>
      </c>
      <c r="B34" s="2840" t="s">
        <v>501</v>
      </c>
      <c r="C34" s="472">
        <f ca="1">ROUND((1+C25)*F33,4)</f>
        <v>6.1699999999999998E-2</v>
      </c>
      <c r="D34" s="472"/>
      <c r="E34" s="473"/>
      <c r="F34" s="480"/>
      <c r="G34" s="261" t="s">
        <v>2291</v>
      </c>
      <c r="H34" s="2792"/>
      <c r="I34" s="2792"/>
      <c r="J34" s="2792"/>
      <c r="K34" s="279"/>
    </row>
    <row r="35" spans="1:11" s="2124" customFormat="1" ht="13.5" customHeight="1" thickBot="1">
      <c r="A35" s="1637" t="s">
        <v>1858</v>
      </c>
      <c r="B35" s="3007" t="s">
        <v>2839</v>
      </c>
      <c r="C35" s="1629">
        <f ca="1">ROUND((C18+C19+C20+C23+C24)*F33,0)</f>
        <v>4911</v>
      </c>
      <c r="D35" s="1630"/>
      <c r="E35" s="2841"/>
      <c r="F35" s="1631"/>
      <c r="G35" s="2799"/>
      <c r="H35" s="2800"/>
      <c r="I35" s="2800"/>
      <c r="J35" s="2800"/>
      <c r="K35" s="2801"/>
    </row>
    <row r="36" spans="1:11" s="2086" customFormat="1" ht="13.5" customHeight="1" thickBot="1">
      <c r="A36" s="284" t="s">
        <v>1845</v>
      </c>
      <c r="B36" s="2803"/>
      <c r="C36" s="2842">
        <f ca="1">ROUND((C6-C30-C33)/(1+D30+D33),0)</f>
        <v>305706</v>
      </c>
      <c r="D36" s="2803"/>
      <c r="E36" s="2803"/>
      <c r="F36" s="2803"/>
      <c r="G36" s="2802" t="s">
        <v>2840</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2" t="str">
        <f>项目基本情况!B1</f>
        <v>出让国有建设用地使用权抵押价格预评估</v>
      </c>
      <c r="C37" s="3202"/>
      <c r="D37" s="3202"/>
      <c r="E37" s="3202"/>
      <c r="F37" s="3202"/>
      <c r="G37" s="3202"/>
      <c r="H37" s="3202"/>
      <c r="I37" s="3202"/>
    </row>
    <row r="38" spans="1:9">
      <c r="A38" s="1657"/>
      <c r="B38" s="1657"/>
    </row>
    <row r="39" spans="1:9">
      <c r="A39" s="1655" t="s">
        <v>1902</v>
      </c>
      <c r="B39" s="1655" t="s">
        <v>2047</v>
      </c>
    </row>
    <row r="40" spans="1:9">
      <c r="A40" s="1655"/>
      <c r="B40" s="1655" t="str">
        <f>项目基本情况!B5</f>
        <v>五矿信托</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王鹏、郑燚</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6"/>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65710</v>
      </c>
      <c r="D13" s="451"/>
      <c r="E13" s="365"/>
      <c r="F13" s="452"/>
      <c r="G13" s="444"/>
      <c r="H13" s="447"/>
      <c r="I13" s="447"/>
      <c r="J13" s="447"/>
      <c r="K13" s="448"/>
    </row>
    <row r="14" spans="1:41" s="2117" customFormat="1" ht="13.5" customHeight="1">
      <c r="A14" s="1634" t="s">
        <v>1850</v>
      </c>
      <c r="B14" s="449" t="s">
        <v>480</v>
      </c>
      <c r="C14" s="53">
        <f ca="1">ROUND(C13*F14,0)</f>
        <v>1971</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1575</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3671</v>
      </c>
      <c r="D16" s="451">
        <f ca="1">IF(B1="",'数据-汇总表'!E3,INDIRECT("'数据-取费表'!K"&amp;$K$1)+INDIRECT("'数据-取费表'!S"&amp;$K$1))</f>
        <v>183566.61000000002</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986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73913</v>
      </c>
      <c r="D18" s="461"/>
      <c r="E18" s="462"/>
      <c r="F18" s="462"/>
      <c r="G18" s="1327" t="s">
        <v>2433</v>
      </c>
      <c r="H18" s="447"/>
      <c r="I18" s="447"/>
      <c r="J18" s="447"/>
      <c r="K18" s="448"/>
    </row>
    <row r="19" spans="1:14" s="2120" customFormat="1" ht="13.5" customHeight="1">
      <c r="A19" s="1635" t="s">
        <v>1855</v>
      </c>
      <c r="B19" s="459" t="s">
        <v>493</v>
      </c>
      <c r="C19" s="460">
        <f ca="1">ROUND(C18*F19,0)</f>
        <v>1109</v>
      </c>
      <c r="D19" s="462"/>
      <c r="E19" s="462"/>
      <c r="F19" s="466">
        <f>'数据-取费表'!B37</f>
        <v>1.4999999999999999E-2</v>
      </c>
      <c r="G19" s="444" t="s">
        <v>503</v>
      </c>
      <c r="H19" s="447"/>
      <c r="I19" s="447"/>
      <c r="J19" s="447"/>
      <c r="K19" s="448"/>
      <c r="L19" s="2122"/>
      <c r="M19" s="2122"/>
      <c r="N19" s="2122"/>
    </row>
    <row r="20" spans="1:14" s="2120" customFormat="1" ht="13.5" customHeight="1">
      <c r="A20" s="1635" t="s">
        <v>1856</v>
      </c>
      <c r="B20" s="459" t="s">
        <v>504</v>
      </c>
      <c r="C20" s="3004">
        <f>F20</f>
        <v>0.01</v>
      </c>
      <c r="D20" s="469" t="s">
        <v>505</v>
      </c>
      <c r="E20" s="469"/>
      <c r="F20" s="486">
        <f>'数据-取费表'!B38</f>
        <v>0.01</v>
      </c>
      <c r="G20" s="1327" t="s">
        <v>506</v>
      </c>
      <c r="H20" s="447"/>
      <c r="I20" s="447"/>
      <c r="J20" s="447"/>
      <c r="K20" s="448"/>
      <c r="L20" s="2122"/>
      <c r="M20" s="2122"/>
      <c r="N20" s="2122"/>
    </row>
    <row r="21" spans="1:14" s="2122" customFormat="1" ht="13.5" customHeight="1">
      <c r="A21" s="1635" t="s">
        <v>1859</v>
      </c>
      <c r="B21" s="461" t="s">
        <v>494</v>
      </c>
      <c r="C21" s="470">
        <f ca="1">C22</f>
        <v>3564</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3564</v>
      </c>
      <c r="D22" s="472"/>
      <c r="E22" s="473"/>
      <c r="F22" s="474"/>
      <c r="G22" s="2545"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5.0000000000000001E-4</v>
      </c>
      <c r="D23" s="472"/>
      <c r="E23" s="473"/>
      <c r="F23" s="474"/>
      <c r="G23" s="2545"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6" t="s">
        <v>2832</v>
      </c>
      <c r="C24" s="478">
        <f ca="1">C25</f>
        <v>4501</v>
      </c>
      <c r="D24" s="489">
        <f ca="1">C26</f>
        <v>5.9999999999999995E-4</v>
      </c>
      <c r="E24" s="469" t="s">
        <v>507</v>
      </c>
      <c r="F24" s="479">
        <f ca="1">IF(B1="",'数据-取费表'!Q16,INDIRECT("'数据-取费表'!q"&amp;$K$1))</f>
        <v>0.06</v>
      </c>
      <c r="G24" s="444"/>
      <c r="H24" s="447"/>
      <c r="I24" s="447"/>
      <c r="J24" s="447"/>
      <c r="K24" s="448"/>
    </row>
    <row r="25" spans="1:14" s="2121" customFormat="1" ht="13.5" customHeight="1">
      <c r="A25" s="1634" t="s">
        <v>1849</v>
      </c>
      <c r="B25" s="1328" t="s">
        <v>2437</v>
      </c>
      <c r="C25" s="490">
        <f ca="1">ROUND((C18+C19)*F24,0)</f>
        <v>4501</v>
      </c>
      <c r="D25" s="472"/>
      <c r="E25" s="473"/>
      <c r="F25" s="480"/>
      <c r="G25" s="1326" t="s">
        <v>2434</v>
      </c>
      <c r="H25" s="457"/>
      <c r="I25" s="457"/>
      <c r="J25" s="457"/>
      <c r="K25" s="458"/>
    </row>
    <row r="26" spans="1:14" s="2121" customFormat="1" ht="13.5" customHeight="1">
      <c r="A26" s="1634" t="s">
        <v>1850</v>
      </c>
      <c r="B26" s="1328" t="s">
        <v>509</v>
      </c>
      <c r="C26" s="491">
        <f ca="1">ROUND(F20*F24,4)</f>
        <v>5.9999999999999995E-4</v>
      </c>
      <c r="D26" s="472"/>
      <c r="E26" s="481"/>
      <c r="F26" s="480"/>
      <c r="G26" s="1326" t="s">
        <v>510</v>
      </c>
      <c r="H26" s="457"/>
      <c r="I26" s="457"/>
      <c r="J26" s="457"/>
      <c r="K26" s="458"/>
    </row>
    <row r="27" spans="1:14" s="2121" customFormat="1" ht="13.5" customHeight="1">
      <c r="A27" s="1638" t="s">
        <v>1868</v>
      </c>
      <c r="B27" s="459" t="s">
        <v>511</v>
      </c>
      <c r="C27" s="3005">
        <f>ROUND(F27/(1+'数据-取费表'!C42),4)</f>
        <v>5.33E-2</v>
      </c>
      <c r="D27" s="462" t="s">
        <v>2830</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88806</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0"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6" t="s">
        <v>522</v>
      </c>
      <c r="D6" s="3377"/>
      <c r="E6" s="3410" t="s">
        <v>523</v>
      </c>
      <c r="F6" s="3411"/>
      <c r="G6" s="3376" t="s">
        <v>524</v>
      </c>
      <c r="H6" s="3377"/>
      <c r="I6" s="3376" t="s">
        <v>525</v>
      </c>
      <c r="J6" s="3377"/>
      <c r="K6" s="514" t="s">
        <v>526</v>
      </c>
      <c r="L6" s="2134"/>
      <c r="M6" s="2135"/>
      <c r="N6" s="2135"/>
      <c r="O6" s="2135"/>
      <c r="P6" s="3378" t="s">
        <v>527</v>
      </c>
      <c r="Q6" s="3379"/>
      <c r="R6" s="3384" t="s">
        <v>523</v>
      </c>
      <c r="S6" s="3385"/>
      <c r="T6" s="3384" t="s">
        <v>524</v>
      </c>
      <c r="U6" s="3385"/>
      <c r="V6" s="3371" t="s">
        <v>525</v>
      </c>
      <c r="W6" s="3371"/>
      <c r="X6" s="1568"/>
      <c r="Y6" s="3384" t="s">
        <v>527</v>
      </c>
      <c r="Z6" s="3385"/>
      <c r="AA6" s="3373" t="s">
        <v>523</v>
      </c>
      <c r="AB6" s="3374" t="s">
        <v>524</v>
      </c>
      <c r="AC6" s="3373" t="s">
        <v>525</v>
      </c>
    </row>
    <row r="7" spans="1:29" ht="15">
      <c r="A7" s="515"/>
      <c r="B7" s="516"/>
      <c r="C7" s="3392" t="s">
        <v>2930</v>
      </c>
      <c r="D7" s="3393"/>
      <c r="E7" s="3412" t="s">
        <v>2931</v>
      </c>
      <c r="F7" s="3413"/>
      <c r="G7" s="3392" t="s">
        <v>2932</v>
      </c>
      <c r="H7" s="3393"/>
      <c r="I7" s="3392" t="s">
        <v>2933</v>
      </c>
      <c r="J7" s="3393"/>
      <c r="K7" s="514"/>
      <c r="L7" s="2134"/>
      <c r="M7" s="2135"/>
      <c r="N7" s="2135"/>
      <c r="O7" s="2135"/>
      <c r="P7" s="3380"/>
      <c r="Q7" s="3381"/>
      <c r="R7" s="3386"/>
      <c r="S7" s="3387"/>
      <c r="T7" s="3386"/>
      <c r="U7" s="3387"/>
      <c r="V7" s="3371"/>
      <c r="W7" s="3371"/>
      <c r="X7" s="1568"/>
      <c r="Y7" s="3386"/>
      <c r="Z7" s="3387"/>
      <c r="AA7" s="3374"/>
      <c r="AB7" s="3374"/>
      <c r="AC7" s="3374"/>
    </row>
    <row r="8" spans="1:29" ht="15.75" thickBot="1">
      <c r="A8" s="517"/>
      <c r="B8" s="518"/>
      <c r="C8" s="3390" t="s">
        <v>2934</v>
      </c>
      <c r="D8" s="3391"/>
      <c r="E8" s="3408" t="s">
        <v>2934</v>
      </c>
      <c r="F8" s="3409"/>
      <c r="G8" s="3390" t="s">
        <v>2934</v>
      </c>
      <c r="H8" s="3391"/>
      <c r="I8" s="3390" t="s">
        <v>2934</v>
      </c>
      <c r="J8" s="3391"/>
      <c r="K8" s="514" t="s">
        <v>528</v>
      </c>
      <c r="L8" s="2134"/>
      <c r="M8" s="2135"/>
      <c r="N8" s="2135"/>
      <c r="O8" s="2135"/>
      <c r="P8" s="3382"/>
      <c r="Q8" s="3383"/>
      <c r="R8" s="3386"/>
      <c r="S8" s="3387"/>
      <c r="T8" s="3388"/>
      <c r="U8" s="3389"/>
      <c r="V8" s="3371"/>
      <c r="W8" s="3371"/>
      <c r="X8" s="1568"/>
      <c r="Y8" s="3388"/>
      <c r="Z8" s="3389"/>
      <c r="AA8" s="3375"/>
      <c r="AB8" s="3375"/>
      <c r="AC8" s="3375"/>
    </row>
    <row r="9" spans="1:29" s="1220" customFormat="1" ht="15.75" thickBot="1">
      <c r="A9" s="2889"/>
      <c r="B9" s="2896" t="s">
        <v>529</v>
      </c>
      <c r="C9" s="519">
        <f>'数据-取费表'!B2</f>
        <v>43490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01" t="s">
        <v>530</v>
      </c>
      <c r="Q9" s="3403"/>
      <c r="R9" s="1569" t="s">
        <v>8</v>
      </c>
      <c r="S9" s="1570">
        <f t="shared" ref="S9:S17" si="0">F9</f>
        <v>0</v>
      </c>
      <c r="T9" s="1569" t="s">
        <v>8</v>
      </c>
      <c r="U9" s="1570">
        <f t="shared" ref="U9:U17" si="1">H9</f>
        <v>0</v>
      </c>
      <c r="V9" s="1569" t="s">
        <v>8</v>
      </c>
      <c r="W9" s="1570">
        <f t="shared" ref="W9:W17" si="2">J9</f>
        <v>0</v>
      </c>
      <c r="X9" s="1571"/>
      <c r="Y9" s="3401" t="s">
        <v>530</v>
      </c>
      <c r="Z9" s="3402"/>
      <c r="AA9" s="1572" t="e">
        <f>D9/F9</f>
        <v>#DIV/0!</v>
      </c>
      <c r="AB9" s="1572" t="e">
        <f>D9/H9</f>
        <v>#DIV/0!</v>
      </c>
      <c r="AC9" s="1572" t="e">
        <f>D9/J9</f>
        <v>#DIV/0!</v>
      </c>
    </row>
    <row r="10" spans="1:29" s="1220"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01" t="s">
        <v>533</v>
      </c>
      <c r="Q10" s="3402"/>
      <c r="R10" s="1569" t="s">
        <v>8</v>
      </c>
      <c r="S10" s="1570">
        <f t="shared" si="0"/>
        <v>0</v>
      </c>
      <c r="T10" s="1569" t="s">
        <v>8</v>
      </c>
      <c r="U10" s="1570">
        <f t="shared" si="1"/>
        <v>0</v>
      </c>
      <c r="V10" s="1569" t="s">
        <v>8</v>
      </c>
      <c r="W10" s="1570">
        <f t="shared" si="2"/>
        <v>0</v>
      </c>
      <c r="X10" s="1571"/>
      <c r="Y10" s="3401" t="s">
        <v>533</v>
      </c>
      <c r="Z10" s="3402"/>
      <c r="AA10" s="1572" t="e">
        <f t="shared" ref="AA10:AA42" si="3">D10/F10</f>
        <v>#DIV/0!</v>
      </c>
      <c r="AB10" s="1572" t="e">
        <f t="shared" ref="AB10:AB42" si="4">D10/H10</f>
        <v>#DIV/0!</v>
      </c>
      <c r="AC10" s="1572" t="e">
        <f t="shared" ref="AC10:AC42" si="5">D10/J10</f>
        <v>#DIV/0!</v>
      </c>
    </row>
    <row r="11" spans="1:29" s="1220" customFormat="1" ht="15">
      <c r="A11" s="2891"/>
      <c r="B11" s="2898"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0" t="s">
        <v>535</v>
      </c>
      <c r="Q11" s="1151" t="str">
        <f t="shared" ref="Q11:Q17" si="6">B11</f>
        <v>用途</v>
      </c>
      <c r="R11" s="1569" t="s">
        <v>8</v>
      </c>
      <c r="S11" s="1570">
        <f t="shared" si="0"/>
        <v>100</v>
      </c>
      <c r="T11" s="1569" t="s">
        <v>8</v>
      </c>
      <c r="U11" s="1570">
        <f t="shared" si="1"/>
        <v>100</v>
      </c>
      <c r="V11" s="1569" t="s">
        <v>8</v>
      </c>
      <c r="W11" s="1570">
        <f t="shared" si="2"/>
        <v>100</v>
      </c>
      <c r="X11" s="1571"/>
      <c r="Y11" s="3316" t="s">
        <v>536</v>
      </c>
      <c r="Z11" s="1150" t="str">
        <f t="shared" ref="Z11:Z17" si="7">Q11</f>
        <v>用途</v>
      </c>
      <c r="AA11" s="1572">
        <f t="shared" si="3"/>
        <v>1</v>
      </c>
      <c r="AB11" s="1572">
        <f t="shared" si="4"/>
        <v>1</v>
      </c>
      <c r="AC11" s="1572">
        <f t="shared" si="5"/>
        <v>1</v>
      </c>
    </row>
    <row r="12" spans="1:29" s="1338" customFormat="1" ht="27">
      <c r="A12" s="2892"/>
      <c r="B12" s="2897"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70"/>
      <c r="Q12" s="1151" t="str">
        <f t="shared" si="6"/>
        <v>土地使用年限（年）</v>
      </c>
      <c r="R12" s="1569" t="s">
        <v>8</v>
      </c>
      <c r="S12" s="1570">
        <f t="shared" si="0"/>
        <v>100</v>
      </c>
      <c r="T12" s="1569" t="s">
        <v>8</v>
      </c>
      <c r="U12" s="1570">
        <f t="shared" si="1"/>
        <v>100</v>
      </c>
      <c r="V12" s="1569" t="s">
        <v>8</v>
      </c>
      <c r="W12" s="1570">
        <f t="shared" si="2"/>
        <v>100</v>
      </c>
      <c r="X12" s="1571"/>
      <c r="Y12" s="3316"/>
      <c r="Z12" s="1150" t="str">
        <f t="shared" si="7"/>
        <v>土地使用年限（年）</v>
      </c>
      <c r="AA12" s="1572">
        <f t="shared" si="3"/>
        <v>1</v>
      </c>
      <c r="AB12" s="1572">
        <f t="shared" si="4"/>
        <v>1</v>
      </c>
      <c r="AC12" s="1572">
        <f t="shared" si="5"/>
        <v>1</v>
      </c>
    </row>
    <row r="13" spans="1:29" ht="15">
      <c r="A13" s="2893"/>
      <c r="B13" s="2897"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0"/>
      <c r="Q13" s="1151" t="str">
        <f t="shared" si="6"/>
        <v>容积率</v>
      </c>
      <c r="R13" s="1569" t="s">
        <v>8</v>
      </c>
      <c r="S13" s="1570" t="e">
        <f t="shared" si="0"/>
        <v>#N/A</v>
      </c>
      <c r="T13" s="1569" t="s">
        <v>8</v>
      </c>
      <c r="U13" s="1570" t="e">
        <f t="shared" si="1"/>
        <v>#N/A</v>
      </c>
      <c r="V13" s="1569" t="s">
        <v>8</v>
      </c>
      <c r="W13" s="1570" t="e">
        <f t="shared" si="2"/>
        <v>#N/A</v>
      </c>
      <c r="X13" s="1571"/>
      <c r="Y13" s="3316"/>
      <c r="Z13" s="1150" t="str">
        <f t="shared" si="7"/>
        <v>容积率</v>
      </c>
      <c r="AA13" s="1572" t="e">
        <f t="shared" si="3"/>
        <v>#N/A</v>
      </c>
      <c r="AB13" s="1572" t="e">
        <f t="shared" si="4"/>
        <v>#N/A</v>
      </c>
      <c r="AC13" s="1572" t="e">
        <f t="shared" si="5"/>
        <v>#N/A</v>
      </c>
    </row>
    <row r="14" spans="1:29" s="1220"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0"/>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D14/F14</f>
        <v>1</v>
      </c>
      <c r="AB14" s="1572">
        <f>D14/H14</f>
        <v>1</v>
      </c>
      <c r="AC14" s="1572">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0"/>
      <c r="Q15" s="1151">
        <f t="shared" si="6"/>
        <v>111</v>
      </c>
      <c r="R15" s="1569" t="s">
        <v>8</v>
      </c>
      <c r="S15" s="1570">
        <f t="shared" si="0"/>
        <v>100</v>
      </c>
      <c r="T15" s="1569" t="s">
        <v>8</v>
      </c>
      <c r="U15" s="1570">
        <f t="shared" si="1"/>
        <v>100</v>
      </c>
      <c r="V15" s="1569" t="s">
        <v>8</v>
      </c>
      <c r="W15" s="1570">
        <f t="shared" si="2"/>
        <v>100</v>
      </c>
      <c r="X15" s="1571"/>
      <c r="Y15" s="3316"/>
      <c r="Z15" s="1150">
        <f t="shared" si="7"/>
        <v>111</v>
      </c>
      <c r="AA15" s="1572">
        <f t="shared" si="3"/>
        <v>1</v>
      </c>
      <c r="AB15" s="1572">
        <f t="shared" si="4"/>
        <v>1</v>
      </c>
      <c r="AC15" s="1572">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0"/>
      <c r="Q16" s="1151">
        <f t="shared" si="6"/>
        <v>111</v>
      </c>
      <c r="R16" s="1569" t="s">
        <v>8</v>
      </c>
      <c r="S16" s="1570">
        <f t="shared" si="0"/>
        <v>100</v>
      </c>
      <c r="T16" s="1569" t="s">
        <v>8</v>
      </c>
      <c r="U16" s="1570">
        <f t="shared" si="1"/>
        <v>100</v>
      </c>
      <c r="V16" s="1569" t="s">
        <v>8</v>
      </c>
      <c r="W16" s="1570">
        <f t="shared" si="2"/>
        <v>100</v>
      </c>
      <c r="X16" s="1571"/>
      <c r="Y16" s="3316"/>
      <c r="Z16" s="1150">
        <f t="shared" si="7"/>
        <v>111</v>
      </c>
      <c r="AA16" s="1572">
        <f t="shared" si="3"/>
        <v>1</v>
      </c>
      <c r="AB16" s="1572">
        <f t="shared" si="4"/>
        <v>1</v>
      </c>
      <c r="AC16" s="1572">
        <f t="shared" si="5"/>
        <v>1</v>
      </c>
    </row>
    <row r="17" spans="1:29" ht="57">
      <c r="A17" s="2887"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04" t="s">
        <v>540</v>
      </c>
      <c r="Q17" s="1573" t="str">
        <f t="shared" si="6"/>
        <v>产业集聚程度</v>
      </c>
      <c r="R17" s="1574" t="s">
        <v>8</v>
      </c>
      <c r="S17" s="1575">
        <f t="shared" si="0"/>
        <v>100</v>
      </c>
      <c r="T17" s="1574" t="s">
        <v>8</v>
      </c>
      <c r="U17" s="1575">
        <f t="shared" si="1"/>
        <v>100</v>
      </c>
      <c r="V17" s="1574" t="s">
        <v>8</v>
      </c>
      <c r="W17" s="1575">
        <f t="shared" si="2"/>
        <v>100</v>
      </c>
      <c r="X17" s="1568"/>
      <c r="Y17" s="340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05"/>
      <c r="Q18" s="1573"/>
      <c r="R18" s="1574"/>
      <c r="S18" s="1575"/>
      <c r="T18" s="1574"/>
      <c r="U18" s="1575"/>
      <c r="V18" s="1574"/>
      <c r="W18" s="1575"/>
      <c r="X18" s="1568"/>
      <c r="Y18" s="340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5"/>
      <c r="Q19" s="1573" t="str">
        <f>B19</f>
        <v>交通便捷度</v>
      </c>
      <c r="R19" s="1574" t="s">
        <v>8</v>
      </c>
      <c r="S19" s="1575">
        <f>F19</f>
        <v>100</v>
      </c>
      <c r="T19" s="1574" t="s">
        <v>8</v>
      </c>
      <c r="U19" s="1575">
        <f>H19</f>
        <v>100</v>
      </c>
      <c r="V19" s="1574" t="s">
        <v>8</v>
      </c>
      <c r="W19" s="1575">
        <f>J19</f>
        <v>100</v>
      </c>
      <c r="X19" s="1568"/>
      <c r="Y19" s="340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5"/>
      <c r="Q21" s="1573" t="str">
        <f t="shared" ref="Q21:Q35" si="8">B21</f>
        <v>区域土地利用方向</v>
      </c>
      <c r="R21" s="1574" t="s">
        <v>8</v>
      </c>
      <c r="S21" s="1575">
        <f>F21</f>
        <v>100</v>
      </c>
      <c r="T21" s="1574" t="s">
        <v>8</v>
      </c>
      <c r="U21" s="1575">
        <f>H21</f>
        <v>100</v>
      </c>
      <c r="V21" s="1574" t="s">
        <v>8</v>
      </c>
      <c r="W21" s="1575">
        <f>J21</f>
        <v>100</v>
      </c>
      <c r="X21" s="1568"/>
      <c r="Y21" s="340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05"/>
      <c r="Q22" s="1573"/>
      <c r="R22" s="1574"/>
      <c r="S22" s="1575"/>
      <c r="T22" s="1574"/>
      <c r="U22" s="1575"/>
      <c r="V22" s="1574"/>
      <c r="W22" s="1575"/>
      <c r="X22" s="1568"/>
      <c r="Y22" s="340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5"/>
      <c r="Q23" s="1573" t="str">
        <f t="shared" si="8"/>
        <v>环境状况</v>
      </c>
      <c r="R23" s="1574" t="s">
        <v>8</v>
      </c>
      <c r="S23" s="1575">
        <f>F23</f>
        <v>100</v>
      </c>
      <c r="T23" s="1574" t="s">
        <v>8</v>
      </c>
      <c r="U23" s="1575">
        <f>H23</f>
        <v>100</v>
      </c>
      <c r="V23" s="1574" t="s">
        <v>8</v>
      </c>
      <c r="W23" s="1575">
        <f>J23</f>
        <v>100</v>
      </c>
      <c r="X23" s="1568"/>
      <c r="Y23" s="340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05"/>
      <c r="Q24" s="1573"/>
      <c r="R24" s="1574"/>
      <c r="S24" s="1575"/>
      <c r="T24" s="1574"/>
      <c r="U24" s="1575"/>
      <c r="V24" s="1574"/>
      <c r="W24" s="1575"/>
      <c r="X24" s="1568"/>
      <c r="Y24" s="3405"/>
      <c r="Z24" s="1576"/>
      <c r="AA24" s="1577">
        <v>1</v>
      </c>
      <c r="AB24" s="1577">
        <v>1</v>
      </c>
      <c r="AC24" s="1577">
        <v>1</v>
      </c>
    </row>
    <row r="25" spans="1:29" s="1220" customFormat="1" ht="42.75">
      <c r="A25" s="577"/>
      <c r="B25" s="2571"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5"/>
      <c r="Q25" s="1151" t="str">
        <f t="shared" si="8"/>
        <v>公共配套设施</v>
      </c>
      <c r="R25" s="1569" t="s">
        <v>8</v>
      </c>
      <c r="S25" s="1570">
        <f>F25</f>
        <v>100</v>
      </c>
      <c r="T25" s="1569" t="s">
        <v>8</v>
      </c>
      <c r="U25" s="1570">
        <f>H25</f>
        <v>100</v>
      </c>
      <c r="V25" s="1569" t="s">
        <v>8</v>
      </c>
      <c r="W25" s="1570">
        <f>J25</f>
        <v>100</v>
      </c>
      <c r="X25" s="1571"/>
      <c r="Y25" s="3405"/>
      <c r="Z25" s="1150" t="str">
        <f>Q25</f>
        <v>公共配套设施</v>
      </c>
      <c r="AA25" s="1577">
        <f>D25/F25</f>
        <v>1</v>
      </c>
      <c r="AB25" s="1577">
        <f>D25/H25</f>
        <v>1</v>
      </c>
      <c r="AC25" s="1577">
        <f>D25/J25</f>
        <v>1</v>
      </c>
    </row>
    <row r="26" spans="1:29" s="1220" customFormat="1" ht="15">
      <c r="A26" s="577"/>
      <c r="B26" s="595"/>
      <c r="C26" s="2570"/>
      <c r="D26" s="555"/>
      <c r="E26" s="554"/>
      <c r="F26" s="555"/>
      <c r="G26" s="554"/>
      <c r="H26" s="555"/>
      <c r="I26" s="576"/>
      <c r="J26" s="555"/>
      <c r="K26" s="531"/>
      <c r="L26" s="2136"/>
      <c r="M26" s="2137"/>
      <c r="N26" s="2137"/>
      <c r="O26" s="2138"/>
      <c r="P26" s="3405"/>
      <c r="Q26" s="1151"/>
      <c r="R26" s="1569"/>
      <c r="S26" s="1570"/>
      <c r="T26" s="1569"/>
      <c r="U26" s="1570"/>
      <c r="V26" s="1569"/>
      <c r="W26" s="1570"/>
      <c r="X26" s="1571"/>
      <c r="Y26" s="3405"/>
      <c r="Z26" s="1150"/>
      <c r="AA26" s="1572">
        <v>1</v>
      </c>
      <c r="AB26" s="1572">
        <v>1</v>
      </c>
      <c r="AC26" s="1572">
        <v>1</v>
      </c>
    </row>
    <row r="27" spans="1:29" s="1220" customFormat="1" ht="28.5">
      <c r="A27" s="577"/>
      <c r="B27" s="2571"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5"/>
      <c r="Q27" s="2556" t="str">
        <f t="shared" ref="Q27" si="9">B27</f>
        <v>基础设施水平</v>
      </c>
      <c r="R27" s="1569" t="s">
        <v>8</v>
      </c>
      <c r="S27" s="1570">
        <f>F27</f>
        <v>100</v>
      </c>
      <c r="T27" s="1569" t="s">
        <v>8</v>
      </c>
      <c r="U27" s="1570">
        <f>H27</f>
        <v>100</v>
      </c>
      <c r="V27" s="1569" t="s">
        <v>8</v>
      </c>
      <c r="W27" s="1570">
        <f>J27</f>
        <v>100</v>
      </c>
      <c r="X27" s="1571"/>
      <c r="Y27" s="3405"/>
      <c r="Z27" s="2553" t="str">
        <f>Q27</f>
        <v>基础设施水平</v>
      </c>
      <c r="AA27" s="1577">
        <f>D27/F27</f>
        <v>1</v>
      </c>
      <c r="AB27" s="1577">
        <f>D27/H27</f>
        <v>1</v>
      </c>
      <c r="AC27" s="1577">
        <f>D27/J27</f>
        <v>1</v>
      </c>
    </row>
    <row r="28" spans="1:29" s="1220" customFormat="1" ht="15">
      <c r="A28" s="577"/>
      <c r="B28" s="595"/>
      <c r="C28" s="2570"/>
      <c r="D28" s="555"/>
      <c r="E28" s="579"/>
      <c r="F28" s="555"/>
      <c r="G28" s="579"/>
      <c r="H28" s="555"/>
      <c r="I28" s="579"/>
      <c r="J28" s="555"/>
      <c r="K28" s="531"/>
      <c r="L28" s="2136"/>
      <c r="M28" s="2137"/>
      <c r="N28" s="2137"/>
      <c r="O28" s="2138"/>
      <c r="P28" s="3405"/>
      <c r="Q28" s="2556"/>
      <c r="R28" s="1569"/>
      <c r="S28" s="1570"/>
      <c r="T28" s="1569"/>
      <c r="U28" s="1570"/>
      <c r="V28" s="1569"/>
      <c r="W28" s="1570"/>
      <c r="X28" s="1571"/>
      <c r="Y28" s="3405"/>
      <c r="Z28" s="2553"/>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5"/>
      <c r="Z29" s="1576" t="str">
        <f t="shared" ref="Z29:Z42" si="13">Q29</f>
        <v>临街状况</v>
      </c>
      <c r="AA29" s="1577">
        <f t="shared" si="3"/>
        <v>1</v>
      </c>
      <c r="AB29" s="1577">
        <f t="shared" si="4"/>
        <v>1</v>
      </c>
      <c r="AC29" s="1577">
        <f t="shared" si="5"/>
        <v>1</v>
      </c>
    </row>
    <row r="30" spans="1:29" ht="27">
      <c r="A30" s="532"/>
      <c r="B30" s="922"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5"/>
      <c r="Q30" s="1573" t="str">
        <f t="shared" si="8"/>
        <v>毗邻道路的类型与等级</v>
      </c>
      <c r="R30" s="1574" t="s">
        <v>8</v>
      </c>
      <c r="S30" s="1575">
        <f t="shared" si="10"/>
        <v>100</v>
      </c>
      <c r="T30" s="1574" t="s">
        <v>8</v>
      </c>
      <c r="U30" s="1575">
        <f t="shared" si="11"/>
        <v>100</v>
      </c>
      <c r="V30" s="1574" t="s">
        <v>8</v>
      </c>
      <c r="W30" s="1575">
        <f t="shared" si="12"/>
        <v>100</v>
      </c>
      <c r="X30" s="1568"/>
      <c r="Y30" s="340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05"/>
      <c r="Q31" s="1573"/>
      <c r="R31" s="1574"/>
      <c r="S31" s="1575"/>
      <c r="T31" s="1574"/>
      <c r="U31" s="1575"/>
      <c r="V31" s="1574"/>
      <c r="W31" s="1575"/>
      <c r="X31" s="1568"/>
      <c r="Y31" s="3405"/>
      <c r="Z31" s="1576"/>
      <c r="AA31" s="1577">
        <v>1</v>
      </c>
      <c r="AB31" s="1577">
        <v>1</v>
      </c>
      <c r="AC31" s="1577">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5"/>
      <c r="Q32" s="1573" t="str">
        <f t="shared" si="8"/>
        <v>土地级别</v>
      </c>
      <c r="R32" s="1574" t="s">
        <v>8</v>
      </c>
      <c r="S32" s="1575">
        <f t="shared" si="10"/>
        <v>100</v>
      </c>
      <c r="T32" s="1574" t="s">
        <v>8</v>
      </c>
      <c r="U32" s="1575">
        <f t="shared" si="11"/>
        <v>100</v>
      </c>
      <c r="V32" s="1574" t="s">
        <v>8</v>
      </c>
      <c r="W32" s="1575">
        <f t="shared" si="12"/>
        <v>100</v>
      </c>
      <c r="X32" s="1568"/>
      <c r="Y32" s="340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5"/>
      <c r="Q33" s="1573">
        <f t="shared" si="8"/>
        <v>111</v>
      </c>
      <c r="R33" s="1574" t="s">
        <v>8</v>
      </c>
      <c r="S33" s="1575">
        <f t="shared" si="10"/>
        <v>100</v>
      </c>
      <c r="T33" s="1574" t="s">
        <v>8</v>
      </c>
      <c r="U33" s="1575">
        <f t="shared" si="11"/>
        <v>100</v>
      </c>
      <c r="V33" s="1574" t="s">
        <v>8</v>
      </c>
      <c r="W33" s="1575">
        <f t="shared" si="12"/>
        <v>100</v>
      </c>
      <c r="X33" s="1568"/>
      <c r="Y33" s="340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6" t="s">
        <v>550</v>
      </c>
      <c r="Q34" s="1573">
        <f t="shared" si="8"/>
        <v>111</v>
      </c>
      <c r="R34" s="1574" t="s">
        <v>8</v>
      </c>
      <c r="S34" s="1575">
        <f t="shared" si="10"/>
        <v>100</v>
      </c>
      <c r="T34" s="1574" t="s">
        <v>8</v>
      </c>
      <c r="U34" s="1575">
        <f t="shared" si="11"/>
        <v>100</v>
      </c>
      <c r="V34" s="1574" t="s">
        <v>8</v>
      </c>
      <c r="W34" s="1575">
        <f t="shared" si="12"/>
        <v>100</v>
      </c>
      <c r="X34" s="1568"/>
      <c r="Y34" s="3407" t="s">
        <v>550</v>
      </c>
      <c r="Z34" s="1576">
        <f t="shared" si="13"/>
        <v>111</v>
      </c>
      <c r="AA34" s="1577">
        <f t="shared" si="3"/>
        <v>1</v>
      </c>
      <c r="AB34" s="1577">
        <f t="shared" si="4"/>
        <v>1</v>
      </c>
      <c r="AC34" s="1577">
        <f t="shared" si="5"/>
        <v>1</v>
      </c>
    </row>
    <row r="35" spans="1:29" s="1339"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7"/>
      <c r="Q35" s="1573">
        <f t="shared" si="8"/>
        <v>111</v>
      </c>
      <c r="R35" s="1578" t="s">
        <v>8</v>
      </c>
      <c r="S35" s="1579">
        <f t="shared" si="10"/>
        <v>100</v>
      </c>
      <c r="T35" s="1578" t="s">
        <v>8</v>
      </c>
      <c r="U35" s="1579">
        <f t="shared" si="11"/>
        <v>100</v>
      </c>
      <c r="V35" s="1578" t="s">
        <v>8</v>
      </c>
      <c r="W35" s="1579">
        <f t="shared" si="12"/>
        <v>100</v>
      </c>
      <c r="X35" s="1580"/>
      <c r="Y35" s="3407"/>
      <c r="Z35" s="1581">
        <f t="shared" si="13"/>
        <v>111</v>
      </c>
      <c r="AA35" s="1577">
        <f t="shared" si="3"/>
        <v>1</v>
      </c>
      <c r="AB35" s="1577">
        <f t="shared" si="4"/>
        <v>1</v>
      </c>
      <c r="AC35" s="1577">
        <f t="shared" si="5"/>
        <v>1</v>
      </c>
    </row>
    <row r="36" spans="1:29" ht="15">
      <c r="A36" s="2884"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7"/>
      <c r="Q36" s="1573" t="str">
        <f>B36</f>
        <v>宗地面积</v>
      </c>
      <c r="R36" s="1574" t="s">
        <v>8</v>
      </c>
      <c r="S36" s="1575" t="e">
        <f t="shared" si="10"/>
        <v>#N/A</v>
      </c>
      <c r="T36" s="1574" t="s">
        <v>8</v>
      </c>
      <c r="U36" s="1575" t="e">
        <f t="shared" si="11"/>
        <v>#N/A</v>
      </c>
      <c r="V36" s="1574" t="s">
        <v>8</v>
      </c>
      <c r="W36" s="1575" t="e">
        <f t="shared" si="12"/>
        <v>#N/A</v>
      </c>
      <c r="X36" s="1568"/>
      <c r="Y36" s="340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7"/>
      <c r="Q37" s="1573" t="str">
        <f t="shared" ref="Q37:Q42" si="14">B37</f>
        <v>宗地形状</v>
      </c>
      <c r="R37" s="1574" t="s">
        <v>8</v>
      </c>
      <c r="S37" s="1575">
        <f t="shared" si="10"/>
        <v>100</v>
      </c>
      <c r="T37" s="1574" t="s">
        <v>8</v>
      </c>
      <c r="U37" s="1575">
        <f t="shared" si="11"/>
        <v>100</v>
      </c>
      <c r="V37" s="1574" t="s">
        <v>8</v>
      </c>
      <c r="W37" s="1575">
        <f t="shared" si="12"/>
        <v>100</v>
      </c>
      <c r="X37" s="1568"/>
      <c r="Y37" s="3407"/>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7"/>
      <c r="Q38" s="1573" t="str">
        <f t="shared" si="14"/>
        <v>宗地开发程度</v>
      </c>
      <c r="R38" s="1569" t="s">
        <v>8</v>
      </c>
      <c r="S38" s="1570">
        <f t="shared" si="10"/>
        <v>100</v>
      </c>
      <c r="T38" s="1569" t="s">
        <v>8</v>
      </c>
      <c r="U38" s="1570">
        <f t="shared" si="11"/>
        <v>100</v>
      </c>
      <c r="V38" s="1569" t="s">
        <v>8</v>
      </c>
      <c r="W38" s="1570">
        <f t="shared" si="12"/>
        <v>100</v>
      </c>
      <c r="X38" s="1571"/>
      <c r="Y38" s="340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7" t="s">
        <v>601</v>
      </c>
      <c r="Q39" s="1573" t="str">
        <f t="shared" si="14"/>
        <v>工程地质条件</v>
      </c>
      <c r="R39" s="1574" t="s">
        <v>8</v>
      </c>
      <c r="S39" s="1575">
        <f t="shared" si="10"/>
        <v>100</v>
      </c>
      <c r="T39" s="1574" t="s">
        <v>8</v>
      </c>
      <c r="U39" s="1575">
        <f t="shared" si="11"/>
        <v>100</v>
      </c>
      <c r="V39" s="1574" t="s">
        <v>8</v>
      </c>
      <c r="W39" s="1575">
        <f t="shared" si="12"/>
        <v>100</v>
      </c>
      <c r="X39" s="1568"/>
      <c r="Y39" s="340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7"/>
      <c r="Q40" s="1573">
        <f t="shared" si="14"/>
        <v>111</v>
      </c>
      <c r="R40" s="1574" t="s">
        <v>8</v>
      </c>
      <c r="S40" s="1575">
        <f t="shared" si="10"/>
        <v>100</v>
      </c>
      <c r="T40" s="1574" t="s">
        <v>8</v>
      </c>
      <c r="U40" s="1575">
        <f t="shared" si="11"/>
        <v>100</v>
      </c>
      <c r="V40" s="1574" t="s">
        <v>8</v>
      </c>
      <c r="W40" s="1575">
        <f t="shared" si="12"/>
        <v>100</v>
      </c>
      <c r="X40" s="1568"/>
      <c r="Y40" s="340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7"/>
      <c r="Q41" s="1573">
        <f t="shared" si="14"/>
        <v>111</v>
      </c>
      <c r="R41" s="1574" t="s">
        <v>8</v>
      </c>
      <c r="S41" s="1575">
        <f t="shared" si="10"/>
        <v>100</v>
      </c>
      <c r="T41" s="1574" t="s">
        <v>8</v>
      </c>
      <c r="U41" s="1575">
        <f t="shared" si="11"/>
        <v>100</v>
      </c>
      <c r="V41" s="1574" t="s">
        <v>8</v>
      </c>
      <c r="W41" s="1575">
        <f t="shared" si="12"/>
        <v>100</v>
      </c>
      <c r="X41" s="1568"/>
      <c r="Y41" s="340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7"/>
      <c r="Q42" s="1573">
        <f t="shared" si="14"/>
        <v>111</v>
      </c>
      <c r="R42" s="1578" t="s">
        <v>8</v>
      </c>
      <c r="S42" s="1579">
        <f t="shared" si="10"/>
        <v>100</v>
      </c>
      <c r="T42" s="1578" t="s">
        <v>8</v>
      </c>
      <c r="U42" s="1579">
        <f t="shared" si="11"/>
        <v>100</v>
      </c>
      <c r="V42" s="1578" t="s">
        <v>8</v>
      </c>
      <c r="W42" s="1579">
        <f t="shared" si="12"/>
        <v>100</v>
      </c>
      <c r="X42" s="1580"/>
      <c r="Y42" s="3407"/>
      <c r="Z42" s="1581">
        <f t="shared" si="13"/>
        <v>111</v>
      </c>
      <c r="AA42" s="1577">
        <f t="shared" si="3"/>
        <v>1</v>
      </c>
      <c r="AB42" s="1577">
        <f t="shared" si="4"/>
        <v>1</v>
      </c>
      <c r="AC42" s="1577">
        <f t="shared" si="5"/>
        <v>1</v>
      </c>
    </row>
    <row r="43" spans="1:29" ht="15">
      <c r="A43" s="607" t="s">
        <v>556</v>
      </c>
      <c r="B43" s="608" t="s">
        <v>2935</v>
      </c>
      <c r="C43" s="609" t="s">
        <v>1</v>
      </c>
      <c r="D43" s="610"/>
      <c r="E43" s="611"/>
      <c r="F43" s="612"/>
      <c r="G43" s="613"/>
      <c r="H43" s="614"/>
      <c r="I43" s="611"/>
      <c r="J43" s="614"/>
      <c r="K43" s="1340"/>
      <c r="L43" s="2145"/>
      <c r="M43" s="2135"/>
      <c r="N43" s="2135"/>
      <c r="O43" s="2146"/>
      <c r="P43" s="3370" t="str">
        <f>A43</f>
        <v>成交单价</v>
      </c>
      <c r="Q43" s="3370"/>
      <c r="R43" s="3371">
        <f>E43</f>
        <v>0</v>
      </c>
      <c r="S43" s="3371"/>
      <c r="T43" s="3371">
        <f>G43</f>
        <v>0</v>
      </c>
      <c r="U43" s="3371"/>
      <c r="V43" s="3371">
        <f>I43</f>
        <v>0</v>
      </c>
      <c r="W43" s="3371"/>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70" t="str">
        <f>A44</f>
        <v>比较价格（元/平方米）</v>
      </c>
      <c r="Q44" s="3370"/>
      <c r="R44" s="3372" t="e">
        <f>ROUND(PRODUCT(R43,AA9:AA42),0)</f>
        <v>#DIV/0!</v>
      </c>
      <c r="S44" s="3372"/>
      <c r="T44" s="3372" t="e">
        <f>ROUND(PRODUCT(T43,AB9:AB42),0)</f>
        <v>#DIV/0!</v>
      </c>
      <c r="U44" s="3372"/>
      <c r="V44" s="3372" t="e">
        <f>ROUND(PRODUCT(V43,AC9:AC42),0)</f>
        <v>#DIV/0!</v>
      </c>
      <c r="W44" s="3372"/>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5"/>
      <c r="M45" s="2135"/>
      <c r="N45" s="2135"/>
      <c r="O45" s="2146"/>
      <c r="P45" s="3367" t="str">
        <f>A45</f>
        <v>估价对象XX用房的比较价格（楼面单价，元/平方米）</v>
      </c>
      <c r="Q45" s="3368"/>
      <c r="R45" s="3369" t="e">
        <f>ROUND(AVERAGE(R44:V44),0)</f>
        <v>#DIV/0!</v>
      </c>
      <c r="S45" s="3369"/>
      <c r="T45" s="3369"/>
      <c r="U45" s="3369"/>
      <c r="V45" s="3369"/>
      <c r="W45" s="3369"/>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14" t="s">
        <v>2285</v>
      </c>
      <c r="H52" s="3415"/>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118029.63</v>
      </c>
      <c r="F53" s="1951" t="e">
        <f t="shared" ref="F53:F62" si="15">ROUND(B53*E53/10000,0)</f>
        <v>#DIV/0!</v>
      </c>
      <c r="G53" s="3416"/>
      <c r="H53" s="341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18"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1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1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1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57727.82</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47625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6" t="s">
        <v>2534</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5" t="s">
        <v>2650</v>
      </c>
      <c r="B68" s="479" t="str">
        <f>"北京市平均增长率"&amp;TEXT(基准地价!P24,"0.00%")</f>
        <v>北京市平均增长率1.36%</v>
      </c>
      <c r="C68" s="894">
        <v>100</v>
      </c>
      <c r="D68" s="730"/>
      <c r="E68" s="730"/>
      <c r="F68" s="730"/>
      <c r="G68" s="730"/>
      <c r="H68" s="730"/>
      <c r="I68" s="730"/>
      <c r="J68" s="730"/>
      <c r="K68" s="730"/>
      <c r="L68" s="730"/>
      <c r="M68" s="2769"/>
      <c r="N68" s="2770"/>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7"/>
      <c r="D69" s="2768"/>
      <c r="E69" s="2768"/>
      <c r="F69" s="2768"/>
      <c r="G69" s="2768"/>
      <c r="H69" s="2768"/>
      <c r="I69" s="2768"/>
      <c r="J69" s="2768"/>
      <c r="K69" s="2768"/>
      <c r="L69" s="2768"/>
      <c r="M69" s="2768"/>
      <c r="N69" s="2768"/>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5" t="s">
        <v>2551</v>
      </c>
      <c r="C95" s="2576" t="s">
        <v>2552</v>
      </c>
      <c r="D95" s="2576" t="s">
        <v>2553</v>
      </c>
      <c r="E95" s="2576" t="s">
        <v>2554</v>
      </c>
      <c r="F95" s="2576" t="s">
        <v>2555</v>
      </c>
      <c r="G95" s="2576"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8"/>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0"/>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3" t="s">
        <v>2763</v>
      </c>
      <c r="S1" s="2913" t="s">
        <v>2764</v>
      </c>
      <c r="T1" s="2913" t="s">
        <v>2785</v>
      </c>
      <c r="U1" s="2913" t="s">
        <v>2786</v>
      </c>
      <c r="V1" s="2913"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2937</v>
      </c>
      <c r="G3" s="1039">
        <f>IF(F3="宗地容积率",'数据-汇总表'!I4,IF(F3="估价对象容积率",'数据-汇总表'!I6,'数据-汇总表'!I7))</f>
        <v>2.5</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90"/>
      <c r="X3" s="2190"/>
      <c r="Y3" s="2190"/>
      <c r="Z3" s="2190"/>
      <c r="AA3" s="2190"/>
      <c r="AB3" s="2190"/>
      <c r="AC3" s="2191"/>
    </row>
    <row r="4" spans="1:39" ht="28.5">
      <c r="A4" s="1892" t="s">
        <v>2281</v>
      </c>
      <c r="B4" s="2431"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4">
        <v>3</v>
      </c>
      <c r="S4" s="2914">
        <f>ROUND(IF(G3&gt;1,IF(R4&lt;7,SUMPRODUCT((B93:B98=R4)*(C92:N92=G2)*(C93:N98)),SUMIF(C92:N92,G2,C100:N100)),IF(R4&lt;7,SUMPRODUCT((B102:B107=R4)*(C92:N92=G2)*(C102:N107)),SUMIF(C92:N92,G2,C109:N109))),4)</f>
        <v>0</v>
      </c>
      <c r="T4" s="2914" t="e">
        <f t="shared" si="0"/>
        <v>#DIV/0!</v>
      </c>
      <c r="U4" s="2903"/>
      <c r="V4" s="2914"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5" t="e">
        <f>ROUND(IF(F16="增加",C6+C16,C6-C16),0)</f>
        <v>#DIV/0!</v>
      </c>
      <c r="E5" s="3095"/>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4">
        <v>4</v>
      </c>
      <c r="S5" s="2914">
        <f>ROUND(IF(G3&gt;1,IF(R5&lt;7,SUMPRODUCT((B93:B98=R5)*(C92:N92=G2)*(C93:N98)),SUMIF(C92:N92,G2,C100:N100)),IF(R5&lt;7,SUMPRODUCT((B102:B107=R5)*(C92:N92=G2)*(C102:N107)),SUMIF(C92:N92,G2,C109:N109))),4)</f>
        <v>0</v>
      </c>
      <c r="T5" s="2914" t="e">
        <f t="shared" si="0"/>
        <v>#DIV/0!</v>
      </c>
      <c r="U5" s="2903"/>
      <c r="V5" s="2914"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4">
        <v>5</v>
      </c>
      <c r="S6" s="2914">
        <f>ROUND(IF(G3&gt;1,IF(R6&lt;7,SUMPRODUCT((B93:B98=R6)*(C92:N92=G2)*(C93:N98)),SUMIF(C92:N92,G2,C100:N100)),IF(R6&lt;7,SUMPRODUCT((B102:B107=R6)*(C92:N92=G2)*(C102:N107)),SUMIF(C92:N92,G2,C109:N109))),4)</f>
        <v>0</v>
      </c>
      <c r="T6" s="2914" t="e">
        <f t="shared" si="0"/>
        <v>#DIV/0!</v>
      </c>
      <c r="U6" s="2903"/>
      <c r="V6" s="2914" t="e">
        <f t="shared" si="1"/>
        <v>#DIV/0!</v>
      </c>
      <c r="W6" s="2190"/>
      <c r="X6" s="2190"/>
      <c r="Y6" s="2190"/>
      <c r="Z6" s="2190"/>
      <c r="AA6" s="2190"/>
      <c r="AB6" s="2190"/>
      <c r="AC6" s="2192"/>
      <c r="AD6" s="1420"/>
      <c r="AE6" s="1420"/>
      <c r="AF6" s="1420"/>
      <c r="AG6" s="1420"/>
      <c r="AH6" s="1420"/>
      <c r="AI6" s="1420"/>
      <c r="AJ6" s="1421"/>
    </row>
    <row r="7" spans="1:39" ht="24">
      <c r="A7" s="3428"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2766</v>
      </c>
      <c r="X7" s="2904">
        <f>G2</f>
        <v>0</v>
      </c>
      <c r="Y7" s="2904" t="s">
        <v>2767</v>
      </c>
      <c r="Z7" s="2905">
        <f>G3</f>
        <v>2.5</v>
      </c>
      <c r="AA7" s="2193"/>
      <c r="AB7" s="2193"/>
      <c r="AC7" s="2194"/>
      <c r="AD7" s="2906"/>
      <c r="AE7" s="2906"/>
      <c r="AF7" s="2906"/>
      <c r="AG7" s="2906"/>
      <c r="AH7" s="2906"/>
      <c r="AI7" s="2906"/>
      <c r="AJ7" s="2907"/>
    </row>
    <row r="8" spans="1:39" ht="15">
      <c r="A8" s="3429"/>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4">
        <v>7</v>
      </c>
      <c r="S8" s="2903"/>
      <c r="T8" s="2914" t="e">
        <f t="shared" si="0"/>
        <v>#DIV/0!</v>
      </c>
      <c r="U8" s="2903"/>
      <c r="V8" s="2914" t="e">
        <f t="shared" si="1"/>
        <v>#DIV/0!</v>
      </c>
      <c r="W8" s="3420" t="s">
        <v>2784</v>
      </c>
      <c r="X8" s="3421"/>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29"/>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4">
        <v>8</v>
      </c>
      <c r="S9" s="2903"/>
      <c r="T9" s="2914" t="e">
        <f t="shared" si="0"/>
        <v>#DIV/0!</v>
      </c>
      <c r="U9" s="2903"/>
      <c r="V9" s="2914" t="e">
        <f t="shared" si="1"/>
        <v>#DIV/0!</v>
      </c>
      <c r="W9" s="3419" t="s">
        <v>2780</v>
      </c>
      <c r="X9" s="2908" t="s">
        <v>2781</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29"/>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4">
        <v>9</v>
      </c>
      <c r="S10" s="2903"/>
      <c r="T10" s="2914" t="e">
        <f t="shared" si="0"/>
        <v>#DIV/0!</v>
      </c>
      <c r="U10" s="2903"/>
      <c r="V10" s="2914" t="e">
        <f t="shared" si="1"/>
        <v>#DIV/0!</v>
      </c>
      <c r="W10" s="3419"/>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29"/>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4">
        <v>10</v>
      </c>
      <c r="S11" s="2903"/>
      <c r="T11" s="2914" t="e">
        <f t="shared" si="0"/>
        <v>#DIV/0!</v>
      </c>
      <c r="U11" s="2903"/>
      <c r="V11" s="2914" t="e">
        <f t="shared" si="1"/>
        <v>#DIV/0!</v>
      </c>
      <c r="W11" s="3419" t="s">
        <v>2782</v>
      </c>
      <c r="X11" s="1048" t="s">
        <v>2767</v>
      </c>
      <c r="Y11" s="1654">
        <f>$G$3</f>
        <v>2.5</v>
      </c>
      <c r="Z11" s="1654">
        <f t="shared" ref="Z11:AJ11" si="3">$G$3</f>
        <v>2.5</v>
      </c>
      <c r="AA11" s="1654">
        <f t="shared" si="3"/>
        <v>2.5</v>
      </c>
      <c r="AB11" s="1654">
        <f t="shared" si="3"/>
        <v>2.5</v>
      </c>
      <c r="AC11" s="1654">
        <f t="shared" si="3"/>
        <v>2.5</v>
      </c>
      <c r="AD11" s="1654">
        <f t="shared" si="3"/>
        <v>2.5</v>
      </c>
      <c r="AE11" s="1654">
        <f t="shared" si="3"/>
        <v>2.5</v>
      </c>
      <c r="AF11" s="1654">
        <f t="shared" si="3"/>
        <v>2.5</v>
      </c>
      <c r="AG11" s="1654">
        <f t="shared" si="3"/>
        <v>2.5</v>
      </c>
      <c r="AH11" s="1654">
        <f t="shared" si="3"/>
        <v>2.5</v>
      </c>
      <c r="AI11" s="1654">
        <f t="shared" si="3"/>
        <v>2.5</v>
      </c>
      <c r="AJ11" s="1654">
        <f t="shared" si="3"/>
        <v>2.5</v>
      </c>
    </row>
    <row r="12" spans="1:39" ht="25.5" thickBot="1">
      <c r="A12" s="3428"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4">
        <v>11</v>
      </c>
      <c r="S12" s="2903"/>
      <c r="T12" s="2914" t="e">
        <f t="shared" si="0"/>
        <v>#DIV/0!</v>
      </c>
      <c r="U12" s="2903"/>
      <c r="V12" s="2914" t="e">
        <f t="shared" si="1"/>
        <v>#DIV/0!</v>
      </c>
      <c r="W12" s="3419"/>
      <c r="X12" s="2911" t="s">
        <v>2783</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30"/>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4">
        <v>12</v>
      </c>
      <c r="S13" s="2903"/>
      <c r="T13" s="2914" t="e">
        <f t="shared" si="0"/>
        <v>#DIV/0!</v>
      </c>
      <c r="U13" s="2903"/>
      <c r="V13" s="2914" t="e">
        <f t="shared" si="1"/>
        <v>#DIV/0!</v>
      </c>
      <c r="W13" s="3419"/>
      <c r="X13" s="2911"/>
      <c r="Y13" s="2910">
        <f>(-0.163*(Y12^2)-0.59*Y12+7617)*(10^(-4))/Y11</f>
        <v>0.30468000000000001</v>
      </c>
      <c r="Z13" s="2910">
        <f t="shared" ref="Z13:AJ13" si="5">(-0.163*(Z12^2)-0.59*Z12+7617)*(10^(-4))/Z11</f>
        <v>0.30468000000000001</v>
      </c>
      <c r="AA13" s="2910">
        <f t="shared" si="5"/>
        <v>0.30468000000000001</v>
      </c>
      <c r="AB13" s="2910">
        <f t="shared" si="5"/>
        <v>0.30468000000000001</v>
      </c>
      <c r="AC13" s="2910">
        <f t="shared" si="5"/>
        <v>0.30468000000000001</v>
      </c>
      <c r="AD13" s="2910">
        <f t="shared" si="5"/>
        <v>0.30468000000000001</v>
      </c>
      <c r="AE13" s="2910">
        <f t="shared" si="5"/>
        <v>0.30468000000000001</v>
      </c>
      <c r="AF13" s="2910">
        <f t="shared" si="5"/>
        <v>0.30468000000000001</v>
      </c>
      <c r="AG13" s="2910">
        <f t="shared" si="5"/>
        <v>0.30468000000000001</v>
      </c>
      <c r="AH13" s="2910">
        <f t="shared" si="5"/>
        <v>0.30468000000000001</v>
      </c>
      <c r="AI13" s="2910">
        <f t="shared" si="5"/>
        <v>0.30468000000000001</v>
      </c>
      <c r="AJ13" s="2910">
        <f t="shared" si="5"/>
        <v>0.30468000000000001</v>
      </c>
    </row>
    <row r="14" spans="1:39" ht="12.75" customHeight="1" thickBot="1">
      <c r="A14" s="3430"/>
      <c r="B14" s="1452"/>
      <c r="C14" s="1453"/>
      <c r="D14" s="1454"/>
      <c r="E14" s="1454"/>
      <c r="F14" s="1455"/>
      <c r="G14" s="1456" t="s">
        <v>949</v>
      </c>
      <c r="H14" s="1457"/>
      <c r="I14" s="1458"/>
      <c r="J14" s="1459"/>
      <c r="K14" s="1402"/>
      <c r="L14" s="2190"/>
      <c r="M14" s="2190"/>
      <c r="N14" s="2190"/>
      <c r="O14" s="2190"/>
      <c r="P14" s="2190"/>
      <c r="Q14" s="2190"/>
      <c r="R14" s="2914">
        <v>13</v>
      </c>
      <c r="S14" s="2903"/>
      <c r="T14" s="2914" t="e">
        <f t="shared" si="0"/>
        <v>#DIV/0!</v>
      </c>
      <c r="U14" s="2903"/>
      <c r="V14" s="2914" t="e">
        <f t="shared" si="1"/>
        <v>#DIV/0!</v>
      </c>
      <c r="W14" s="2190"/>
      <c r="X14" s="2190"/>
      <c r="Y14" s="2190"/>
      <c r="Z14" s="2190"/>
      <c r="AA14" s="2190"/>
      <c r="AB14" s="2190"/>
      <c r="AC14" s="2191"/>
    </row>
    <row r="15" spans="1:39" ht="13.5" customHeight="1" thickBot="1">
      <c r="A15" s="3431"/>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4">
        <v>14</v>
      </c>
      <c r="S15" s="2903"/>
      <c r="T15" s="2914" t="e">
        <f t="shared" si="0"/>
        <v>#DIV/0!</v>
      </c>
      <c r="U15" s="2903"/>
      <c r="V15" s="2914" t="e">
        <f t="shared" si="1"/>
        <v>#DIV/0!</v>
      </c>
      <c r="W15" s="2190"/>
      <c r="X15" s="2190"/>
      <c r="Y15" s="2190"/>
      <c r="Z15" s="2190"/>
      <c r="AA15" s="2190"/>
      <c r="AB15" s="2190"/>
      <c r="AC15" s="2191"/>
    </row>
    <row r="16" spans="1:39" ht="24">
      <c r="A16" s="3428"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4">
        <v>15</v>
      </c>
      <c r="S16" s="2903"/>
      <c r="T16" s="2914" t="e">
        <f t="shared" si="0"/>
        <v>#DIV/0!</v>
      </c>
      <c r="U16" s="2903"/>
      <c r="V16" s="2914" t="e">
        <f t="shared" si="1"/>
        <v>#DIV/0!</v>
      </c>
      <c r="W16" s="2193"/>
      <c r="X16" s="2193"/>
      <c r="Y16" s="2193"/>
      <c r="Z16" s="2193"/>
      <c r="AA16" s="2193"/>
      <c r="AB16" s="2193"/>
      <c r="AC16" s="2194"/>
    </row>
    <row r="17" spans="1:40" ht="13.5" thickBot="1">
      <c r="A17" s="3429"/>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49" t="s">
        <v>956</v>
      </c>
      <c r="C18" s="2750">
        <f>SUMIF(修正!C18:C39,E3,修正!E18:E39)</f>
        <v>0</v>
      </c>
      <c r="D18" s="2751"/>
      <c r="E18" s="2752"/>
      <c r="F18" s="2753"/>
      <c r="G18" s="2747"/>
      <c r="H18" s="2747"/>
      <c r="I18" s="2747"/>
      <c r="J18" s="2754"/>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43490</v>
      </c>
      <c r="H19" s="1476" t="s">
        <v>2938</v>
      </c>
      <c r="I19" s="2761" t="str">
        <f>IF(H19="季度增幅（自定义）",SUMIF(N21:N24,E2,O21:O24),"")</f>
        <v/>
      </c>
      <c r="J19" s="1472"/>
      <c r="K19" s="1482"/>
      <c r="L19" s="3014" t="s">
        <v>2841</v>
      </c>
      <c r="M19" s="3015">
        <f>ROUND(SUMIF(地价!B2:F2,E2,地价!B25:F25),0)</f>
        <v>0</v>
      </c>
      <c r="N19" s="2763" t="s">
        <v>1677</v>
      </c>
      <c r="O19" s="2762">
        <f>ROUNDDOWN(DATEDIF(E19,G19,"M")/3,0)</f>
        <v>20</v>
      </c>
      <c r="P19" s="1597"/>
      <c r="R19" s="2902"/>
      <c r="S19" s="2902"/>
      <c r="T19" s="2902"/>
      <c r="U19" s="2902"/>
      <c r="V19" s="2902"/>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5" t="s">
        <v>1837</v>
      </c>
      <c r="B20" s="2756" t="s">
        <v>972</v>
      </c>
      <c r="C20" s="2757" t="e">
        <f>ROUND(POWER(1+G20,J20-I20)*(POWER(1+G20,I20)-1)/(POWER(1+G20,J20)-1),4)</f>
        <v>#DIV/0!</v>
      </c>
      <c r="D20" s="2758" t="s">
        <v>973</v>
      </c>
      <c r="E20" s="3070">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2"/>
      <c r="L20" s="3016" t="s">
        <v>2842</v>
      </c>
      <c r="M20" s="3017">
        <f>ROUND(SUMPRODUCT((地价!A4:A25=YEAR(G19)&amp;"-"&amp;ROUNDUP(MONTH(G19)/3,0))*(地价!B2:F2=E2)*(地价!B4:F25)),0)</f>
        <v>0</v>
      </c>
      <c r="N20" s="2766" t="s">
        <v>2646</v>
      </c>
      <c r="O20" s="2764" t="s">
        <v>2645</v>
      </c>
      <c r="P20" s="2765" t="s">
        <v>2651</v>
      </c>
      <c r="R20" s="2902"/>
      <c r="S20" s="2902"/>
      <c r="T20" s="2902"/>
      <c r="U20" s="2902"/>
      <c r="V20" s="2902"/>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6">
        <f>SUMPRODUCT((地价!A3:A25=YEAR(G19)&amp;"-"&amp;ROUNDUP(MONTH(G19)/3,0))*(地价!AD2:AH2=N21)*(地价!AD3:AH25))</f>
        <v>1.46E-2</v>
      </c>
      <c r="R21" s="2902"/>
      <c r="S21" s="2902"/>
      <c r="T21" s="2902"/>
      <c r="U21" s="2902"/>
      <c r="V21" s="2902"/>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6">
        <f>SUMPRODUCT((地价!A3:A25=YEAR(G19)&amp;"-"&amp;ROUNDUP(MONTH(G19)/3,0))*(地价!AD2:AH2=N22)*(地价!AD3:AH25))</f>
        <v>1.46E-2</v>
      </c>
      <c r="R22" s="2902"/>
      <c r="S22" s="2902"/>
      <c r="T22" s="2902"/>
      <c r="U22" s="2902"/>
      <c r="V22" s="2902"/>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6">
        <f>SUMPRODUCT((地价!A3:A25=YEAR(G19)&amp;"-"&amp;ROUNDUP(MONTH(G19)/3,0))*(地价!AD2:AH2=N23)*(地价!AD3:AH25))</f>
        <v>2.29E-2</v>
      </c>
      <c r="R23" s="2902"/>
      <c r="S23" s="2902"/>
      <c r="T23" s="2902"/>
      <c r="U23" s="2902"/>
      <c r="V23" s="2902"/>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1.3599999999999999E-2</v>
      </c>
      <c r="R24" s="2902"/>
      <c r="S24" s="2902"/>
      <c r="T24" s="2902"/>
      <c r="U24" s="2902"/>
      <c r="V24" s="2902"/>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4" t="s">
        <v>2649</v>
      </c>
      <c r="O25" s="2196"/>
      <c r="P25" s="1542">
        <f>SUMPRODUCT((地价!A3:A25=YEAR(G19)&amp;"-"&amp;ROUNDUP(MONTH(G19)/3,0))*(地价!AD2:AH2=N25)*(地价!AD3:AH25))</f>
        <v>2.0899999999999998E-2</v>
      </c>
      <c r="R25" s="2902"/>
      <c r="S25" s="2902"/>
      <c r="T25" s="2902"/>
      <c r="U25" s="2902"/>
      <c r="V25" s="2902"/>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2"/>
      <c r="S26" s="2902"/>
      <c r="T26" s="2902"/>
      <c r="U26" s="2902"/>
      <c r="V26" s="2902"/>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2"/>
      <c r="S27" s="2902"/>
      <c r="T27" s="2902"/>
      <c r="U27" s="2902"/>
      <c r="V27" s="2902"/>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2"/>
      <c r="S28" s="2902"/>
      <c r="T28" s="2902"/>
      <c r="U28" s="2902"/>
      <c r="V28" s="2902"/>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2"/>
      <c r="S29" s="2902"/>
      <c r="T29" s="2902"/>
      <c r="U29" s="2902"/>
      <c r="V29" s="2902"/>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34" t="s">
        <v>2964</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35"/>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35"/>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6"/>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3" t="s">
        <v>2991</v>
      </c>
      <c r="C41" s="839" t="e">
        <f>ROUND(POWER(1+E41,H41-G41)*(POWER(1+E41,G41)-1)/(POWER(1+E41,H41)-1),4)</f>
        <v>#DIV/0!</v>
      </c>
      <c r="D41" s="378" t="s">
        <v>2989</v>
      </c>
      <c r="E41" s="3172">
        <f>G20</f>
        <v>0</v>
      </c>
      <c r="F41" s="378" t="s">
        <v>2990</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7" t="s">
        <v>1007</v>
      </c>
      <c r="B44" s="2398"/>
      <c r="C44" s="2399"/>
      <c r="D44" s="2400"/>
      <c r="E44" s="2400"/>
      <c r="F44" s="2401"/>
      <c r="G44" s="1066"/>
      <c r="H44" s="2401"/>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2" t="s">
        <v>1008</v>
      </c>
      <c r="B45" s="2403">
        <f>1+E47</f>
        <v>1</v>
      </c>
      <c r="C45" s="2404"/>
      <c r="D45" s="2405"/>
      <c r="E45" s="2406"/>
      <c r="F45" s="2407"/>
      <c r="G45" s="2401"/>
      <c r="H45" s="2401"/>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6" t="s">
        <v>1010</v>
      </c>
      <c r="C46" s="2408" t="s">
        <v>1011</v>
      </c>
      <c r="D46" s="2409" t="s">
        <v>1012</v>
      </c>
      <c r="E46" s="2410" t="s">
        <v>1014</v>
      </c>
      <c r="F46" s="2411" t="s">
        <v>2251</v>
      </c>
      <c r="G46" s="2409" t="s">
        <v>1015</v>
      </c>
      <c r="H46" s="2392" t="s">
        <v>2419</v>
      </c>
      <c r="I46" s="2409" t="s">
        <v>1013</v>
      </c>
      <c r="J46" s="2412" t="s">
        <v>1016</v>
      </c>
      <c r="K46" s="2412" t="s">
        <v>1017</v>
      </c>
      <c r="L46" s="2412" t="s">
        <v>1018</v>
      </c>
      <c r="M46" s="2412" t="s">
        <v>1019</v>
      </c>
      <c r="N46" s="2412"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89" t="str">
        <f>估价对象房地状况!C16</f>
        <v>估价对象位于XX商圈，周边商业氛围成熟，人流量大，商业繁华度好</v>
      </c>
      <c r="C47" s="1050"/>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6" t="str">
        <f>估价对象房地状况!C18</f>
        <v>估价对象周边道路状况、公共交通通达情况、停车便捷程度，综合评价交通便捷度较好</v>
      </c>
      <c r="C48" s="1050"/>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6">
        <f>估价对象房地状况!C19</f>
        <v>0</v>
      </c>
      <c r="C49" s="1050"/>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2" t="s">
        <v>2940</v>
      </c>
      <c r="C50" s="1050"/>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6">
        <f>估价对象房地状况!C24</f>
        <v>0</v>
      </c>
      <c r="C51" s="1050"/>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1" t="s">
        <v>2939</v>
      </c>
      <c r="C52" s="1050"/>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18" t="s">
        <v>1027</v>
      </c>
      <c r="B53" s="2387" t="str">
        <f>估价对象房地状况!C21</f>
        <v>估价对象所在区域公共配套设施齐备情况</v>
      </c>
      <c r="C53" s="1050"/>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18" t="s">
        <v>1028</v>
      </c>
      <c r="B54" s="2386" t="str">
        <f>估价对象房地状况!C22</f>
        <v>估价对象所在区域基础设施水平</v>
      </c>
      <c r="C54" s="1050"/>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19" t="s">
        <v>1029</v>
      </c>
      <c r="B55" s="2390" t="str">
        <f>估价对象房地状况!C20</f>
        <v>区域自然环境：；人文环境；综合评价环境状况一般</v>
      </c>
      <c r="C55" s="1050"/>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2" t="s">
        <v>1030</v>
      </c>
      <c r="B56" s="2403">
        <f>1+E58</f>
        <v>1</v>
      </c>
      <c r="C56" s="2422"/>
      <c r="D56" s="2405"/>
      <c r="E56" s="2406"/>
      <c r="F56" s="2407"/>
      <c r="G56" s="2401"/>
      <c r="H56" s="2401"/>
      <c r="I56" s="2401"/>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6"/>
      <c r="C57" s="2408" t="s">
        <v>1011</v>
      </c>
      <c r="D57" s="2409" t="s">
        <v>1012</v>
      </c>
      <c r="E57" s="2410" t="s">
        <v>1014</v>
      </c>
      <c r="F57" s="2411" t="s">
        <v>2252</v>
      </c>
      <c r="G57" s="2409" t="s">
        <v>1015</v>
      </c>
      <c r="H57" s="2392" t="s">
        <v>2419</v>
      </c>
      <c r="I57" s="2409" t="s">
        <v>1013</v>
      </c>
      <c r="J57" s="2412" t="s">
        <v>1016</v>
      </c>
      <c r="K57" s="2412" t="s">
        <v>1017</v>
      </c>
      <c r="L57" s="2412" t="s">
        <v>1018</v>
      </c>
      <c r="M57" s="2412" t="s">
        <v>1019</v>
      </c>
      <c r="N57" s="2412"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89" t="str">
        <f>估价对象房地状况!C17</f>
        <v>估价对象位于XX商圈，周边办公楼项目较多，入驻率高，办公集聚程度较好</v>
      </c>
      <c r="C58" s="1050"/>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6" t="str">
        <f>估价对象房地状况!C18</f>
        <v>估价对象周边道路状况、公共交通通达情况、停车便捷程度，综合评价交通便捷度较好</v>
      </c>
      <c r="C59" s="1050"/>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6">
        <f>估价对象房地状况!C19</f>
        <v>0</v>
      </c>
      <c r="C60" s="1050"/>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2" t="s">
        <v>2941</v>
      </c>
      <c r="C61" s="1050"/>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6">
        <f>估价对象房地状况!C24</f>
        <v>0</v>
      </c>
      <c r="C62" s="1050"/>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1" t="s">
        <v>2939</v>
      </c>
      <c r="C63" s="1050"/>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7" t="str">
        <f>估价对象房地状况!C21</f>
        <v>估价对象所在区域公共配套设施齐备情况</v>
      </c>
      <c r="C64" s="1050"/>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7" t="str">
        <f>估价对象房地状况!C22</f>
        <v>估价对象所在区域基础设施水平</v>
      </c>
      <c r="C65" s="1050"/>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19" t="s">
        <v>1029</v>
      </c>
      <c r="B66" s="2391" t="str">
        <f>估价对象房地状况!C20</f>
        <v>区域自然环境：；人文环境；综合评价环境状况一般</v>
      </c>
      <c r="C66" s="1050"/>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2" t="s">
        <v>1032</v>
      </c>
      <c r="B67" s="2403">
        <f>1+E69</f>
        <v>1</v>
      </c>
      <c r="C67" s="2422"/>
      <c r="D67" s="2405"/>
      <c r="E67" s="2406"/>
      <c r="F67" s="2407"/>
      <c r="G67" s="2401"/>
      <c r="H67" s="2401"/>
      <c r="I67" s="2401"/>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6"/>
      <c r="C68" s="2408" t="s">
        <v>1011</v>
      </c>
      <c r="D68" s="2409" t="s">
        <v>1012</v>
      </c>
      <c r="E68" s="2410" t="s">
        <v>1014</v>
      </c>
      <c r="F68" s="2411" t="s">
        <v>2253</v>
      </c>
      <c r="G68" s="2409" t="s">
        <v>1015</v>
      </c>
      <c r="H68" s="2392" t="s">
        <v>2419</v>
      </c>
      <c r="I68" s="2409" t="s">
        <v>1013</v>
      </c>
      <c r="J68" s="2412" t="s">
        <v>1016</v>
      </c>
      <c r="K68" s="2412" t="s">
        <v>1017</v>
      </c>
      <c r="L68" s="2412" t="s">
        <v>1018</v>
      </c>
      <c r="M68" s="2412" t="s">
        <v>1019</v>
      </c>
      <c r="N68" s="2412"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89" t="str">
        <f>估价对象房地状况!C15</f>
        <v>估价对象周边居住用地比例、居住小区规模和社区发展完善程度，综合评价居住社区成熟度一般</v>
      </c>
      <c r="C69" s="1159"/>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6" t="str">
        <f>估价对象房地状况!C18</f>
        <v>估价对象周边道路状况、公共交通通达情况、停车便捷程度，综合评价交通便捷度较好</v>
      </c>
      <c r="C70" s="1159"/>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6">
        <f>估价对象房地状况!C19</f>
        <v>0</v>
      </c>
      <c r="C71" s="1159"/>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6">
        <f>估价对象房地状况!C24</f>
        <v>0</v>
      </c>
      <c r="C72" s="1159"/>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7" t="str">
        <f>估价对象房地状况!C21</f>
        <v>估价对象所在区域公共配套设施齐备情况</v>
      </c>
      <c r="C73" s="1159"/>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7" t="str">
        <f>估价对象房地状况!C22</f>
        <v>估价对象所在区域基础设施水平</v>
      </c>
      <c r="C74" s="1159"/>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1" t="s">
        <v>2939</v>
      </c>
      <c r="C75" s="1159"/>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89" t="str">
        <f>估价对象房地状况!C20</f>
        <v>区域自然环境：；人文环境；综合评价环境状况一般</v>
      </c>
      <c r="C76" s="1159"/>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19" t="s">
        <v>1036</v>
      </c>
      <c r="B77" s="1851"/>
      <c r="C77" s="1159"/>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6"/>
      <c r="AD77" s="1405"/>
      <c r="AJ77" s="1404"/>
      <c r="AN77" s="1405"/>
    </row>
    <row r="78" spans="1:40" ht="15">
      <c r="A78" s="2402" t="s">
        <v>1037</v>
      </c>
      <c r="B78" s="2403">
        <f>1+E80</f>
        <v>1</v>
      </c>
      <c r="C78" s="2422"/>
      <c r="D78" s="2405"/>
      <c r="E78" s="2406"/>
      <c r="F78" s="2407"/>
      <c r="G78" s="2401"/>
      <c r="H78" s="2401"/>
      <c r="I78" s="2401"/>
      <c r="J78" s="1066"/>
      <c r="K78" s="1066"/>
      <c r="L78" s="1066"/>
      <c r="M78" s="1066"/>
      <c r="N78" s="1066"/>
      <c r="AC78" s="1406"/>
      <c r="AD78" s="1405"/>
      <c r="AJ78" s="1404"/>
      <c r="AN78" s="1405"/>
    </row>
    <row r="79" spans="1:40" ht="24">
      <c r="A79" s="1067" t="s">
        <v>1009</v>
      </c>
      <c r="B79" s="2386"/>
      <c r="C79" s="2408" t="s">
        <v>1011</v>
      </c>
      <c r="D79" s="2409" t="s">
        <v>1012</v>
      </c>
      <c r="E79" s="2410" t="s">
        <v>1014</v>
      </c>
      <c r="F79" s="2411" t="s">
        <v>2254</v>
      </c>
      <c r="G79" s="2409" t="s">
        <v>1015</v>
      </c>
      <c r="H79" s="2392" t="s">
        <v>2419</v>
      </c>
      <c r="I79" s="2409" t="s">
        <v>1013</v>
      </c>
      <c r="J79" s="2412" t="s">
        <v>1016</v>
      </c>
      <c r="K79" s="2412" t="s">
        <v>1017</v>
      </c>
      <c r="L79" s="2412" t="s">
        <v>1018</v>
      </c>
      <c r="M79" s="2412" t="s">
        <v>1019</v>
      </c>
      <c r="N79" s="2412" t="s">
        <v>1020</v>
      </c>
      <c r="AC79" s="1406"/>
      <c r="AD79" s="1405"/>
      <c r="AJ79" s="1404"/>
      <c r="AN79" s="1405"/>
    </row>
    <row r="80" spans="1:40" ht="36">
      <c r="A80" s="1067" t="s">
        <v>1038</v>
      </c>
      <c r="B80" s="2386" t="str">
        <f>估价对象房地状况!G15</f>
        <v>估价对象位于XX开发区，园区建设成熟度XX，产业集聚程度XX</v>
      </c>
      <c r="C80" s="1050"/>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6"/>
      <c r="AD80" s="1405"/>
      <c r="AJ80" s="1404"/>
      <c r="AN80" s="1405"/>
    </row>
    <row r="81" spans="1:40" ht="48">
      <c r="A81" s="1067" t="s">
        <v>1034</v>
      </c>
      <c r="B81" s="2386" t="str">
        <f>估价对象房地状况!G16</f>
        <v>估价对象周边道路状况、公共交通通达情况、停车便捷程度，综合评价交通便捷度较好</v>
      </c>
      <c r="C81" s="1050"/>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6"/>
      <c r="AD81" s="1405"/>
      <c r="AJ81" s="1404"/>
      <c r="AN81" s="1405"/>
    </row>
    <row r="82" spans="1:40" ht="24">
      <c r="A82" s="1067" t="s">
        <v>1023</v>
      </c>
      <c r="B82" s="2386">
        <f>估价对象房地状况!G17</f>
        <v>0</v>
      </c>
      <c r="C82" s="1050"/>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6"/>
      <c r="AD82" s="1405"/>
      <c r="AJ82" s="1404"/>
      <c r="AN82" s="1405"/>
    </row>
    <row r="83" spans="1:40" ht="14.25">
      <c r="A83" s="1067" t="s">
        <v>1035</v>
      </c>
      <c r="B83" s="2386">
        <f>估价对象房地状况!G22</f>
        <v>0</v>
      </c>
      <c r="C83" s="1050"/>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6"/>
      <c r="AD83" s="1405"/>
      <c r="AJ83" s="1404"/>
      <c r="AN83" s="1405"/>
    </row>
    <row r="84" spans="1:40" ht="24">
      <c r="A84" s="1067" t="s">
        <v>1027</v>
      </c>
      <c r="B84" s="2387" t="str">
        <f>估价对象房地状况!G19</f>
        <v>估价对象所在区域公共配套设施齐备情况</v>
      </c>
      <c r="C84" s="1050"/>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6"/>
      <c r="AD84" s="1405"/>
      <c r="AJ84" s="1404"/>
      <c r="AN84" s="1405"/>
    </row>
    <row r="85" spans="1:40" ht="24">
      <c r="A85" s="1067" t="s">
        <v>1028</v>
      </c>
      <c r="B85" s="2387" t="str">
        <f>估价对象房地状况!G20</f>
        <v>估价对象所在区域基础设施水平</v>
      </c>
      <c r="C85" s="1050"/>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6"/>
      <c r="AD85" s="1405"/>
      <c r="AJ85" s="1404"/>
      <c r="AN85" s="1405"/>
    </row>
    <row r="86" spans="1:40" ht="24">
      <c r="A86" s="1067" t="s">
        <v>1026</v>
      </c>
      <c r="B86" s="3071" t="s">
        <v>2939</v>
      </c>
      <c r="C86" s="1050"/>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6"/>
      <c r="AD86" s="1405"/>
      <c r="AJ86" s="1404"/>
      <c r="AN86" s="1405"/>
    </row>
    <row r="87" spans="1:40" ht="36.75" thickBot="1">
      <c r="A87" s="2419" t="s">
        <v>1039</v>
      </c>
      <c r="B87" s="2388" t="str">
        <f>估价对象房地状况!G18</f>
        <v>该园区内是否有污染型企业，绿化情况，卫生条件，整体环境状况判断</v>
      </c>
      <c r="C87" s="1050"/>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6"/>
      <c r="AD87" s="1405"/>
      <c r="AJ87" s="1404"/>
      <c r="AN87" s="1405"/>
    </row>
    <row r="90" spans="1:40">
      <c r="A90" s="3432" t="s">
        <v>1634</v>
      </c>
      <c r="B90" s="3432"/>
      <c r="C90" s="3432"/>
      <c r="D90" s="3432"/>
      <c r="E90" s="3432"/>
      <c r="F90" s="3432"/>
      <c r="G90" s="3432"/>
      <c r="H90" s="3432"/>
      <c r="I90" s="3432"/>
      <c r="J90" s="3432"/>
      <c r="K90" s="2428"/>
      <c r="L90" s="2428"/>
      <c r="M90" s="2428"/>
      <c r="N90" s="2428"/>
    </row>
    <row r="91" spans="1:40">
      <c r="A91" s="3433" t="s">
        <v>1444</v>
      </c>
      <c r="B91" s="3433" t="s">
        <v>1635</v>
      </c>
      <c r="C91" s="1140" t="s">
        <v>1636</v>
      </c>
      <c r="D91" s="1141"/>
      <c r="E91" s="1141"/>
      <c r="F91" s="1141"/>
      <c r="G91" s="1141"/>
      <c r="H91" s="1141"/>
      <c r="I91" s="1141"/>
      <c r="J91" s="1142"/>
      <c r="K91" s="1134"/>
      <c r="L91" s="1134"/>
      <c r="M91" s="1134"/>
      <c r="N91" s="1134"/>
    </row>
    <row r="92" spans="1:40">
      <c r="A92" s="3433"/>
      <c r="B92" s="3433"/>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2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2"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23"/>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23"/>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23"/>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23"/>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23"/>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23"/>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23"/>
      <c r="B108" s="342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4"/>
      <c r="B109" s="3426"/>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27" t="s">
        <v>1640</v>
      </c>
      <c r="B110" s="3427"/>
      <c r="C110" s="3427"/>
      <c r="D110" s="3427"/>
      <c r="E110" s="3427"/>
      <c r="F110" s="3427"/>
      <c r="G110" s="3427"/>
      <c r="H110" s="3427"/>
      <c r="I110" s="3427"/>
      <c r="J110" s="3427"/>
      <c r="K110" s="2426"/>
      <c r="L110" s="2426"/>
      <c r="M110" s="2426"/>
      <c r="N110" s="2426"/>
    </row>
    <row r="112" spans="1:14" ht="12.75" thickBot="1"/>
    <row r="113" spans="1:13" ht="25.5" thickBot="1">
      <c r="A113" s="1016" t="s">
        <v>896</v>
      </c>
      <c r="B113" s="2429">
        <f>G3</f>
        <v>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3" t="s">
        <v>1008</v>
      </c>
      <c r="B18" s="1154" t="s">
        <v>1447</v>
      </c>
      <c r="C18" s="1131" t="s">
        <v>1448</v>
      </c>
      <c r="D18" s="1132"/>
      <c r="E18" s="1154">
        <v>1</v>
      </c>
      <c r="F18" s="1133" t="s">
        <v>1449</v>
      </c>
      <c r="G18" s="1134"/>
      <c r="H18" s="1105"/>
      <c r="I18" s="1105"/>
    </row>
    <row r="19" spans="1:9" s="1600" customFormat="1" ht="19.5" customHeight="1">
      <c r="A19" s="3433"/>
      <c r="B19" s="3433" t="s">
        <v>1450</v>
      </c>
      <c r="C19" s="1131" t="s">
        <v>1451</v>
      </c>
      <c r="D19" s="1132"/>
      <c r="E19" s="1154">
        <v>0.9</v>
      </c>
      <c r="F19" s="1133" t="s">
        <v>1452</v>
      </c>
      <c r="G19" s="1134"/>
      <c r="H19" s="1105"/>
      <c r="I19" s="1105"/>
    </row>
    <row r="20" spans="1:9" s="1600" customFormat="1" ht="19.5" customHeight="1">
      <c r="A20" s="3433"/>
      <c r="B20" s="3433"/>
      <c r="C20" s="1131" t="s">
        <v>1453</v>
      </c>
      <c r="D20" s="1132"/>
      <c r="E20" s="1154">
        <v>1.1000000000000001</v>
      </c>
      <c r="F20" s="1133" t="s">
        <v>1454</v>
      </c>
      <c r="G20" s="1134"/>
      <c r="H20" s="1105"/>
      <c r="I20" s="1105"/>
    </row>
    <row r="21" spans="1:9" s="1600" customFormat="1" ht="19.5" customHeight="1">
      <c r="A21" s="3433"/>
      <c r="B21" s="3433"/>
      <c r="C21" s="1131" t="s">
        <v>1455</v>
      </c>
      <c r="D21" s="1132"/>
      <c r="E21" s="1154">
        <v>0.8</v>
      </c>
      <c r="F21" s="1133" t="s">
        <v>1456</v>
      </c>
      <c r="G21" s="1134"/>
      <c r="H21" s="1105"/>
      <c r="I21" s="1105"/>
    </row>
    <row r="22" spans="1:9" s="1600" customFormat="1" ht="19.5" customHeight="1">
      <c r="A22" s="3433"/>
      <c r="B22" s="3433"/>
      <c r="C22" s="1131" t="s">
        <v>1457</v>
      </c>
      <c r="D22" s="1132"/>
      <c r="E22" s="1154">
        <v>0.5</v>
      </c>
      <c r="F22" s="1133"/>
      <c r="G22" s="1134"/>
      <c r="H22" s="1105"/>
      <c r="I22" s="1105"/>
    </row>
    <row r="23" spans="1:9" s="1600" customFormat="1" ht="19.5" customHeight="1">
      <c r="A23" s="3433" t="s">
        <v>1030</v>
      </c>
      <c r="B23" s="1154" t="s">
        <v>1447</v>
      </c>
      <c r="C23" s="1131" t="s">
        <v>1458</v>
      </c>
      <c r="D23" s="1132"/>
      <c r="E23" s="1154">
        <v>1</v>
      </c>
      <c r="F23" s="1133" t="s">
        <v>1459</v>
      </c>
      <c r="G23" s="1134"/>
      <c r="H23" s="1105"/>
      <c r="I23" s="1105"/>
    </row>
    <row r="24" spans="1:9" s="1600" customFormat="1" ht="19.5" customHeight="1">
      <c r="A24" s="3433"/>
      <c r="B24" s="3433" t="s">
        <v>1450</v>
      </c>
      <c r="C24" s="1131" t="s">
        <v>1460</v>
      </c>
      <c r="D24" s="1132"/>
      <c r="E24" s="1154">
        <v>0.5</v>
      </c>
      <c r="F24" s="1133"/>
      <c r="G24" s="1134"/>
      <c r="H24" s="1105"/>
      <c r="I24" s="1105"/>
    </row>
    <row r="25" spans="1:9" s="1600" customFormat="1" ht="19.5" customHeight="1">
      <c r="A25" s="3433"/>
      <c r="B25" s="3433"/>
      <c r="C25" s="1131" t="s">
        <v>1461</v>
      </c>
      <c r="D25" s="1132"/>
      <c r="E25" s="1154">
        <v>1.1000000000000001</v>
      </c>
      <c r="F25" s="1133"/>
      <c r="G25" s="1134"/>
      <c r="H25" s="1105"/>
      <c r="I25" s="1105"/>
    </row>
    <row r="26" spans="1:9" s="1600" customFormat="1" ht="19.5" customHeight="1">
      <c r="A26" s="3433"/>
      <c r="B26" s="3433"/>
      <c r="C26" s="1131" t="s">
        <v>1462</v>
      </c>
      <c r="D26" s="1132"/>
      <c r="E26" s="1154">
        <v>1.1000000000000001</v>
      </c>
      <c r="F26" s="1133"/>
      <c r="G26" s="1134"/>
      <c r="H26" s="1105"/>
      <c r="I26" s="1105"/>
    </row>
    <row r="27" spans="1:9" s="1600" customFormat="1" ht="19.5" customHeight="1">
      <c r="A27" s="3433"/>
      <c r="B27" s="3433"/>
      <c r="C27" s="1131" t="s">
        <v>1463</v>
      </c>
      <c r="D27" s="1132"/>
      <c r="E27" s="1154">
        <v>0.9</v>
      </c>
      <c r="F27" s="1133" t="s">
        <v>1464</v>
      </c>
      <c r="G27" s="1134"/>
      <c r="H27" s="1105"/>
      <c r="I27" s="1105"/>
    </row>
    <row r="28" spans="1:9" s="1600" customFormat="1" ht="19.5" customHeight="1">
      <c r="A28" s="3433"/>
      <c r="B28" s="3433"/>
      <c r="C28" s="1131" t="s">
        <v>1465</v>
      </c>
      <c r="D28" s="1132"/>
      <c r="E28" s="1154">
        <v>0.9</v>
      </c>
      <c r="F28" s="1133" t="s">
        <v>1466</v>
      </c>
      <c r="G28" s="1134"/>
      <c r="H28" s="1105"/>
      <c r="I28" s="1105"/>
    </row>
    <row r="29" spans="1:9" s="1600" customFormat="1" ht="19.5" customHeight="1">
      <c r="A29" s="3433"/>
      <c r="B29" s="3433"/>
      <c r="C29" s="1131" t="s">
        <v>1467</v>
      </c>
      <c r="D29" s="1132"/>
      <c r="E29" s="1154">
        <v>0.9</v>
      </c>
      <c r="F29" s="1133" t="s">
        <v>1468</v>
      </c>
      <c r="G29" s="1134"/>
      <c r="H29" s="1105"/>
      <c r="I29" s="1105"/>
    </row>
    <row r="30" spans="1:9" s="1600" customFormat="1" ht="19.5" customHeight="1">
      <c r="A30" s="3433"/>
      <c r="B30" s="3433"/>
      <c r="C30" s="1131" t="s">
        <v>1469</v>
      </c>
      <c r="D30" s="1132"/>
      <c r="E30" s="1154">
        <v>0.9</v>
      </c>
      <c r="F30" s="1133" t="s">
        <v>1470</v>
      </c>
      <c r="G30" s="1134"/>
      <c r="H30" s="1105"/>
      <c r="I30" s="1105"/>
    </row>
    <row r="31" spans="1:9" s="1600" customFormat="1" ht="19.5" customHeight="1">
      <c r="A31" s="3433"/>
      <c r="B31" s="3433"/>
      <c r="C31" s="1131" t="s">
        <v>1471</v>
      </c>
      <c r="D31" s="1132"/>
      <c r="E31" s="1154">
        <v>0.8</v>
      </c>
      <c r="F31" s="1133" t="s">
        <v>1472</v>
      </c>
      <c r="G31" s="1134"/>
      <c r="H31" s="1105"/>
      <c r="I31" s="1105"/>
    </row>
    <row r="32" spans="1:9" s="1600" customFormat="1" ht="19.5" customHeight="1">
      <c r="A32" s="3433"/>
      <c r="B32" s="3433"/>
      <c r="C32" s="1131" t="s">
        <v>1473</v>
      </c>
      <c r="D32" s="1132"/>
      <c r="E32" s="1154">
        <v>0.8</v>
      </c>
      <c r="F32" s="1133" t="s">
        <v>1474</v>
      </c>
      <c r="G32" s="1134"/>
      <c r="H32" s="1105"/>
      <c r="I32" s="1105"/>
    </row>
    <row r="33" spans="1:9" s="1600" customFormat="1" ht="19.5" customHeight="1">
      <c r="A33" s="3433" t="s">
        <v>1475</v>
      </c>
      <c r="B33" s="1154" t="s">
        <v>1447</v>
      </c>
      <c r="C33" s="1131" t="s">
        <v>1476</v>
      </c>
      <c r="D33" s="1132"/>
      <c r="E33" s="1154">
        <v>1</v>
      </c>
      <c r="F33" s="1133" t="s">
        <v>1477</v>
      </c>
      <c r="G33" s="1134"/>
      <c r="H33" s="1105"/>
      <c r="I33" s="1105"/>
    </row>
    <row r="34" spans="1:9" s="1600" customFormat="1" ht="19.5" customHeight="1">
      <c r="A34" s="3433"/>
      <c r="B34" s="1154" t="s">
        <v>1450</v>
      </c>
      <c r="C34" s="1131" t="s">
        <v>1478</v>
      </c>
      <c r="D34" s="1132"/>
      <c r="E34" s="1154">
        <v>1.5</v>
      </c>
      <c r="F34" s="1133" t="s">
        <v>1479</v>
      </c>
      <c r="G34" s="1134"/>
      <c r="H34" s="1105"/>
      <c r="I34" s="1105"/>
    </row>
    <row r="35" spans="1:9" s="1600" customFormat="1" ht="19.5" customHeight="1">
      <c r="A35" s="3433" t="s">
        <v>1433</v>
      </c>
      <c r="B35" s="1154" t="s">
        <v>1447</v>
      </c>
      <c r="C35" s="1131" t="s">
        <v>1480</v>
      </c>
      <c r="D35" s="1132"/>
      <c r="E35" s="1154">
        <v>1</v>
      </c>
      <c r="F35" s="1133" t="s">
        <v>1481</v>
      </c>
      <c r="G35" s="1134"/>
      <c r="H35" s="1105"/>
      <c r="I35" s="1105"/>
    </row>
    <row r="36" spans="1:9" s="1600" customFormat="1" ht="19.5" customHeight="1">
      <c r="A36" s="3433"/>
      <c r="B36" s="3433" t="s">
        <v>1450</v>
      </c>
      <c r="C36" s="1131" t="s">
        <v>1482</v>
      </c>
      <c r="D36" s="1132"/>
      <c r="E36" s="1154">
        <v>1</v>
      </c>
      <c r="F36" s="1133" t="s">
        <v>1483</v>
      </c>
      <c r="G36" s="1134"/>
      <c r="H36" s="1105"/>
      <c r="I36" s="1105"/>
    </row>
    <row r="37" spans="1:9" s="1600" customFormat="1" ht="19.5" customHeight="1">
      <c r="A37" s="3433"/>
      <c r="B37" s="3433"/>
      <c r="C37" s="1131" t="s">
        <v>1484</v>
      </c>
      <c r="D37" s="1132"/>
      <c r="E37" s="1154">
        <v>1.5</v>
      </c>
      <c r="F37" s="1133" t="s">
        <v>1485</v>
      </c>
      <c r="G37" s="1134"/>
      <c r="H37" s="1105"/>
      <c r="I37" s="1105"/>
    </row>
    <row r="38" spans="1:9" s="1600" customFormat="1" ht="19.5" customHeight="1">
      <c r="A38" s="3433"/>
      <c r="B38" s="3433"/>
      <c r="C38" s="1131" t="s">
        <v>1486</v>
      </c>
      <c r="D38" s="1132"/>
      <c r="E38" s="1154">
        <v>1</v>
      </c>
      <c r="F38" s="1133" t="s">
        <v>1487</v>
      </c>
      <c r="G38" s="1134"/>
      <c r="H38" s="1105"/>
      <c r="I38" s="1105"/>
    </row>
    <row r="39" spans="1:9" s="1600" customFormat="1" ht="19.5" customHeight="1">
      <c r="A39" s="3433"/>
      <c r="B39" s="343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3" t="s">
        <v>1502</v>
      </c>
      <c r="C61" s="1068" t="s">
        <v>1503</v>
      </c>
      <c r="D61" s="1068" t="s">
        <v>1504</v>
      </c>
      <c r="E61" s="1139">
        <v>0.5</v>
      </c>
      <c r="F61" s="1154">
        <v>80</v>
      </c>
      <c r="H61" s="1105">
        <f>SUMIF(C59:C119,基准地价!C8,E59:E119)</f>
        <v>0</v>
      </c>
    </row>
    <row r="62" spans="1:8" s="1105" customFormat="1" ht="24">
      <c r="A62" s="1154">
        <v>2</v>
      </c>
      <c r="B62" s="3433"/>
      <c r="C62" s="1068" t="s">
        <v>1505</v>
      </c>
      <c r="D62" s="1068" t="s">
        <v>1506</v>
      </c>
      <c r="E62" s="1139">
        <v>0.5</v>
      </c>
      <c r="F62" s="1154">
        <v>80</v>
      </c>
    </row>
    <row r="63" spans="1:8" s="1105" customFormat="1" ht="36">
      <c r="A63" s="1154">
        <v>3</v>
      </c>
      <c r="B63" s="3433"/>
      <c r="C63" s="1068" t="s">
        <v>1507</v>
      </c>
      <c r="D63" s="1068" t="s">
        <v>1508</v>
      </c>
      <c r="E63" s="1139">
        <v>0.5</v>
      </c>
      <c r="F63" s="1154">
        <v>80</v>
      </c>
    </row>
    <row r="64" spans="1:8" s="1105" customFormat="1" ht="36">
      <c r="A64" s="1154">
        <v>4</v>
      </c>
      <c r="B64" s="3433"/>
      <c r="C64" s="1068" t="s">
        <v>1509</v>
      </c>
      <c r="D64" s="1068" t="s">
        <v>1510</v>
      </c>
      <c r="E64" s="1139">
        <v>0.4</v>
      </c>
      <c r="F64" s="1154">
        <v>60</v>
      </c>
    </row>
    <row r="65" spans="1:6" s="1105" customFormat="1" ht="36">
      <c r="A65" s="1154">
        <v>5</v>
      </c>
      <c r="B65" s="3433"/>
      <c r="C65" s="1068" t="s">
        <v>1511</v>
      </c>
      <c r="D65" s="1068" t="s">
        <v>1512</v>
      </c>
      <c r="E65" s="1139">
        <v>0.2</v>
      </c>
      <c r="F65" s="1154">
        <v>30</v>
      </c>
    </row>
    <row r="66" spans="1:6" s="1105" customFormat="1" ht="36">
      <c r="A66" s="1154">
        <v>6</v>
      </c>
      <c r="B66" s="3433"/>
      <c r="C66" s="1068" t="s">
        <v>1513</v>
      </c>
      <c r="D66" s="1068" t="s">
        <v>1514</v>
      </c>
      <c r="E66" s="1139">
        <v>0.3</v>
      </c>
      <c r="F66" s="1154">
        <v>50</v>
      </c>
    </row>
    <row r="67" spans="1:6" s="1105" customFormat="1" ht="36">
      <c r="A67" s="1154">
        <v>7</v>
      </c>
      <c r="B67" s="3433"/>
      <c r="C67" s="1068" t="s">
        <v>1515</v>
      </c>
      <c r="D67" s="1068" t="s">
        <v>1516</v>
      </c>
      <c r="E67" s="1139">
        <v>0.2</v>
      </c>
      <c r="F67" s="1154">
        <v>30</v>
      </c>
    </row>
    <row r="68" spans="1:6" s="1105" customFormat="1" ht="36">
      <c r="A68" s="1154">
        <v>8</v>
      </c>
      <c r="B68" s="3433"/>
      <c r="C68" s="1068" t="s">
        <v>1517</v>
      </c>
      <c r="D68" s="1068" t="s">
        <v>1518</v>
      </c>
      <c r="E68" s="1139">
        <v>0.2</v>
      </c>
      <c r="F68" s="1154">
        <v>30</v>
      </c>
    </row>
    <row r="69" spans="1:6" s="1105" customFormat="1" ht="36">
      <c r="A69" s="1154">
        <v>9</v>
      </c>
      <c r="B69" s="3433"/>
      <c r="C69" s="1068" t="s">
        <v>1519</v>
      </c>
      <c r="D69" s="1068" t="s">
        <v>1520</v>
      </c>
      <c r="E69" s="1139">
        <v>0.2</v>
      </c>
      <c r="F69" s="1154">
        <v>30</v>
      </c>
    </row>
    <row r="70" spans="1:6" s="1105" customFormat="1" ht="48">
      <c r="A70" s="1154">
        <v>10</v>
      </c>
      <c r="B70" s="3433"/>
      <c r="C70" s="1068" t="s">
        <v>1521</v>
      </c>
      <c r="D70" s="1068" t="s">
        <v>1522</v>
      </c>
      <c r="E70" s="1139">
        <v>0.2</v>
      </c>
      <c r="F70" s="1154">
        <v>30</v>
      </c>
    </row>
    <row r="71" spans="1:6" s="1105" customFormat="1" ht="48">
      <c r="A71" s="1154">
        <v>11</v>
      </c>
      <c r="B71" s="3433"/>
      <c r="C71" s="1068" t="s">
        <v>1523</v>
      </c>
      <c r="D71" s="1068" t="s">
        <v>1524</v>
      </c>
      <c r="E71" s="1139">
        <v>0.2</v>
      </c>
      <c r="F71" s="1154">
        <v>30</v>
      </c>
    </row>
    <row r="72" spans="1:6" s="1105" customFormat="1" ht="36">
      <c r="A72" s="1154">
        <v>12</v>
      </c>
      <c r="B72" s="3433"/>
      <c r="C72" s="1068" t="s">
        <v>1525</v>
      </c>
      <c r="D72" s="1068" t="s">
        <v>1526</v>
      </c>
      <c r="E72" s="1139">
        <v>0.5</v>
      </c>
      <c r="F72" s="1154">
        <v>80</v>
      </c>
    </row>
    <row r="73" spans="1:6" s="1105" customFormat="1" ht="24">
      <c r="A73" s="1154">
        <v>13</v>
      </c>
      <c r="B73" s="3433"/>
      <c r="C73" s="1068" t="s">
        <v>1527</v>
      </c>
      <c r="D73" s="1068" t="s">
        <v>1528</v>
      </c>
      <c r="E73" s="1139">
        <v>0.4</v>
      </c>
      <c r="F73" s="1154">
        <v>60</v>
      </c>
    </row>
    <row r="74" spans="1:6" s="1105" customFormat="1" ht="24">
      <c r="A74" s="1154">
        <v>14</v>
      </c>
      <c r="B74" s="3433"/>
      <c r="C74" s="1068" t="s">
        <v>1529</v>
      </c>
      <c r="D74" s="1068" t="s">
        <v>1530</v>
      </c>
      <c r="E74" s="1139">
        <v>0.2</v>
      </c>
      <c r="F74" s="1154">
        <v>30</v>
      </c>
    </row>
    <row r="75" spans="1:6" s="1105" customFormat="1" ht="24">
      <c r="A75" s="1154">
        <v>15</v>
      </c>
      <c r="B75" s="3433"/>
      <c r="C75" s="1068" t="s">
        <v>1531</v>
      </c>
      <c r="D75" s="1068" t="s">
        <v>1532</v>
      </c>
      <c r="E75" s="1139">
        <v>0.2</v>
      </c>
      <c r="F75" s="1154">
        <v>30</v>
      </c>
    </row>
    <row r="76" spans="1:6" s="1105" customFormat="1" ht="24">
      <c r="A76" s="1154">
        <v>16</v>
      </c>
      <c r="B76" s="3433" t="s">
        <v>1533</v>
      </c>
      <c r="C76" s="1068" t="s">
        <v>1534</v>
      </c>
      <c r="D76" s="1068" t="s">
        <v>1535</v>
      </c>
      <c r="E76" s="1139">
        <v>0.5</v>
      </c>
      <c r="F76" s="1154">
        <v>80</v>
      </c>
    </row>
    <row r="77" spans="1:6" s="1105" customFormat="1" ht="24">
      <c r="A77" s="1154">
        <v>17</v>
      </c>
      <c r="B77" s="3433"/>
      <c r="C77" s="1068" t="s">
        <v>1536</v>
      </c>
      <c r="D77" s="1068" t="s">
        <v>1537</v>
      </c>
      <c r="E77" s="1139">
        <v>0.5</v>
      </c>
      <c r="F77" s="1154">
        <v>80</v>
      </c>
    </row>
    <row r="78" spans="1:6" s="1105" customFormat="1" ht="24">
      <c r="A78" s="1154">
        <v>18</v>
      </c>
      <c r="B78" s="3433"/>
      <c r="C78" s="1068" t="s">
        <v>1538</v>
      </c>
      <c r="D78" s="1068" t="s">
        <v>1539</v>
      </c>
      <c r="E78" s="1139">
        <v>0.2</v>
      </c>
      <c r="F78" s="1154">
        <v>30</v>
      </c>
    </row>
    <row r="79" spans="1:6" s="1105" customFormat="1" ht="24">
      <c r="A79" s="1154">
        <v>19</v>
      </c>
      <c r="B79" s="3433"/>
      <c r="C79" s="1068" t="s">
        <v>1540</v>
      </c>
      <c r="D79" s="1068" t="s">
        <v>1541</v>
      </c>
      <c r="E79" s="1139">
        <v>0.5</v>
      </c>
      <c r="F79" s="1154">
        <v>80</v>
      </c>
    </row>
    <row r="80" spans="1:6" s="1105" customFormat="1" ht="36">
      <c r="A80" s="1154">
        <v>20</v>
      </c>
      <c r="B80" s="3433"/>
      <c r="C80" s="1068" t="s">
        <v>1542</v>
      </c>
      <c r="D80" s="1068" t="s">
        <v>1543</v>
      </c>
      <c r="E80" s="1139">
        <v>0.2</v>
      </c>
      <c r="F80" s="1154">
        <v>30</v>
      </c>
    </row>
    <row r="81" spans="1:6" s="1105" customFormat="1" ht="36">
      <c r="A81" s="1154">
        <v>21</v>
      </c>
      <c r="B81" s="3433"/>
      <c r="C81" s="1068" t="s">
        <v>1544</v>
      </c>
      <c r="D81" s="1068" t="s">
        <v>1545</v>
      </c>
      <c r="E81" s="1139">
        <v>0.2</v>
      </c>
      <c r="F81" s="1154">
        <v>30</v>
      </c>
    </row>
    <row r="82" spans="1:6" s="1105" customFormat="1" ht="48">
      <c r="A82" s="1154">
        <v>22</v>
      </c>
      <c r="B82" s="3433"/>
      <c r="C82" s="1068" t="s">
        <v>1546</v>
      </c>
      <c r="D82" s="1068" t="s">
        <v>1547</v>
      </c>
      <c r="E82" s="1139">
        <v>0.2</v>
      </c>
      <c r="F82" s="1154">
        <v>30</v>
      </c>
    </row>
    <row r="83" spans="1:6" s="1105" customFormat="1" ht="48">
      <c r="A83" s="1154">
        <v>23</v>
      </c>
      <c r="B83" s="3433"/>
      <c r="C83" s="1068" t="s">
        <v>1548</v>
      </c>
      <c r="D83" s="1068" t="s">
        <v>1549</v>
      </c>
      <c r="E83" s="1139">
        <v>0.2</v>
      </c>
      <c r="F83" s="1154">
        <v>30</v>
      </c>
    </row>
    <row r="84" spans="1:6" s="1105" customFormat="1" ht="36">
      <c r="A84" s="1154">
        <v>24</v>
      </c>
      <c r="B84" s="3433"/>
      <c r="C84" s="1068" t="s">
        <v>1550</v>
      </c>
      <c r="D84" s="1068" t="s">
        <v>1551</v>
      </c>
      <c r="E84" s="1139">
        <v>0.2</v>
      </c>
      <c r="F84" s="1154">
        <v>30</v>
      </c>
    </row>
    <row r="85" spans="1:6" s="1105" customFormat="1" ht="36">
      <c r="A85" s="1154">
        <v>25</v>
      </c>
      <c r="B85" s="3433"/>
      <c r="C85" s="1068" t="s">
        <v>1552</v>
      </c>
      <c r="D85" s="1068" t="s">
        <v>1553</v>
      </c>
      <c r="E85" s="1139">
        <v>0.5</v>
      </c>
      <c r="F85" s="1154">
        <v>80</v>
      </c>
    </row>
    <row r="86" spans="1:6" s="1105" customFormat="1" ht="36">
      <c r="A86" s="1154">
        <v>26</v>
      </c>
      <c r="B86" s="3433"/>
      <c r="C86" s="1068" t="s">
        <v>1554</v>
      </c>
      <c r="D86" s="1068" t="s">
        <v>1555</v>
      </c>
      <c r="E86" s="1139">
        <v>0.2</v>
      </c>
      <c r="F86" s="1154">
        <v>30</v>
      </c>
    </row>
    <row r="87" spans="1:6" s="1105" customFormat="1" ht="36">
      <c r="A87" s="1154">
        <v>27</v>
      </c>
      <c r="B87" s="3433"/>
      <c r="C87" s="1068" t="s">
        <v>1556</v>
      </c>
      <c r="D87" s="1068" t="s">
        <v>1557</v>
      </c>
      <c r="E87" s="1139">
        <v>0.2</v>
      </c>
      <c r="F87" s="1154">
        <v>30</v>
      </c>
    </row>
    <row r="88" spans="1:6" s="1105" customFormat="1" ht="36">
      <c r="A88" s="1154">
        <v>28</v>
      </c>
      <c r="B88" s="3433"/>
      <c r="C88" s="1068" t="s">
        <v>1558</v>
      </c>
      <c r="D88" s="1068" t="s">
        <v>1559</v>
      </c>
      <c r="E88" s="1139">
        <v>0.2</v>
      </c>
      <c r="F88" s="1154">
        <v>30</v>
      </c>
    </row>
    <row r="89" spans="1:6" s="1105" customFormat="1" ht="24">
      <c r="A89" s="1154">
        <v>29</v>
      </c>
      <c r="B89" s="3433"/>
      <c r="C89" s="1068" t="s">
        <v>1560</v>
      </c>
      <c r="D89" s="1068" t="s">
        <v>1561</v>
      </c>
      <c r="E89" s="1139">
        <v>0.2</v>
      </c>
      <c r="F89" s="1154">
        <v>30</v>
      </c>
    </row>
    <row r="90" spans="1:6" s="1105" customFormat="1" ht="24">
      <c r="A90" s="1154">
        <v>30</v>
      </c>
      <c r="B90" s="3433"/>
      <c r="C90" s="1068" t="s">
        <v>1562</v>
      </c>
      <c r="D90" s="1068" t="s">
        <v>1563</v>
      </c>
      <c r="E90" s="1139">
        <v>0.2</v>
      </c>
      <c r="F90" s="1154">
        <v>30</v>
      </c>
    </row>
    <row r="91" spans="1:6" s="1105" customFormat="1" ht="36">
      <c r="A91" s="1154">
        <v>31</v>
      </c>
      <c r="B91" s="3433"/>
      <c r="C91" s="1068" t="s">
        <v>1564</v>
      </c>
      <c r="D91" s="1068" t="s">
        <v>1565</v>
      </c>
      <c r="E91" s="1139">
        <v>0.2</v>
      </c>
      <c r="F91" s="1154">
        <v>30</v>
      </c>
    </row>
    <row r="92" spans="1:6" s="1105" customFormat="1" ht="24">
      <c r="A92" s="1154">
        <v>32</v>
      </c>
      <c r="B92" s="3433" t="s">
        <v>1566</v>
      </c>
      <c r="C92" s="1154" t="s">
        <v>1567</v>
      </c>
      <c r="D92" s="1068" t="s">
        <v>1568</v>
      </c>
      <c r="E92" s="1139">
        <v>0.2</v>
      </c>
      <c r="F92" s="1154">
        <v>30</v>
      </c>
    </row>
    <row r="93" spans="1:6" s="1105" customFormat="1" ht="36">
      <c r="A93" s="1154">
        <v>33</v>
      </c>
      <c r="B93" s="3433"/>
      <c r="C93" s="1154" t="s">
        <v>1569</v>
      </c>
      <c r="D93" s="1068" t="s">
        <v>1570</v>
      </c>
      <c r="E93" s="1139">
        <v>0.2</v>
      </c>
      <c r="F93" s="1154">
        <v>30</v>
      </c>
    </row>
    <row r="94" spans="1:6" s="1105" customFormat="1" ht="48">
      <c r="A94" s="1154">
        <v>34</v>
      </c>
      <c r="B94" s="3433"/>
      <c r="C94" s="1154" t="s">
        <v>1571</v>
      </c>
      <c r="D94" s="1068" t="s">
        <v>1572</v>
      </c>
      <c r="E94" s="1139">
        <v>0.2</v>
      </c>
      <c r="F94" s="1154">
        <v>30</v>
      </c>
    </row>
    <row r="95" spans="1:6" s="1105" customFormat="1" ht="36">
      <c r="A95" s="1154">
        <v>35</v>
      </c>
      <c r="B95" s="3433"/>
      <c r="C95" s="1154" t="s">
        <v>1573</v>
      </c>
      <c r="D95" s="1068" t="s">
        <v>1574</v>
      </c>
      <c r="E95" s="1139">
        <v>0.2</v>
      </c>
      <c r="F95" s="1154">
        <v>30</v>
      </c>
    </row>
    <row r="96" spans="1:6" s="1105" customFormat="1" ht="48">
      <c r="A96" s="1154">
        <v>36</v>
      </c>
      <c r="B96" s="3433"/>
      <c r="C96" s="1068" t="s">
        <v>1575</v>
      </c>
      <c r="D96" s="1068" t="s">
        <v>1576</v>
      </c>
      <c r="E96" s="1139">
        <v>0.2</v>
      </c>
      <c r="F96" s="1154">
        <v>30</v>
      </c>
    </row>
    <row r="97" spans="1:6" s="1105" customFormat="1" ht="36">
      <c r="A97" s="1154">
        <v>37</v>
      </c>
      <c r="B97" s="3433"/>
      <c r="C97" s="1154" t="s">
        <v>1577</v>
      </c>
      <c r="D97" s="1068" t="s">
        <v>1578</v>
      </c>
      <c r="E97" s="1139">
        <v>0.2</v>
      </c>
      <c r="F97" s="1154">
        <v>30</v>
      </c>
    </row>
    <row r="98" spans="1:6" s="1105" customFormat="1" ht="36">
      <c r="A98" s="1154">
        <v>38</v>
      </c>
      <c r="B98" s="3433"/>
      <c r="C98" s="1154" t="s">
        <v>1579</v>
      </c>
      <c r="D98" s="1068" t="s">
        <v>1580</v>
      </c>
      <c r="E98" s="1139">
        <v>0.2</v>
      </c>
      <c r="F98" s="1154">
        <v>30</v>
      </c>
    </row>
    <row r="99" spans="1:6" s="1105" customFormat="1" ht="36">
      <c r="A99" s="1154">
        <v>39</v>
      </c>
      <c r="B99" s="3433" t="s">
        <v>1581</v>
      </c>
      <c r="C99" s="1154" t="s">
        <v>1582</v>
      </c>
      <c r="D99" s="1068" t="s">
        <v>1583</v>
      </c>
      <c r="E99" s="1139">
        <v>0.3</v>
      </c>
      <c r="F99" s="1154">
        <v>50</v>
      </c>
    </row>
    <row r="100" spans="1:6" s="1105" customFormat="1" ht="24">
      <c r="A100" s="1154">
        <v>40</v>
      </c>
      <c r="B100" s="3433"/>
      <c r="C100" s="1154" t="s">
        <v>1584</v>
      </c>
      <c r="D100" s="1068" t="s">
        <v>1585</v>
      </c>
      <c r="E100" s="1139">
        <v>0.2</v>
      </c>
      <c r="F100" s="1154">
        <v>30</v>
      </c>
    </row>
    <row r="101" spans="1:6" s="1105" customFormat="1" ht="36">
      <c r="A101" s="1154">
        <v>41</v>
      </c>
      <c r="B101" s="343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3" t="s">
        <v>1596</v>
      </c>
      <c r="C105" s="1154" t="s">
        <v>1597</v>
      </c>
      <c r="D105" s="1068" t="s">
        <v>1598</v>
      </c>
      <c r="E105" s="1139">
        <v>0.2</v>
      </c>
      <c r="F105" s="1154">
        <v>30</v>
      </c>
    </row>
    <row r="106" spans="1:6" s="1105" customFormat="1" ht="36">
      <c r="A106" s="1154">
        <v>46</v>
      </c>
      <c r="B106" s="3433"/>
      <c r="C106" s="1154" t="s">
        <v>1599</v>
      </c>
      <c r="D106" s="1068" t="s">
        <v>1600</v>
      </c>
      <c r="E106" s="1139">
        <v>0.2</v>
      </c>
      <c r="F106" s="1154">
        <v>30</v>
      </c>
    </row>
    <row r="107" spans="1:6" s="1105" customFormat="1" ht="36">
      <c r="A107" s="1154">
        <v>47</v>
      </c>
      <c r="B107" s="3433" t="s">
        <v>1601</v>
      </c>
      <c r="C107" s="1154" t="s">
        <v>1602</v>
      </c>
      <c r="D107" s="1068" t="s">
        <v>1603</v>
      </c>
      <c r="E107" s="1139">
        <v>0.3</v>
      </c>
      <c r="F107" s="1154">
        <v>50</v>
      </c>
    </row>
    <row r="108" spans="1:6" s="1105" customFormat="1" ht="36">
      <c r="A108" s="1154">
        <v>48</v>
      </c>
      <c r="B108" s="343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3" t="s">
        <v>1612</v>
      </c>
      <c r="C111" s="1154" t="s">
        <v>1613</v>
      </c>
      <c r="D111" s="1068" t="s">
        <v>1614</v>
      </c>
      <c r="E111" s="1139">
        <v>0.2</v>
      </c>
      <c r="F111" s="1154">
        <v>30</v>
      </c>
    </row>
    <row r="112" spans="1:6" s="1105" customFormat="1" ht="24">
      <c r="A112" s="1154">
        <v>52</v>
      </c>
      <c r="B112" s="3433"/>
      <c r="C112" s="1154" t="s">
        <v>1615</v>
      </c>
      <c r="D112" s="1068" t="s">
        <v>1616</v>
      </c>
      <c r="E112" s="1139">
        <v>0.2</v>
      </c>
      <c r="F112" s="1154">
        <v>30</v>
      </c>
    </row>
    <row r="113" spans="1:14" s="1105" customFormat="1" ht="24">
      <c r="A113" s="1154">
        <v>53</v>
      </c>
      <c r="B113" s="343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3" t="s">
        <v>1625</v>
      </c>
      <c r="C116" s="1154" t="s">
        <v>1626</v>
      </c>
      <c r="D116" s="1068" t="s">
        <v>1627</v>
      </c>
      <c r="E116" s="1139">
        <v>0.2</v>
      </c>
      <c r="F116" s="1154">
        <v>30</v>
      </c>
    </row>
    <row r="117" spans="1:14" ht="36">
      <c r="A117" s="1154">
        <v>57</v>
      </c>
      <c r="B117" s="343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2" t="s">
        <v>1634</v>
      </c>
      <c r="B121" s="3432"/>
      <c r="C121" s="3432"/>
      <c r="D121" s="3432"/>
      <c r="E121" s="3432"/>
      <c r="F121" s="3432"/>
      <c r="G121" s="3432"/>
      <c r="H121" s="3432"/>
      <c r="I121" s="3432"/>
      <c r="J121" s="343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7" t="s">
        <v>1040</v>
      </c>
      <c r="B1" s="3437"/>
      <c r="C1" s="3437"/>
      <c r="D1" s="3437"/>
      <c r="E1" s="3437"/>
      <c r="F1" s="343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8" t="s">
        <v>1053</v>
      </c>
      <c r="B2" s="3438"/>
      <c r="C2" s="3438"/>
      <c r="D2" s="3438"/>
      <c r="E2" s="3438"/>
      <c r="F2" s="343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1" t="s">
        <v>2080</v>
      </c>
      <c r="B1" s="344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2952</v>
      </c>
      <c r="B1" s="3080"/>
      <c r="C1" s="3080"/>
      <c r="D1" s="3080"/>
      <c r="E1" s="3080"/>
      <c r="F1" s="3080"/>
    </row>
    <row r="2" spans="1:6" ht="14.25">
      <c r="A2" s="3081" t="s">
        <v>2947</v>
      </c>
      <c r="B2" s="3082" t="e">
        <f ca="1">SUMIF(B7:B14,"&lt;&gt;#ref!",B7:B14)</f>
        <v>#DIV/0!</v>
      </c>
      <c r="C2" s="3081" t="s">
        <v>2948</v>
      </c>
      <c r="D2" s="3080"/>
      <c r="E2" s="3080"/>
      <c r="F2" s="3080"/>
    </row>
    <row r="3" spans="1:6" ht="14.25">
      <c r="A3" s="3081" t="s">
        <v>2980</v>
      </c>
      <c r="B3" s="3082" t="e">
        <f ca="1">ROUND(B2*10000/E3,0)</f>
        <v>#DIV/0!</v>
      </c>
      <c r="C3" s="3081" t="s">
        <v>2079</v>
      </c>
      <c r="D3" s="3081" t="s">
        <v>2949</v>
      </c>
      <c r="E3" s="3082">
        <f ca="1">SUMIF(E7:E14,"&lt;&gt;#ref!",E7:E14)</f>
        <v>0</v>
      </c>
      <c r="F3" s="3080"/>
    </row>
    <row r="4" spans="1:6" ht="14.25">
      <c r="A4" s="3081" t="s">
        <v>2956</v>
      </c>
      <c r="B4" s="3082" t="e">
        <f ca="1">ROUND(B2*10000/E4,0)</f>
        <v>#DIV/0!</v>
      </c>
      <c r="C4" s="3081" t="s">
        <v>2079</v>
      </c>
      <c r="D4" s="3081" t="s">
        <v>2957</v>
      </c>
      <c r="E4" s="3082">
        <f ca="1">SUMIF(F7:F14,"&lt;&gt;#ref!",F7:F14)</f>
        <v>0</v>
      </c>
      <c r="F4" s="3080"/>
    </row>
    <row r="5" spans="1:6" ht="14.25">
      <c r="A5" s="3083"/>
      <c r="B5" s="1882"/>
      <c r="C5" s="1882"/>
      <c r="D5" s="1882"/>
      <c r="E5" s="1882"/>
      <c r="F5" s="3080"/>
    </row>
    <row r="6" spans="1:6" ht="28.5">
      <c r="A6" s="3084" t="s">
        <v>2953</v>
      </c>
      <c r="B6" s="3081" t="s">
        <v>2950</v>
      </c>
      <c r="C6" s="3082"/>
      <c r="D6" s="1882"/>
      <c r="E6" s="3081" t="s">
        <v>2951</v>
      </c>
      <c r="F6" s="3081" t="s">
        <v>2955</v>
      </c>
    </row>
    <row r="7" spans="1:6" ht="14.25">
      <c r="A7" s="260" t="s">
        <v>2954</v>
      </c>
      <c r="B7" s="3085" t="e">
        <f ca="1">SUMIF(INDIRECT("'"&amp;A7&amp;"'"&amp;"!A:A"),"总价",INDIRECT("'"&amp;A7&amp;"'"&amp;"!B:B"))</f>
        <v>#DIV/0!</v>
      </c>
      <c r="C7" s="3081" t="s">
        <v>2948</v>
      </c>
      <c r="D7" s="1882"/>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2948</v>
      </c>
      <c r="D8" s="1882"/>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2948</v>
      </c>
      <c r="D9" s="1882"/>
      <c r="E9" s="3086" t="e">
        <f t="shared" ca="1" si="1"/>
        <v>#REF!</v>
      </c>
      <c r="F9" s="3086" t="e">
        <f t="shared" ca="1" si="2"/>
        <v>#REF!</v>
      </c>
    </row>
    <row r="10" spans="1:6" ht="14.25">
      <c r="A10" s="260"/>
      <c r="B10" s="3085" t="e">
        <f t="shared" ca="1" si="0"/>
        <v>#REF!</v>
      </c>
      <c r="C10" s="3081" t="s">
        <v>2948</v>
      </c>
      <c r="D10" s="1882"/>
      <c r="E10" s="3086" t="e">
        <f t="shared" ca="1" si="1"/>
        <v>#REF!</v>
      </c>
      <c r="F10" s="3086" t="e">
        <f t="shared" ca="1" si="2"/>
        <v>#REF!</v>
      </c>
    </row>
    <row r="11" spans="1:6" ht="14.25">
      <c r="A11" s="260"/>
      <c r="B11" s="3085" t="e">
        <f t="shared" ca="1" si="0"/>
        <v>#REF!</v>
      </c>
      <c r="C11" s="3081" t="s">
        <v>2948</v>
      </c>
      <c r="D11" s="1882"/>
      <c r="E11" s="3086" t="e">
        <f t="shared" ca="1" si="1"/>
        <v>#REF!</v>
      </c>
      <c r="F11" s="3086" t="e">
        <f t="shared" ca="1" si="2"/>
        <v>#REF!</v>
      </c>
    </row>
    <row r="12" spans="1:6" ht="14.25">
      <c r="A12" s="260"/>
      <c r="B12" s="3085" t="e">
        <f t="shared" ca="1" si="0"/>
        <v>#REF!</v>
      </c>
      <c r="C12" s="3081" t="s">
        <v>2948</v>
      </c>
      <c r="D12" s="1882"/>
      <c r="E12" s="3086" t="e">
        <f t="shared" ca="1" si="1"/>
        <v>#REF!</v>
      </c>
      <c r="F12" s="3086" t="e">
        <f t="shared" ca="1" si="2"/>
        <v>#REF!</v>
      </c>
    </row>
    <row r="13" spans="1:6" ht="14.25">
      <c r="A13" s="260"/>
      <c r="B13" s="3085" t="e">
        <f t="shared" ca="1" si="0"/>
        <v>#REF!</v>
      </c>
      <c r="C13" s="3081" t="s">
        <v>2948</v>
      </c>
      <c r="D13" s="1882"/>
      <c r="E13" s="3086" t="e">
        <f t="shared" ca="1" si="1"/>
        <v>#REF!</v>
      </c>
      <c r="F13" s="3086" t="e">
        <f t="shared" ca="1" si="2"/>
        <v>#REF!</v>
      </c>
    </row>
    <row r="14" spans="1:6" ht="14.25">
      <c r="A14" s="3079"/>
      <c r="B14" s="3085" t="e">
        <f t="shared" ca="1" si="0"/>
        <v>#REF!</v>
      </c>
      <c r="C14" s="3081" t="s">
        <v>2948</v>
      </c>
      <c r="D14" s="1882"/>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5" t="s">
        <v>2375</v>
      </c>
      <c r="F1" s="2366">
        <f ca="1">J54</f>
        <v>-2</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4" t="s">
        <v>2462</v>
      </c>
      <c r="E7" s="2468"/>
      <c r="F7" s="2469"/>
      <c r="G7" s="1593"/>
      <c r="H7" s="781">
        <v>1</v>
      </c>
      <c r="I7" s="782" t="s">
        <v>2459</v>
      </c>
      <c r="J7" s="53">
        <f ca="1">J8+J12+J14</f>
        <v>0</v>
      </c>
      <c r="K7" s="2474" t="s">
        <v>2462</v>
      </c>
      <c r="L7" s="2468"/>
      <c r="M7" s="2469"/>
    </row>
    <row r="8" spans="1:25" ht="18" customHeight="1">
      <c r="A8" s="1831" t="s">
        <v>1825</v>
      </c>
      <c r="B8" s="3443" t="s">
        <v>2464</v>
      </c>
      <c r="C8" s="1826">
        <f ca="1">ROUND(F8*F10*F9*(1-F11)/10000,0)</f>
        <v>0</v>
      </c>
      <c r="D8" s="1823" t="s">
        <v>2535</v>
      </c>
      <c r="E8" s="61" t="s">
        <v>637</v>
      </c>
      <c r="F8" s="785">
        <f ca="1">INDIRECT("'数据-取费表'!u"&amp;$G$1)</f>
        <v>0</v>
      </c>
      <c r="G8" s="1593"/>
      <c r="H8" s="2482" t="s">
        <v>1825</v>
      </c>
      <c r="I8" s="3443" t="s">
        <v>2464</v>
      </c>
      <c r="J8" s="783">
        <f ca="1">ROUND(M8*M10*M9*(1-M11)/10000,0)</f>
        <v>0</v>
      </c>
      <c r="K8" s="341" t="s">
        <v>2535</v>
      </c>
      <c r="L8" s="784" t="s">
        <v>1739</v>
      </c>
      <c r="M8" s="785">
        <f ca="1">INDIRECT("'数据-取费表'!z"&amp;$G$1)</f>
        <v>0</v>
      </c>
    </row>
    <row r="9" spans="1:25" ht="18" customHeight="1">
      <c r="A9" s="2478"/>
      <c r="B9" s="3444"/>
      <c r="C9" s="1827"/>
      <c r="D9" s="1824"/>
      <c r="E9" s="61" t="s">
        <v>638</v>
      </c>
      <c r="F9" s="785">
        <f ca="1">IF(INDIRECT("'数据-取费表'!ah"&amp;$G$1)="",INDIRECT("'数据-取费表'!k"&amp;$G$1),INDIRECT("'数据-取费表'!ah"&amp;$G$1))</f>
        <v>0</v>
      </c>
      <c r="G9" s="1593"/>
      <c r="H9" s="2467"/>
      <c r="I9" s="3444"/>
      <c r="J9" s="788"/>
      <c r="K9" s="789"/>
      <c r="L9" s="784" t="s">
        <v>1740</v>
      </c>
      <c r="M9" s="785">
        <f ca="1">F9</f>
        <v>0</v>
      </c>
    </row>
    <row r="10" spans="1:25" ht="18" customHeight="1">
      <c r="A10" s="2471"/>
      <c r="B10" s="3445"/>
      <c r="C10" s="1827"/>
      <c r="D10" s="1824"/>
      <c r="E10" s="61" t="s">
        <v>639</v>
      </c>
      <c r="F10" s="785">
        <f ca="1">INDIRECT("'数据-取费表'!ai"&amp;$G$1)</f>
        <v>0</v>
      </c>
      <c r="G10" s="1593"/>
      <c r="H10" s="2467"/>
      <c r="I10" s="3445"/>
      <c r="J10" s="788"/>
      <c r="K10" s="789"/>
      <c r="L10" s="784" t="s">
        <v>1741</v>
      </c>
      <c r="M10" s="785">
        <f ca="1">INDIRECT("'数据-取费表'!ai"&amp;$G$1)</f>
        <v>0</v>
      </c>
    </row>
    <row r="11" spans="1:25" ht="18" customHeight="1">
      <c r="A11" s="786"/>
      <c r="B11" s="3446"/>
      <c r="C11" s="1827"/>
      <c r="D11" s="1824"/>
      <c r="E11" s="61" t="s">
        <v>640</v>
      </c>
      <c r="F11" s="794">
        <f ca="1">INDIRECT("'数据-取费表'!w"&amp;$G$1)</f>
        <v>0</v>
      </c>
      <c r="G11" s="1593"/>
      <c r="H11" s="2483"/>
      <c r="I11" s="3445"/>
      <c r="J11" s="788"/>
      <c r="K11" s="789"/>
      <c r="L11" s="795" t="s">
        <v>1742</v>
      </c>
      <c r="M11" s="796">
        <f ca="1">INDIRECT("'数据-取费表'!ab"&amp;$G$1)</f>
        <v>0</v>
      </c>
    </row>
    <row r="12" spans="1:25" ht="18" customHeight="1">
      <c r="A12" s="1831" t="s">
        <v>1826</v>
      </c>
      <c r="B12" s="2472" t="s">
        <v>2460</v>
      </c>
      <c r="C12" s="799">
        <f ca="1">ROUND(IF(F12="押一",C8/12*F13,IF(F12="押二",C8/12*2*F13,IF(F12="押三",C8/12*3*F13,C13*F13))),0)</f>
        <v>0</v>
      </c>
      <c r="D12" s="2479" t="s">
        <v>2977</v>
      </c>
      <c r="E12" s="2476" t="s">
        <v>2465</v>
      </c>
      <c r="F12" s="2599"/>
      <c r="G12" s="1593"/>
      <c r="H12" s="2539" t="s">
        <v>1826</v>
      </c>
      <c r="I12" s="2544" t="s">
        <v>2460</v>
      </c>
      <c r="J12" s="783">
        <f ca="1">ROUND(IF(M12="押一",J8/12*M13,IF(M12="押二",J8/12*2*M13,IF(M12="押三",J8/12*3*M13,J13*M13))),0)</f>
        <v>0</v>
      </c>
      <c r="K12" s="2479" t="s">
        <v>2977</v>
      </c>
      <c r="L12" s="2476" t="s">
        <v>2465</v>
      </c>
      <c r="M12" s="2599"/>
    </row>
    <row r="13" spans="1:25" ht="18" customHeight="1">
      <c r="A13" s="790"/>
      <c r="B13" s="2473" t="s">
        <v>2574</v>
      </c>
      <c r="C13" s="2477"/>
      <c r="D13" s="789"/>
      <c r="E13" s="2476" t="s">
        <v>2457</v>
      </c>
      <c r="F13" s="796">
        <f ca="1">'数据-取费表'!B39</f>
        <v>1.4999999999999999E-2</v>
      </c>
      <c r="G13" s="1593"/>
      <c r="H13" s="2540"/>
      <c r="I13" s="2473" t="s">
        <v>2574</v>
      </c>
      <c r="J13" s="2477"/>
      <c r="K13" s="2541"/>
      <c r="L13" s="2476" t="s">
        <v>2457</v>
      </c>
      <c r="M13" s="2470">
        <f ca="1">'数据-取费表'!B39</f>
        <v>1.4999999999999999E-2</v>
      </c>
    </row>
    <row r="14" spans="1:25" ht="18" customHeight="1" thickBot="1">
      <c r="A14" s="2515" t="s">
        <v>2468</v>
      </c>
      <c r="B14" s="2516" t="s">
        <v>2461</v>
      </c>
      <c r="C14" s="2517"/>
      <c r="D14" s="2518"/>
      <c r="E14" s="2519"/>
      <c r="F14" s="2520"/>
      <c r="G14" s="1593"/>
      <c r="H14" s="2529" t="s">
        <v>2468</v>
      </c>
      <c r="I14" s="2542" t="s">
        <v>2461</v>
      </c>
      <c r="J14" s="2543"/>
      <c r="K14" s="2518"/>
      <c r="L14" s="2519"/>
      <c r="M14" s="2532"/>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1.4999999999999999E-2</v>
      </c>
      <c r="G22" s="1594"/>
      <c r="H22" s="1833" t="s">
        <v>1851</v>
      </c>
      <c r="I22" s="1823" t="s">
        <v>668</v>
      </c>
      <c r="J22" s="54">
        <f ca="1">ROUND(M22*M23/10000,0)</f>
        <v>0</v>
      </c>
      <c r="K22" s="814" t="s">
        <v>669</v>
      </c>
      <c r="L22" s="784" t="s">
        <v>670</v>
      </c>
      <c r="M22" s="640">
        <f>'数据-取费表'!B52</f>
        <v>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0.01</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5.0000000000000001E-4</v>
      </c>
      <c r="D26" s="2549"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5"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38" t="s">
        <v>1884</v>
      </c>
      <c r="B31" s="2519" t="s">
        <v>2824</v>
      </c>
      <c r="C31" s="2522">
        <f ca="1">ROUND((C21+C22+C25+C28)/(1-F23-C26-C29-C30),0)</f>
        <v>0</v>
      </c>
      <c r="D31" s="2523"/>
      <c r="E31" s="2524"/>
      <c r="F31" s="2525"/>
      <c r="G31" s="1594"/>
      <c r="H31" s="823" t="s">
        <v>1873</v>
      </c>
      <c r="I31" s="2986"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5"/>
      <c r="F32" s="2469"/>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5</v>
      </c>
      <c r="G36" s="2063"/>
      <c r="H36" s="2066"/>
      <c r="I36" s="3442"/>
      <c r="J36" s="2080"/>
      <c r="K36" s="2081"/>
      <c r="L36" s="2080"/>
      <c r="M36" s="2080"/>
    </row>
    <row r="37" spans="1:18" ht="18" customHeight="1">
      <c r="A37" s="815"/>
      <c r="B37" s="793"/>
      <c r="C37" s="69"/>
      <c r="D37" s="816"/>
      <c r="E37" s="784" t="s">
        <v>674</v>
      </c>
      <c r="F37" s="785">
        <f ca="1">INDIRECT("'数据-取费表'!r"&amp;$G$1)</f>
        <v>0</v>
      </c>
      <c r="G37" s="2063"/>
      <c r="H37" s="2066"/>
      <c r="I37" s="344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38" t="s">
        <v>1880</v>
      </c>
      <c r="B40" s="2524" t="s">
        <v>666</v>
      </c>
      <c r="C40" s="2522">
        <f ca="1">ROUND(C7*F40,1)</f>
        <v>0</v>
      </c>
      <c r="D40" s="2523" t="s">
        <v>683</v>
      </c>
      <c r="E40" s="2524" t="s">
        <v>649</v>
      </c>
      <c r="F40" s="2520">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7" t="s">
        <v>2965</v>
      </c>
      <c r="F43" s="3098">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2">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099" t="s">
        <v>2968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6" t="s">
        <v>2344</v>
      </c>
      <c r="J47" s="2357"/>
      <c r="K47" s="2358"/>
      <c r="L47" s="3132" t="str">
        <f ca="1">IF(M48="住宅",0,IF(L49&gt;J52,L61,J61))</f>
        <v>0</v>
      </c>
      <c r="O47" s="2372" t="s">
        <v>2411</v>
      </c>
      <c r="P47" s="1593"/>
      <c r="Q47" s="1605"/>
      <c r="R47" s="1593"/>
    </row>
    <row r="48" spans="1:18" s="2060" customFormat="1" ht="18" customHeight="1" thickBot="1">
      <c r="A48" s="2085"/>
      <c r="C48" s="2088"/>
      <c r="D48" s="2089"/>
      <c r="E48" s="2089"/>
      <c r="F48" s="2090"/>
      <c r="G48" s="2091"/>
      <c r="I48" s="3122" t="s">
        <v>2345</v>
      </c>
      <c r="J48" s="2359"/>
      <c r="K48" s="3129" t="s">
        <v>2350</v>
      </c>
      <c r="L48" s="3133">
        <f ca="1">INDIRECT("'数据-取费表'!d"&amp;$G$1)</f>
        <v>0</v>
      </c>
      <c r="M48" s="3096" t="str">
        <f>IF(ISNUMBER(FIND("住宅",C1)),"住宅","非住宅")</f>
        <v>非住宅</v>
      </c>
      <c r="O48" s="2373" t="s">
        <v>2376</v>
      </c>
      <c r="P48" s="2374" t="s">
        <v>2377</v>
      </c>
      <c r="Q48" s="2375" t="s">
        <v>2378</v>
      </c>
      <c r="R48" s="2374" t="s">
        <v>2379</v>
      </c>
    </row>
    <row r="49" spans="1:18" s="2060" customFormat="1" ht="18" customHeight="1" thickBot="1">
      <c r="A49" s="2085"/>
      <c r="D49" s="2092"/>
      <c r="E49" s="2093"/>
      <c r="F49" s="2090"/>
      <c r="G49" s="2091"/>
      <c r="H49" s="2094"/>
      <c r="I49" s="3101" t="s">
        <v>2346</v>
      </c>
      <c r="J49" s="2360"/>
      <c r="K49" s="3130" t="s">
        <v>2352</v>
      </c>
      <c r="L49" s="1909">
        <f ca="1">INDIRECT("'数据-取费表'!f"&amp;$G$1)</f>
        <v>0</v>
      </c>
      <c r="O49" s="2376" t="s">
        <v>2380</v>
      </c>
      <c r="P49" s="2377" t="s">
        <v>2406</v>
      </c>
      <c r="Q49" s="2378">
        <f ca="1">C41+J31</f>
        <v>0</v>
      </c>
      <c r="R49" s="2377" t="s">
        <v>2381</v>
      </c>
    </row>
    <row r="50" spans="1:18" s="2060" customFormat="1" ht="18" customHeight="1" thickBot="1">
      <c r="A50" s="2085"/>
      <c r="D50" s="2095"/>
      <c r="E50" s="2095"/>
      <c r="F50" s="2089"/>
      <c r="G50" s="2096"/>
      <c r="H50" s="2094"/>
      <c r="I50" s="3101" t="s">
        <v>2347</v>
      </c>
      <c r="J50" s="2361"/>
      <c r="K50" s="3131" t="s">
        <v>2353</v>
      </c>
      <c r="L50" s="2362"/>
      <c r="O50" s="2376" t="s">
        <v>2382</v>
      </c>
      <c r="P50" s="2377" t="s">
        <v>2407</v>
      </c>
      <c r="Q50" s="2378" t="str">
        <f ca="1">J61</f>
        <v>0</v>
      </c>
      <c r="R50" s="2377" t="s">
        <v>2383</v>
      </c>
    </row>
    <row r="51" spans="1:18" s="2060" customFormat="1" ht="18" customHeight="1" thickBot="1">
      <c r="A51" s="2097"/>
      <c r="D51" s="2095"/>
      <c r="E51" s="2095"/>
      <c r="F51" s="2086"/>
      <c r="H51" s="2094"/>
      <c r="I51" s="3101" t="s">
        <v>2348</v>
      </c>
      <c r="J51" s="3126">
        <f>SUMPRODUCT((I64:I66=J48)*(J63:L63=J49)*(J64:L66))</f>
        <v>0</v>
      </c>
      <c r="K51" s="3131" t="s">
        <v>2354</v>
      </c>
      <c r="L51" s="2362"/>
      <c r="O51" s="2379" t="s">
        <v>2384</v>
      </c>
      <c r="P51" s="2377" t="s">
        <v>2408</v>
      </c>
      <c r="Q51" s="2378">
        <f ca="1">C31</f>
        <v>0</v>
      </c>
      <c r="R51" s="2377" t="s">
        <v>2381</v>
      </c>
    </row>
    <row r="52" spans="1:18" s="2060" customFormat="1" ht="18" customHeight="1" thickBot="1">
      <c r="A52" s="2097"/>
      <c r="F52" s="2086"/>
      <c r="I52" s="3123" t="s">
        <v>2349</v>
      </c>
      <c r="J52" s="3127">
        <f>IF(J50="",J51,J50+J51-YEAR('数据-取费表'!B3))</f>
        <v>0</v>
      </c>
      <c r="K52" s="3101" t="s">
        <v>2355</v>
      </c>
      <c r="L52" s="3134">
        <f ca="1">ROUND(-PV(INDIRECT("'数据-取费表'!h"&amp;$G$1),L49,(C40-C14*J36),0),0)</f>
        <v>0</v>
      </c>
      <c r="O52" s="2379" t="s">
        <v>2385</v>
      </c>
      <c r="P52" s="2377" t="s">
        <v>2386</v>
      </c>
      <c r="Q52" s="2380" t="e">
        <f ca="1">J59</f>
        <v>#VALUE!</v>
      </c>
      <c r="R52" s="2381"/>
    </row>
    <row r="53" spans="1:18" s="2060" customFormat="1" ht="18" customHeight="1" thickBot="1">
      <c r="A53" s="2097"/>
      <c r="F53" s="2086"/>
      <c r="I53" s="3124" t="s">
        <v>2422</v>
      </c>
      <c r="J53" s="2363"/>
      <c r="K53" s="3124" t="s">
        <v>2421</v>
      </c>
      <c r="L53" s="2363"/>
      <c r="O53" s="2379" t="s">
        <v>2387</v>
      </c>
      <c r="P53" s="2377" t="s">
        <v>2388</v>
      </c>
      <c r="Q53" s="2380">
        <f>J53</f>
        <v>0</v>
      </c>
      <c r="R53" s="2381"/>
    </row>
    <row r="54" spans="1:18" s="2060" customFormat="1" ht="29.25" thickBot="1">
      <c r="A54" s="2097"/>
      <c r="I54" s="3125" t="s">
        <v>2981</v>
      </c>
      <c r="J54" s="3128">
        <f ca="1">IF(M48="住宅",MAX(J52,L49-'数据-取费表'!B20),MIN(J52,L49-'数据-取费表'!B20))</f>
        <v>-2</v>
      </c>
      <c r="K54" s="3447"/>
      <c r="L54" s="3448"/>
      <c r="O54" s="2379" t="s">
        <v>2389</v>
      </c>
      <c r="P54" s="2377" t="s">
        <v>2390</v>
      </c>
      <c r="Q54" s="2378">
        <f ca="1">J54</f>
        <v>-2</v>
      </c>
      <c r="R54" s="2377" t="s">
        <v>2391</v>
      </c>
    </row>
    <row r="55" spans="1:18" s="2060" customFormat="1" ht="18" customHeight="1" thickBot="1">
      <c r="A55" s="2097"/>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6" t="s">
        <v>2392</v>
      </c>
      <c r="P55" s="2377" t="s">
        <v>2409</v>
      </c>
      <c r="Q55" s="2378">
        <f ca="1">Q49+Q50</f>
        <v>0</v>
      </c>
      <c r="R55" s="2381" t="s">
        <v>2393</v>
      </c>
    </row>
    <row r="56" spans="1:18" s="2060" customFormat="1" ht="16.5" thickBot="1">
      <c r="A56" s="2097"/>
      <c r="B56" s="2098"/>
      <c r="C56" s="2098"/>
      <c r="I56" s="3137" t="s">
        <v>2356</v>
      </c>
      <c r="J56" s="3076" t="e">
        <f ca="1">ROUND(IF(J48="钢混",J58/J51,1-(1-2%)*(J51-J58)/J51),3)</f>
        <v>#VALUE!</v>
      </c>
      <c r="K56" s="3138" t="s">
        <v>2357</v>
      </c>
      <c r="L56" s="2364"/>
      <c r="O56" s="2382" t="s">
        <v>2412</v>
      </c>
      <c r="P56" s="1593"/>
      <c r="Q56" s="1605"/>
      <c r="R56" s="1593"/>
    </row>
    <row r="57" spans="1:18" s="2060" customFormat="1" ht="43.5" thickBot="1">
      <c r="A57" s="2097"/>
      <c r="B57" s="2098"/>
      <c r="C57" s="2098"/>
      <c r="I57" s="3139" t="s">
        <v>2358</v>
      </c>
      <c r="J57" s="3149" t="s">
        <v>1679</v>
      </c>
      <c r="K57" s="3101" t="s">
        <v>2363</v>
      </c>
      <c r="L57" s="1909">
        <f ca="1">IF(L49&lt;J52,"——",L49-J52)</f>
        <v>0</v>
      </c>
      <c r="O57" s="2373" t="s">
        <v>2376</v>
      </c>
      <c r="P57" s="2374" t="s">
        <v>2377</v>
      </c>
      <c r="Q57" s="2375" t="s">
        <v>2378</v>
      </c>
      <c r="R57" s="2374" t="s">
        <v>2379</v>
      </c>
    </row>
    <row r="58" spans="1:18" s="2060" customFormat="1" ht="29.25" thickBot="1">
      <c r="A58" s="2097"/>
      <c r="B58" s="2098"/>
      <c r="C58" s="2098"/>
      <c r="I58" s="3140" t="s">
        <v>2359</v>
      </c>
      <c r="J58" s="3141" t="str">
        <f ca="1">IF(OR(M48="住宅",J52&lt;L49,J57="是"),"——",J52-L49)</f>
        <v>——</v>
      </c>
      <c r="K58" s="3101" t="s">
        <v>2364</v>
      </c>
      <c r="L58" s="1909">
        <f ca="1">IF(L49&lt;J52,"——",IF(L56="比较法",L50,IF(L56="基准地价",L51,L52)))</f>
        <v>0</v>
      </c>
      <c r="O58" s="2376" t="s">
        <v>2380</v>
      </c>
      <c r="P58" s="2377" t="s">
        <v>2406</v>
      </c>
      <c r="Q58" s="2378">
        <f ca="1">C41+J31</f>
        <v>0</v>
      </c>
      <c r="R58" s="2377" t="s">
        <v>2381</v>
      </c>
    </row>
    <row r="59" spans="1:18" s="2060" customFormat="1" ht="29.25" thickBot="1">
      <c r="A59" s="2097"/>
      <c r="B59" s="2098"/>
      <c r="C59" s="2098"/>
      <c r="I59" s="3140" t="s">
        <v>2360</v>
      </c>
      <c r="J59" s="3077" t="e">
        <f ca="1">IF(J56&lt;0.4,0.4,J56)</f>
        <v>#VALUE!</v>
      </c>
      <c r="K59" s="3101" t="s">
        <v>2365</v>
      </c>
      <c r="L59" s="1909">
        <f ca="1">IF(ISERROR(POWER(1+L53,L48-L49)*(POWER(1+L53,L49)-1)/(POWER(1+L53,L48)-1)),0,POWER(1+L53,L48-L49)*(POWER(1+L53,L49)-1)/(POWER(1+L53,L48)-1))</f>
        <v>0</v>
      </c>
      <c r="O59" s="2376" t="s">
        <v>2382</v>
      </c>
      <c r="P59" s="2377" t="s">
        <v>2413</v>
      </c>
      <c r="Q59" s="2378" t="e">
        <f ca="1">L61</f>
        <v>#DIV/0!</v>
      </c>
      <c r="R59" s="2381" t="s">
        <v>2415</v>
      </c>
    </row>
    <row r="60" spans="1:18" s="2060" customFormat="1" ht="29.25" thickBot="1">
      <c r="A60" s="2097"/>
      <c r="B60" s="2098"/>
      <c r="C60" s="2098"/>
      <c r="I60" s="3140" t="s">
        <v>2361</v>
      </c>
      <c r="J60" s="3141" t="str">
        <f ca="1">IF(OR(M48="住宅",J52&lt;L49,J57="是"),"——",ROUND(C30*J59,0))</f>
        <v>——</v>
      </c>
      <c r="K60" s="3101" t="s">
        <v>2366</v>
      </c>
      <c r="L60" s="1909">
        <f ca="1">IF(ISERROR(POWER(1+L53,L48-J52)*(POWER(1+L53,J52)-1)/(POWER(1+L53,L48)-1)),0,POWER(1+L53,L48-J52)*(POWER(1+L53,J52)-1)/(POWER(1+L53,L48)-1))</f>
        <v>0</v>
      </c>
      <c r="O60" s="2379" t="s">
        <v>2384</v>
      </c>
      <c r="P60" s="2377" t="s">
        <v>2414</v>
      </c>
      <c r="Q60" s="2378">
        <f>IF(L56="比较法",L50,IF(L56="基准地价",L51,0))</f>
        <v>0</v>
      </c>
      <c r="R60" s="2377" t="s">
        <v>2381</v>
      </c>
    </row>
    <row r="61" spans="1:18" s="2060" customFormat="1" ht="15.75" thickBot="1">
      <c r="A61" s="2097"/>
      <c r="B61" s="2098"/>
      <c r="C61" s="2098"/>
      <c r="I61" s="3142" t="s">
        <v>2362</v>
      </c>
      <c r="J61" s="3143" t="str">
        <f ca="1">IF(OR(M48="住宅",J52&lt;L49,J57="是"),"0",ROUND(J60/(1+J53)^J54,0))</f>
        <v>0</v>
      </c>
      <c r="K61" s="3144" t="s">
        <v>2367</v>
      </c>
      <c r="L61" s="3143" t="e">
        <f ca="1">IF(OR(M48="住宅",L49&lt;J52),0,ROUND(L58*(L59/L60-1),0))</f>
        <v>#DIV/0!</v>
      </c>
      <c r="O61" s="2379" t="s">
        <v>2385</v>
      </c>
      <c r="P61" s="2377" t="s">
        <v>2394</v>
      </c>
      <c r="Q61" s="2380">
        <f>L53</f>
        <v>0</v>
      </c>
      <c r="R61" s="2381"/>
    </row>
    <row r="62" spans="1:18" s="2060" customFormat="1" ht="20.25" thickBot="1">
      <c r="A62" s="2097"/>
      <c r="B62" s="2098"/>
      <c r="C62" s="2098"/>
      <c r="K62" s="2087"/>
      <c r="O62" s="2379" t="s">
        <v>2387</v>
      </c>
      <c r="P62" s="2377" t="s">
        <v>2395</v>
      </c>
      <c r="Q62" s="2378">
        <f ca="1">L59</f>
        <v>0</v>
      </c>
      <c r="R62" s="2381" t="s">
        <v>2396</v>
      </c>
    </row>
    <row r="63" spans="1:18" s="2060" customFormat="1" ht="20.25" thickBot="1">
      <c r="A63" s="2097"/>
      <c r="B63" s="2098"/>
      <c r="C63" s="2098"/>
      <c r="I63" s="3145" t="s">
        <v>2368</v>
      </c>
      <c r="J63" s="3146" t="s">
        <v>2369</v>
      </c>
      <c r="K63" s="3146" t="s">
        <v>2370</v>
      </c>
      <c r="L63" s="3146" t="s">
        <v>2351</v>
      </c>
      <c r="M63" s="3147" t="s">
        <v>2945</v>
      </c>
      <c r="O63" s="2379" t="s">
        <v>2389</v>
      </c>
      <c r="P63" s="2377" t="s">
        <v>2397</v>
      </c>
      <c r="Q63" s="2378">
        <f ca="1">L60</f>
        <v>0</v>
      </c>
      <c r="R63" s="2381" t="s">
        <v>2398</v>
      </c>
    </row>
    <row r="64" spans="1:18" s="2060" customFormat="1" ht="15.75" thickBot="1">
      <c r="A64" s="2097"/>
      <c r="B64" s="2098"/>
      <c r="C64" s="2098"/>
      <c r="I64" s="3145" t="s">
        <v>2371</v>
      </c>
      <c r="J64" s="3146">
        <v>70</v>
      </c>
      <c r="K64" s="3146">
        <v>50</v>
      </c>
      <c r="L64" s="3146">
        <v>80</v>
      </c>
      <c r="M64" s="3148">
        <v>0.02</v>
      </c>
      <c r="O64" s="2376" t="s">
        <v>2392</v>
      </c>
      <c r="P64" s="2377" t="s">
        <v>2409</v>
      </c>
      <c r="Q64" s="2378" t="e">
        <f ca="1">Q58+Q59</f>
        <v>#DIV/0!</v>
      </c>
      <c r="R64" s="2381" t="s">
        <v>2393</v>
      </c>
    </row>
    <row r="65" spans="1:18" s="2060" customFormat="1" ht="16.5" thickBot="1">
      <c r="A65" s="2097"/>
      <c r="B65" s="2098"/>
      <c r="C65" s="2098"/>
      <c r="I65" s="3145" t="s">
        <v>2372</v>
      </c>
      <c r="J65" s="3146">
        <v>50</v>
      </c>
      <c r="K65" s="3146">
        <v>35</v>
      </c>
      <c r="L65" s="3146">
        <v>60</v>
      </c>
      <c r="M65" s="846">
        <v>0</v>
      </c>
      <c r="O65" s="2382" t="s">
        <v>2416</v>
      </c>
      <c r="P65" s="1593"/>
      <c r="Q65" s="1605"/>
      <c r="R65" s="1593"/>
    </row>
    <row r="66" spans="1:18" s="2060" customFormat="1" ht="15.75" thickBot="1">
      <c r="A66" s="2097"/>
      <c r="B66" s="2098"/>
      <c r="C66" s="2098"/>
      <c r="I66" s="3145" t="s">
        <v>2373</v>
      </c>
      <c r="J66" s="3146">
        <v>40</v>
      </c>
      <c r="K66" s="3146">
        <v>30</v>
      </c>
      <c r="L66" s="3146">
        <v>50</v>
      </c>
      <c r="M66" s="3148">
        <v>0.02</v>
      </c>
      <c r="O66" s="2373" t="s">
        <v>2376</v>
      </c>
      <c r="P66" s="2374" t="s">
        <v>2377</v>
      </c>
      <c r="Q66" s="2375" t="s">
        <v>2378</v>
      </c>
      <c r="R66" s="2374" t="s">
        <v>2379</v>
      </c>
    </row>
    <row r="67" spans="1:18" s="2060" customFormat="1" ht="15.75" thickBot="1">
      <c r="A67" s="2097"/>
      <c r="B67" s="2098"/>
      <c r="C67" s="2098"/>
      <c r="K67" s="2087"/>
      <c r="O67" s="2376" t="s">
        <v>2380</v>
      </c>
      <c r="P67" s="2377" t="s">
        <v>2406</v>
      </c>
      <c r="Q67" s="2378">
        <f ca="1">C41+J31</f>
        <v>0</v>
      </c>
      <c r="R67" s="2377" t="s">
        <v>2381</v>
      </c>
    </row>
    <row r="68" spans="1:18" s="2060" customFormat="1" ht="20.25" thickBot="1">
      <c r="A68" s="2097"/>
      <c r="B68" s="2098"/>
      <c r="C68" s="2098"/>
      <c r="K68" s="2087"/>
      <c r="O68" s="2376" t="s">
        <v>2382</v>
      </c>
      <c r="P68" s="2377" t="s">
        <v>2413</v>
      </c>
      <c r="Q68" s="2378" t="e">
        <f ca="1">L61</f>
        <v>#DIV/0!</v>
      </c>
      <c r="R68" s="2381" t="s">
        <v>2415</v>
      </c>
    </row>
    <row r="69" spans="1:18" s="2060" customFormat="1" ht="21.75" thickBot="1">
      <c r="A69" s="2097"/>
      <c r="B69" s="2098"/>
      <c r="C69" s="2098"/>
      <c r="K69" s="2087"/>
      <c r="O69" s="2379" t="s">
        <v>2384</v>
      </c>
      <c r="P69" s="2377" t="s">
        <v>2414</v>
      </c>
      <c r="Q69" s="2383">
        <f ca="1">L52</f>
        <v>0</v>
      </c>
      <c r="R69" s="2384" t="s">
        <v>2417</v>
      </c>
    </row>
    <row r="70" spans="1:18" s="2060" customFormat="1" ht="20.25" thickBot="1">
      <c r="A70" s="2097"/>
      <c r="B70" s="2098"/>
      <c r="C70" s="2098"/>
      <c r="K70" s="2087"/>
      <c r="O70" s="2379" t="s">
        <v>2385</v>
      </c>
      <c r="P70" s="2385" t="s">
        <v>2399</v>
      </c>
      <c r="Q70" s="2378">
        <f ca="1">ROUND(Q71-Q72*Q73,0)</f>
        <v>0</v>
      </c>
      <c r="R70" s="2381"/>
    </row>
    <row r="71" spans="1:18" s="2060" customFormat="1" ht="15.75" thickBot="1">
      <c r="A71" s="2097"/>
      <c r="B71" s="2098"/>
      <c r="C71" s="2098"/>
      <c r="K71" s="2087"/>
      <c r="O71" s="2379" t="s">
        <v>2400</v>
      </c>
      <c r="P71" s="2385" t="s">
        <v>2401</v>
      </c>
      <c r="Q71" s="2378">
        <f ca="1">C42</f>
        <v>0</v>
      </c>
      <c r="R71" s="2377" t="s">
        <v>2381</v>
      </c>
    </row>
    <row r="72" spans="1:18" s="2060" customFormat="1" ht="15.75" thickBot="1">
      <c r="A72" s="2097"/>
      <c r="B72" s="2098"/>
      <c r="C72" s="2098"/>
      <c r="K72" s="2087"/>
      <c r="O72" s="2379" t="s">
        <v>2402</v>
      </c>
      <c r="P72" s="2385" t="s">
        <v>2403</v>
      </c>
      <c r="Q72" s="2378">
        <f ca="1">C15</f>
        <v>0</v>
      </c>
      <c r="R72" s="2377" t="s">
        <v>2381</v>
      </c>
    </row>
    <row r="73" spans="1:18" s="2060" customFormat="1" ht="15.75" thickBot="1">
      <c r="A73" s="2097"/>
      <c r="B73" s="2098"/>
      <c r="C73" s="2098"/>
      <c r="K73" s="2087"/>
      <c r="O73" s="2379" t="s">
        <v>2404</v>
      </c>
      <c r="P73" s="2385" t="s">
        <v>2405</v>
      </c>
      <c r="Q73" s="2380">
        <f ca="1">F43</f>
        <v>0</v>
      </c>
      <c r="R73" s="2381"/>
    </row>
    <row r="74" spans="1:18" s="2060" customFormat="1" ht="15.75" thickBot="1">
      <c r="A74" s="2097"/>
      <c r="B74" s="2098"/>
      <c r="C74" s="2098"/>
      <c r="K74" s="2087"/>
      <c r="O74" s="2379" t="s">
        <v>2387</v>
      </c>
      <c r="P74" s="2377" t="s">
        <v>2394</v>
      </c>
      <c r="Q74" s="2380">
        <f>L53</f>
        <v>0</v>
      </c>
      <c r="R74" s="2381"/>
    </row>
    <row r="75" spans="1:18" s="2060" customFormat="1" ht="20.25" thickBot="1">
      <c r="A75" s="2097"/>
      <c r="B75" s="2098"/>
      <c r="C75" s="2098"/>
      <c r="K75" s="2087"/>
      <c r="O75" s="2379" t="s">
        <v>2389</v>
      </c>
      <c r="P75" s="2377" t="s">
        <v>2395</v>
      </c>
      <c r="Q75" s="2378">
        <f ca="1">L59</f>
        <v>0</v>
      </c>
      <c r="R75" s="2381" t="s">
        <v>2396</v>
      </c>
    </row>
    <row r="76" spans="1:18" s="2060" customFormat="1" ht="20.25" thickBot="1">
      <c r="A76" s="2097"/>
      <c r="B76" s="2098"/>
      <c r="C76" s="2098"/>
      <c r="K76" s="2087"/>
      <c r="O76" s="2379" t="s">
        <v>2418</v>
      </c>
      <c r="P76" s="2377" t="s">
        <v>2397</v>
      </c>
      <c r="Q76" s="2378">
        <f ca="1">L60</f>
        <v>0</v>
      </c>
      <c r="R76" s="2381" t="s">
        <v>2398</v>
      </c>
    </row>
    <row r="77" spans="1:18" s="2060" customFormat="1" ht="15.75" thickBot="1">
      <c r="A77" s="2097"/>
      <c r="B77" s="2098"/>
      <c r="C77" s="2098"/>
      <c r="K77" s="2087"/>
      <c r="O77" s="2376" t="s">
        <v>2392</v>
      </c>
      <c r="P77" s="2377" t="s">
        <v>2409</v>
      </c>
      <c r="Q77" s="2378" t="e">
        <f ca="1">Q67+Q68</f>
        <v>#DIV/0!</v>
      </c>
      <c r="R77" s="2381"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56" t="s">
        <v>2577</v>
      </c>
      <c r="C1" s="3456"/>
      <c r="D1" s="3456"/>
      <c r="E1" s="3456"/>
      <c r="F1" s="3456"/>
      <c r="G1" s="3455" t="s">
        <v>2578</v>
      </c>
      <c r="H1" s="3455"/>
      <c r="I1" s="3455"/>
      <c r="J1" s="3455"/>
      <c r="K1" s="3455"/>
      <c r="L1" s="3455"/>
      <c r="N1" s="3455" t="s">
        <v>2579</v>
      </c>
      <c r="O1" s="3455"/>
      <c r="P1" s="3455"/>
      <c r="Q1" s="3455"/>
      <c r="R1" s="2632"/>
      <c r="S1" s="3455" t="s">
        <v>2580</v>
      </c>
      <c r="T1" s="3455"/>
      <c r="U1" s="3455"/>
      <c r="V1" s="3455"/>
      <c r="X1" s="3454" t="s">
        <v>2640</v>
      </c>
      <c r="Y1" s="3455"/>
      <c r="Z1" s="3455"/>
      <c r="AA1" s="3455"/>
      <c r="AB1" s="3455"/>
      <c r="AD1" s="3454" t="s">
        <v>2644</v>
      </c>
      <c r="AE1" s="3455"/>
      <c r="AF1" s="3455"/>
      <c r="AG1" s="3455"/>
      <c r="AH1" s="3455"/>
    </row>
    <row r="2" spans="1:34" s="2733" customFormat="1" ht="14.25" thickBot="1">
      <c r="B2" s="2741" t="s">
        <v>2581</v>
      </c>
      <c r="C2" s="2741" t="s">
        <v>2642</v>
      </c>
      <c r="D2" s="2734" t="s">
        <v>1645</v>
      </c>
      <c r="E2" s="2734" t="s">
        <v>1950</v>
      </c>
      <c r="F2" s="2741" t="s">
        <v>2643</v>
      </c>
      <c r="G2" s="2737"/>
      <c r="H2" s="2736"/>
      <c r="I2" s="2741" t="s">
        <v>2959</v>
      </c>
      <c r="J2" s="2734" t="s">
        <v>2961</v>
      </c>
      <c r="K2" s="2734" t="s">
        <v>2962</v>
      </c>
      <c r="L2" s="2741" t="s">
        <v>2963</v>
      </c>
      <c r="N2" s="2741" t="s">
        <v>2581</v>
      </c>
      <c r="O2" s="2734" t="s">
        <v>2960</v>
      </c>
      <c r="P2" s="2734" t="s">
        <v>1950</v>
      </c>
      <c r="Q2" s="2741" t="s">
        <v>2643</v>
      </c>
      <c r="R2" s="2735"/>
      <c r="S2" s="2741" t="s">
        <v>2581</v>
      </c>
      <c r="T2" s="2734" t="s">
        <v>2960</v>
      </c>
      <c r="U2" s="2734" t="s">
        <v>1950</v>
      </c>
      <c r="V2" s="2741" t="s">
        <v>2643</v>
      </c>
      <c r="X2" s="2741" t="s">
        <v>2581</v>
      </c>
      <c r="Y2" s="2741" t="s">
        <v>2642</v>
      </c>
      <c r="Z2" s="2734" t="s">
        <v>1645</v>
      </c>
      <c r="AA2" s="2734" t="s">
        <v>1950</v>
      </c>
      <c r="AB2" s="2741" t="s">
        <v>2643</v>
      </c>
      <c r="AD2" s="2741" t="s">
        <v>2581</v>
      </c>
      <c r="AE2" s="2741" t="s">
        <v>2642</v>
      </c>
      <c r="AF2" s="2734" t="s">
        <v>1645</v>
      </c>
      <c r="AG2" s="2734" t="s">
        <v>1950</v>
      </c>
      <c r="AH2" s="2741" t="s">
        <v>2643</v>
      </c>
    </row>
    <row r="3" spans="1:34" s="3106" customFormat="1" ht="14.25">
      <c r="A3" s="3118" t="s">
        <v>2972</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5"/>
      <c r="X4" s="2731"/>
      <c r="Y4" s="2731"/>
      <c r="Z4" s="2731"/>
      <c r="AA4" s="2731"/>
      <c r="AB4" s="2731"/>
      <c r="AD4" s="2651"/>
      <c r="AE4" s="2651"/>
      <c r="AF4" s="2651"/>
      <c r="AG4" s="2651"/>
      <c r="AH4" s="2651"/>
    </row>
    <row r="5" spans="1:34" s="3090" customFormat="1">
      <c r="A5" s="3088" t="s">
        <v>2992</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2019</v>
      </c>
      <c r="H5" s="3089">
        <v>1</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6" t="s">
        <v>2973</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8" customFormat="1">
      <c r="A6" s="2633" t="s">
        <v>2993</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450">
        <v>2018</v>
      </c>
      <c r="H6" s="2636">
        <v>4</v>
      </c>
      <c r="I6" s="2636">
        <v>0</v>
      </c>
      <c r="J6" s="2636">
        <v>0</v>
      </c>
      <c r="K6" s="2636">
        <v>0</v>
      </c>
      <c r="L6" s="2647">
        <v>0</v>
      </c>
      <c r="M6" s="2640"/>
      <c r="N6" s="2641">
        <f t="shared" ref="N6" si="16">I6/100</f>
        <v>0</v>
      </c>
      <c r="O6" s="2642">
        <f t="shared" ref="O6" si="17">J6/100</f>
        <v>0</v>
      </c>
      <c r="P6" s="2642">
        <f t="shared" ref="P6" si="18">K6/100</f>
        <v>0</v>
      </c>
      <c r="Q6" s="2642">
        <f t="shared" ref="Q6" si="19">L6/100</f>
        <v>0</v>
      </c>
      <c r="R6" s="2643"/>
      <c r="S6" s="2644"/>
      <c r="T6" s="2645"/>
      <c r="U6" s="2645"/>
      <c r="V6" s="2645"/>
      <c r="W6" s="2640"/>
      <c r="X6" s="2731">
        <f>ROUND(SUMPRODUCT(PRODUCT(1+N6:N$24)),4)</f>
        <v>1.4956</v>
      </c>
      <c r="Y6" s="2731">
        <f>ROUND(SUMPRODUCT(PRODUCT(1+O6:O$24)),4)</f>
        <v>1.3237000000000001</v>
      </c>
      <c r="Z6" s="2731">
        <f t="shared" ref="Z6" si="20">Y6</f>
        <v>1.3237000000000001</v>
      </c>
      <c r="AA6" s="2731">
        <f>ROUND(SUMPRODUCT(PRODUCT(1+P6:P$24)),4)</f>
        <v>1.554</v>
      </c>
      <c r="AB6" s="2731">
        <f>ROUND(SUMPRODUCT(PRODUCT(1+Q6:Q$24)),4)</f>
        <v>1.3087</v>
      </c>
      <c r="AC6" s="2640"/>
      <c r="AD6" s="2651">
        <f>ROUND(AVERAGE(I6:I$25)/100,4)</f>
        <v>2.1899999999999999E-2</v>
      </c>
      <c r="AE6" s="2651">
        <f>ROUND(AVERAGE(J6:J$25)/100,4)</f>
        <v>1.5299999999999999E-2</v>
      </c>
      <c r="AF6" s="2651">
        <f t="shared" ref="AF6" si="21">AE6</f>
        <v>1.5299999999999999E-2</v>
      </c>
      <c r="AG6" s="2651">
        <f>ROUND(AVERAGE(K6:K$25)/100,4)</f>
        <v>2.41E-2</v>
      </c>
      <c r="AH6" s="2651">
        <f>ROUND(AVERAGE(L6:L$25)/100,4)</f>
        <v>1.4200000000000001E-2</v>
      </c>
    </row>
    <row r="7" spans="1:34" s="2738" customFormat="1" ht="14.45" customHeight="1">
      <c r="A7" s="2633" t="s">
        <v>2982</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50"/>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2983</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50"/>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2979</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51"/>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2970</v>
      </c>
      <c r="B10" s="3120">
        <v>439</v>
      </c>
      <c r="C10" s="3120">
        <v>327</v>
      </c>
      <c r="D10" s="3120">
        <f t="shared" si="43"/>
        <v>327</v>
      </c>
      <c r="E10" s="3120">
        <v>627</v>
      </c>
      <c r="F10" s="3121">
        <v>283</v>
      </c>
      <c r="G10" s="3449">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2974</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50"/>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2582</v>
      </c>
      <c r="B12" s="2646">
        <f t="shared" si="55"/>
        <v>419.31181600000002</v>
      </c>
      <c r="C12" s="2646">
        <f t="shared" si="55"/>
        <v>313.95436800000004</v>
      </c>
      <c r="D12" s="2646">
        <f t="shared" si="43"/>
        <v>313.95436800000004</v>
      </c>
      <c r="E12" s="2646">
        <f t="shared" si="56"/>
        <v>596.63028431999999</v>
      </c>
      <c r="F12" s="2646">
        <f t="shared" si="56"/>
        <v>274.74220703999998</v>
      </c>
      <c r="G12" s="3450"/>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2583</v>
      </c>
      <c r="B13" s="2646">
        <f t="shared" si="55"/>
        <v>405.524</v>
      </c>
      <c r="C13" s="2646">
        <f t="shared" si="55"/>
        <v>307.79840000000002</v>
      </c>
      <c r="D13" s="2646">
        <f t="shared" si="43"/>
        <v>307.79840000000002</v>
      </c>
      <c r="E13" s="2646">
        <f t="shared" si="56"/>
        <v>574.67759999999998</v>
      </c>
      <c r="F13" s="2646">
        <f t="shared" si="56"/>
        <v>270.20280000000002</v>
      </c>
      <c r="G13" s="3451"/>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971</v>
      </c>
      <c r="B14" s="2638">
        <v>392</v>
      </c>
      <c r="C14" s="2638">
        <v>302</v>
      </c>
      <c r="D14" s="2638">
        <f t="shared" si="43"/>
        <v>302</v>
      </c>
      <c r="E14" s="2638">
        <v>553</v>
      </c>
      <c r="F14" s="2639">
        <v>266</v>
      </c>
      <c r="G14" s="3449">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970</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50"/>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960</v>
      </c>
      <c r="B16" s="2646">
        <f t="shared" si="64"/>
        <v>360.06949782209392</v>
      </c>
      <c r="C16" s="2646">
        <f t="shared" si="64"/>
        <v>289.84672674747821</v>
      </c>
      <c r="D16" s="2646">
        <f t="shared" si="65"/>
        <v>289.84672674747821</v>
      </c>
      <c r="E16" s="2646">
        <f t="shared" si="66"/>
        <v>501.06543001181495</v>
      </c>
      <c r="F16" s="2646">
        <f t="shared" si="66"/>
        <v>256.82882500744967</v>
      </c>
      <c r="G16" s="3450"/>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969</v>
      </c>
      <c r="B17" s="2646">
        <f t="shared" si="64"/>
        <v>346.720748986128</v>
      </c>
      <c r="C17" s="2646">
        <f t="shared" si="64"/>
        <v>284.30282172386285</v>
      </c>
      <c r="D17" s="2646">
        <f t="shared" si="65"/>
        <v>284.30282172386285</v>
      </c>
      <c r="E17" s="2646">
        <f t="shared" si="66"/>
        <v>479.58023546306947</v>
      </c>
      <c r="F17" s="2646">
        <f t="shared" si="66"/>
        <v>253.25788877571213</v>
      </c>
      <c r="G17" s="3453"/>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968</v>
      </c>
      <c r="B18" s="2638">
        <v>333</v>
      </c>
      <c r="C18" s="2638">
        <v>277</v>
      </c>
      <c r="D18" s="2638">
        <f t="shared" si="65"/>
        <v>277</v>
      </c>
      <c r="E18" s="2638">
        <v>459</v>
      </c>
      <c r="F18" s="2639">
        <v>249</v>
      </c>
      <c r="G18" s="3452">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967</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50"/>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966</v>
      </c>
      <c r="B20" s="2646">
        <f t="shared" si="68"/>
        <v>322.34053690220776</v>
      </c>
      <c r="C20" s="2646">
        <f t="shared" si="68"/>
        <v>271.46160770422546</v>
      </c>
      <c r="D20" s="2646">
        <f t="shared" si="65"/>
        <v>271.46160770422546</v>
      </c>
      <c r="E20" s="2646">
        <f t="shared" si="69"/>
        <v>442.69434542172456</v>
      </c>
      <c r="F20" s="2646">
        <f t="shared" si="69"/>
        <v>241.34030753190925</v>
      </c>
      <c r="G20" s="3450"/>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965</v>
      </c>
      <c r="B21" s="2646">
        <f t="shared" si="68"/>
        <v>319.87748030386797</v>
      </c>
      <c r="C21" s="2646">
        <f t="shared" si="68"/>
        <v>269.60135833173649</v>
      </c>
      <c r="D21" s="2646">
        <f t="shared" si="65"/>
        <v>269.60135833173649</v>
      </c>
      <c r="E21" s="2646">
        <f t="shared" si="69"/>
        <v>439.18089823583784</v>
      </c>
      <c r="F21" s="2646">
        <f t="shared" si="69"/>
        <v>239.23503918706311</v>
      </c>
      <c r="G21" s="3453"/>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964</v>
      </c>
      <c r="B22" s="2660">
        <v>318</v>
      </c>
      <c r="C22" s="2660">
        <v>268</v>
      </c>
      <c r="D22" s="2660">
        <f t="shared" si="65"/>
        <v>268</v>
      </c>
      <c r="E22" s="2660">
        <v>437</v>
      </c>
      <c r="F22" s="2661">
        <v>237</v>
      </c>
      <c r="G22" s="3452">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963</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50"/>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962</v>
      </c>
      <c r="B24" s="2646">
        <f t="shared" si="70"/>
        <v>314.72141172386546</v>
      </c>
      <c r="C24" s="2646">
        <f t="shared" si="70"/>
        <v>263.03901319069001</v>
      </c>
      <c r="D24" s="2646">
        <f t="shared" si="65"/>
        <v>263.03901319069001</v>
      </c>
      <c r="E24" s="2646">
        <f t="shared" si="71"/>
        <v>433.65745506782821</v>
      </c>
      <c r="F24" s="2646">
        <f t="shared" si="71"/>
        <v>233.23005080045735</v>
      </c>
      <c r="G24" s="3450"/>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961</v>
      </c>
      <c r="B25" s="2665">
        <f t="shared" si="70"/>
        <v>307.34512863658733</v>
      </c>
      <c r="C25" s="2665">
        <f t="shared" si="70"/>
        <v>257.80556031626975</v>
      </c>
      <c r="D25" s="2665">
        <f t="shared" si="65"/>
        <v>257.80556031626975</v>
      </c>
      <c r="E25" s="2665">
        <f t="shared" si="71"/>
        <v>422.70928459677179</v>
      </c>
      <c r="F25" s="2665">
        <f t="shared" si="71"/>
        <v>229.73803270336617</v>
      </c>
      <c r="G25" s="3453"/>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2641</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2584</v>
      </c>
      <c r="B26" s="2638">
        <v>299</v>
      </c>
      <c r="C26" s="2638">
        <v>252</v>
      </c>
      <c r="D26" s="2638">
        <f t="shared" si="65"/>
        <v>252</v>
      </c>
      <c r="E26" s="2638">
        <v>409</v>
      </c>
      <c r="F26" s="2639">
        <v>227</v>
      </c>
      <c r="G26" s="3457">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2585</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58"/>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2586</v>
      </c>
      <c r="B28" s="2646">
        <f t="shared" si="74"/>
        <v>288.2649053828776</v>
      </c>
      <c r="C28" s="2646">
        <f t="shared" si="74"/>
        <v>243.64564425013293</v>
      </c>
      <c r="D28" s="2646">
        <f t="shared" si="65"/>
        <v>243.64564425013293</v>
      </c>
      <c r="E28" s="2646">
        <f t="shared" si="75"/>
        <v>393.31080825986544</v>
      </c>
      <c r="F28" s="2646">
        <f t="shared" si="75"/>
        <v>223.07903790551154</v>
      </c>
      <c r="G28" s="3458"/>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2587</v>
      </c>
      <c r="B29" s="2646">
        <f t="shared" si="74"/>
        <v>282.50186729015837</v>
      </c>
      <c r="C29" s="2646">
        <f t="shared" si="74"/>
        <v>238.09796174155468</v>
      </c>
      <c r="D29" s="2646">
        <f t="shared" si="65"/>
        <v>238.09796174155468</v>
      </c>
      <c r="E29" s="2646">
        <f t="shared" si="75"/>
        <v>385.33438646014054</v>
      </c>
      <c r="F29" s="2646">
        <f t="shared" si="75"/>
        <v>221.55034055567739</v>
      </c>
      <c r="G29" s="3459"/>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2588</v>
      </c>
      <c r="B30" s="2676">
        <v>278</v>
      </c>
      <c r="C30" s="2676">
        <v>234</v>
      </c>
      <c r="D30" s="2676">
        <f t="shared" si="65"/>
        <v>234</v>
      </c>
      <c r="E30" s="2676">
        <v>379</v>
      </c>
      <c r="F30" s="2677">
        <v>220</v>
      </c>
      <c r="G30" s="3452">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2589</v>
      </c>
      <c r="B31" s="2646">
        <f>B30/(1+N30)</f>
        <v>275.49301357645425</v>
      </c>
      <c r="C31" s="2646">
        <f>C30/(1+O30)</f>
        <v>232.41954707985698</v>
      </c>
      <c r="D31" s="2646">
        <f t="shared" si="65"/>
        <v>232.41954707985698</v>
      </c>
      <c r="E31" s="2646">
        <f t="shared" ref="E31:F33" si="76">E30/(1+P30)</f>
        <v>375.32184591008121</v>
      </c>
      <c r="F31" s="2646">
        <f t="shared" si="76"/>
        <v>218.03766105054513</v>
      </c>
      <c r="G31" s="3450"/>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2590</v>
      </c>
      <c r="B32" s="2646">
        <f>B31/(1+N31)</f>
        <v>275.24529281292263</v>
      </c>
      <c r="C32" s="2646">
        <f>C31/(1+O31)</f>
        <v>231.74747938962707</v>
      </c>
      <c r="D32" s="2646">
        <f t="shared" si="65"/>
        <v>231.74747938962707</v>
      </c>
      <c r="E32" s="2646">
        <f t="shared" si="76"/>
        <v>375.35938184826603</v>
      </c>
      <c r="F32" s="2646">
        <f t="shared" si="76"/>
        <v>216.78033510692495</v>
      </c>
      <c r="G32" s="3450"/>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2591</v>
      </c>
      <c r="B33" s="2646">
        <f>B32/(1+N32)</f>
        <v>275.19025476197027</v>
      </c>
      <c r="C33" s="2678">
        <v>232</v>
      </c>
      <c r="D33" s="2678">
        <f t="shared" si="65"/>
        <v>232</v>
      </c>
      <c r="E33" s="2646">
        <f t="shared" si="76"/>
        <v>375.65990977608692</v>
      </c>
      <c r="F33" s="2646">
        <f t="shared" si="76"/>
        <v>214.12518283971252</v>
      </c>
      <c r="G33" s="3453"/>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2592</v>
      </c>
      <c r="B34" s="2638">
        <v>275</v>
      </c>
      <c r="C34" s="2638">
        <v>232</v>
      </c>
      <c r="D34" s="2638">
        <f t="shared" si="65"/>
        <v>232</v>
      </c>
      <c r="E34" s="2638">
        <v>376</v>
      </c>
      <c r="F34" s="2639">
        <v>213</v>
      </c>
      <c r="G34" s="3452">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2593</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50">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2594</v>
      </c>
      <c r="B36" s="2646">
        <f t="shared" si="77"/>
        <v>275.19335084830601</v>
      </c>
      <c r="C36" s="2646">
        <f t="shared" si="77"/>
        <v>230.18088050139744</v>
      </c>
      <c r="D36" s="2646">
        <f t="shared" si="65"/>
        <v>230.18088050139744</v>
      </c>
      <c r="E36" s="2646">
        <f t="shared" si="78"/>
        <v>377.58482925212331</v>
      </c>
      <c r="F36" s="2646">
        <f t="shared" si="78"/>
        <v>210.90687997847917</v>
      </c>
      <c r="G36" s="3450">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2595</v>
      </c>
      <c r="B37" s="2646">
        <f t="shared" si="77"/>
        <v>276.29854502841971</v>
      </c>
      <c r="C37" s="2646">
        <f t="shared" si="77"/>
        <v>229.79023709833027</v>
      </c>
      <c r="D37" s="2646">
        <f t="shared" si="65"/>
        <v>229.79023709833027</v>
      </c>
      <c r="E37" s="2646">
        <f t="shared" si="78"/>
        <v>379.78759731655936</v>
      </c>
      <c r="F37" s="2646">
        <f t="shared" si="78"/>
        <v>211.32953905659235</v>
      </c>
      <c r="G37" s="3453">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2596</v>
      </c>
      <c r="B38" s="2638">
        <v>269</v>
      </c>
      <c r="C38" s="2638">
        <v>221</v>
      </c>
      <c r="D38" s="2638">
        <f t="shared" si="65"/>
        <v>221</v>
      </c>
      <c r="E38" s="2638">
        <v>373</v>
      </c>
      <c r="F38" s="2639">
        <v>196</v>
      </c>
      <c r="G38" s="3452">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2597</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50">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2598</v>
      </c>
      <c r="B40" s="2646">
        <f t="shared" si="79"/>
        <v>242.95398227588385</v>
      </c>
      <c r="C40" s="2646">
        <f t="shared" si="79"/>
        <v>199.59137053614126</v>
      </c>
      <c r="D40" s="2646">
        <f t="shared" si="65"/>
        <v>199.59137053614126</v>
      </c>
      <c r="E40" s="2646">
        <f t="shared" si="80"/>
        <v>335.92189522342125</v>
      </c>
      <c r="F40" s="2646">
        <f t="shared" si="80"/>
        <v>183.10139991109489</v>
      </c>
      <c r="G40" s="3450">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2599</v>
      </c>
      <c r="B41" s="2646">
        <f t="shared" si="79"/>
        <v>232.06990378821649</v>
      </c>
      <c r="C41" s="2646">
        <f t="shared" si="79"/>
        <v>192.74878854286936</v>
      </c>
      <c r="D41" s="2646">
        <f t="shared" si="65"/>
        <v>192.74878854286936</v>
      </c>
      <c r="E41" s="2646">
        <f t="shared" si="80"/>
        <v>319.71247284992984</v>
      </c>
      <c r="F41" s="2646">
        <f t="shared" si="80"/>
        <v>175.67053622862409</v>
      </c>
      <c r="G41" s="3453">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2600</v>
      </c>
      <c r="B42" s="2638">
        <v>220</v>
      </c>
      <c r="C42" s="2638">
        <v>187</v>
      </c>
      <c r="D42" s="2638">
        <f t="shared" si="65"/>
        <v>187</v>
      </c>
      <c r="E42" s="2638">
        <v>301</v>
      </c>
      <c r="F42" s="2639">
        <v>168</v>
      </c>
      <c r="G42" s="3452">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2601</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50">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2602</v>
      </c>
      <c r="B44" s="2646">
        <f t="shared" si="81"/>
        <v>210.630522469011</v>
      </c>
      <c r="C44" s="2646">
        <f t="shared" si="81"/>
        <v>181.69567812247232</v>
      </c>
      <c r="D44" s="2646">
        <f t="shared" si="65"/>
        <v>181.69567812247232</v>
      </c>
      <c r="E44" s="2646">
        <f t="shared" si="82"/>
        <v>286.13517466736738</v>
      </c>
      <c r="F44" s="2646">
        <f t="shared" si="82"/>
        <v>165.47535084591149</v>
      </c>
      <c r="G44" s="3450">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2603</v>
      </c>
      <c r="B45" s="2646">
        <f t="shared" si="81"/>
        <v>208.83454537875372</v>
      </c>
      <c r="C45" s="2646">
        <f t="shared" si="81"/>
        <v>183.77230517090351</v>
      </c>
      <c r="D45" s="2646">
        <f t="shared" si="65"/>
        <v>183.77230517090351</v>
      </c>
      <c r="E45" s="2646">
        <f t="shared" si="82"/>
        <v>281.10342338870947</v>
      </c>
      <c r="F45" s="2646">
        <f t="shared" si="82"/>
        <v>168.97309388942256</v>
      </c>
      <c r="G45" s="3453">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2604</v>
      </c>
      <c r="B46" s="2676">
        <v>214</v>
      </c>
      <c r="C46" s="2676">
        <v>188</v>
      </c>
      <c r="D46" s="2676">
        <f t="shared" si="65"/>
        <v>188</v>
      </c>
      <c r="E46" s="2676">
        <v>289</v>
      </c>
      <c r="F46" s="2677">
        <v>166</v>
      </c>
      <c r="G46" s="3452">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2605</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50">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2606</v>
      </c>
      <c r="B48" s="2646">
        <f t="shared" si="83"/>
        <v>206.31694671589116</v>
      </c>
      <c r="C48" s="2646">
        <f t="shared" si="83"/>
        <v>183.61041121036101</v>
      </c>
      <c r="D48" s="2646">
        <f t="shared" si="65"/>
        <v>183.61041121036101</v>
      </c>
      <c r="E48" s="2646">
        <f t="shared" si="84"/>
        <v>276.66850301795557</v>
      </c>
      <c r="F48" s="2646">
        <f t="shared" si="84"/>
        <v>165.1360938278614</v>
      </c>
      <c r="G48" s="3450">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2607</v>
      </c>
      <c r="B49" s="2679">
        <f t="shared" si="83"/>
        <v>196.62341248059772</v>
      </c>
      <c r="C49" s="2679">
        <f t="shared" si="83"/>
        <v>170.99125648199012</v>
      </c>
      <c r="D49" s="2679">
        <f t="shared" si="65"/>
        <v>170.99125648199012</v>
      </c>
      <c r="E49" s="2679">
        <f t="shared" si="84"/>
        <v>266.07857570490052</v>
      </c>
      <c r="F49" s="2679">
        <f t="shared" si="84"/>
        <v>154.53499328828505</v>
      </c>
      <c r="G49" s="3453">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2608</v>
      </c>
      <c r="B50" s="2638">
        <v>188</v>
      </c>
      <c r="C50" s="2638">
        <v>165</v>
      </c>
      <c r="D50" s="2638">
        <f t="shared" si="65"/>
        <v>165</v>
      </c>
      <c r="E50" s="2638">
        <v>254</v>
      </c>
      <c r="F50" s="2639">
        <v>148</v>
      </c>
      <c r="G50" s="3452">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2609</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50">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2610</v>
      </c>
      <c r="B52" s="2646">
        <f t="shared" si="87"/>
        <v>168.82017748715555</v>
      </c>
      <c r="C52" s="2646">
        <f t="shared" si="87"/>
        <v>148.06267029972753</v>
      </c>
      <c r="D52" s="2646">
        <f t="shared" si="65"/>
        <v>148.06267029972753</v>
      </c>
      <c r="E52" s="2646">
        <f t="shared" si="88"/>
        <v>216.46288379323747</v>
      </c>
      <c r="F52" s="2646">
        <f t="shared" si="88"/>
        <v>134.23529411764704</v>
      </c>
      <c r="G52" s="3450">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2611</v>
      </c>
      <c r="B53" s="2646">
        <f t="shared" si="87"/>
        <v>163.84913591779542</v>
      </c>
      <c r="C53" s="2646">
        <f t="shared" si="87"/>
        <v>145.0283378746594</v>
      </c>
      <c r="D53" s="2646">
        <f t="shared" si="65"/>
        <v>145.0283378746594</v>
      </c>
      <c r="E53" s="2646">
        <f t="shared" si="88"/>
        <v>204.95180722891567</v>
      </c>
      <c r="F53" s="2646">
        <f t="shared" si="88"/>
        <v>125.95920303605313</v>
      </c>
      <c r="G53" s="3453">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2612</v>
      </c>
      <c r="B54" s="2660">
        <v>159</v>
      </c>
      <c r="C54" s="2660">
        <v>141</v>
      </c>
      <c r="D54" s="2660">
        <f t="shared" si="65"/>
        <v>141</v>
      </c>
      <c r="E54" s="2660">
        <v>195</v>
      </c>
      <c r="F54" s="2661">
        <v>122</v>
      </c>
      <c r="G54" s="3452">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2613</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50">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2614</v>
      </c>
      <c r="B56" s="2646">
        <f t="shared" si="91"/>
        <v>146.57412060301507</v>
      </c>
      <c r="C56" s="2646">
        <f t="shared" si="91"/>
        <v>136.46831955922866</v>
      </c>
      <c r="D56" s="2646">
        <f t="shared" si="65"/>
        <v>136.46831955922866</v>
      </c>
      <c r="E56" s="2646">
        <f t="shared" si="92"/>
        <v>166.73864894795128</v>
      </c>
      <c r="F56" s="2646">
        <f t="shared" si="92"/>
        <v>115.05882352941177</v>
      </c>
      <c r="G56" s="3450">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2615</v>
      </c>
      <c r="B57" s="2646">
        <f t="shared" si="91"/>
        <v>144.04145728643215</v>
      </c>
      <c r="C57" s="2646">
        <f t="shared" si="91"/>
        <v>136.12396694214877</v>
      </c>
      <c r="D57" s="2646">
        <f t="shared" si="65"/>
        <v>136.12396694214877</v>
      </c>
      <c r="E57" s="2646">
        <f t="shared" si="92"/>
        <v>158.32225913621264</v>
      </c>
      <c r="F57" s="2646">
        <f t="shared" si="92"/>
        <v>114.04278074866311</v>
      </c>
      <c r="G57" s="3453">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2616</v>
      </c>
      <c r="B58" s="2660">
        <v>138</v>
      </c>
      <c r="C58" s="2660">
        <v>131</v>
      </c>
      <c r="D58" s="2660">
        <f t="shared" si="65"/>
        <v>131</v>
      </c>
      <c r="E58" s="2660">
        <v>155</v>
      </c>
      <c r="F58" s="2661">
        <v>114</v>
      </c>
      <c r="G58" s="3452">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2617</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50">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2618</v>
      </c>
      <c r="B60" s="2646">
        <f t="shared" si="95"/>
        <v>124.29032258064517</v>
      </c>
      <c r="C60" s="2646">
        <f t="shared" si="95"/>
        <v>123.8968609865471</v>
      </c>
      <c r="D60" s="2646">
        <f t="shared" si="65"/>
        <v>123.8968609865471</v>
      </c>
      <c r="E60" s="2646">
        <f t="shared" si="96"/>
        <v>138.00507614213197</v>
      </c>
      <c r="F60" s="2646">
        <f t="shared" si="96"/>
        <v>107.96106557377048</v>
      </c>
      <c r="G60" s="3450">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2619</v>
      </c>
      <c r="B61" s="2646">
        <f t="shared" si="95"/>
        <v>122.57204301075269</v>
      </c>
      <c r="C61" s="2646">
        <f t="shared" si="95"/>
        <v>123.4932735426009</v>
      </c>
      <c r="D61" s="2646">
        <f t="shared" si="65"/>
        <v>123.4932735426009</v>
      </c>
      <c r="E61" s="2646">
        <f t="shared" si="96"/>
        <v>129.82233502538071</v>
      </c>
      <c r="F61" s="2646">
        <f t="shared" si="96"/>
        <v>107.39446721311475</v>
      </c>
      <c r="G61" s="3453">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2620</v>
      </c>
      <c r="B62" s="2676">
        <v>121</v>
      </c>
      <c r="C62" s="2676">
        <v>122</v>
      </c>
      <c r="D62" s="2676">
        <f t="shared" si="65"/>
        <v>122</v>
      </c>
      <c r="E62" s="2676">
        <v>124</v>
      </c>
      <c r="F62" s="2677">
        <v>107</v>
      </c>
      <c r="G62" s="3452">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2621</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50">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2622</v>
      </c>
      <c r="B64" s="2646">
        <f t="shared" si="99"/>
        <v>116.99099099099099</v>
      </c>
      <c r="C64" s="2646">
        <f t="shared" si="99"/>
        <v>118.84848484848486</v>
      </c>
      <c r="D64" s="2646">
        <f t="shared" si="65"/>
        <v>118.84848484848486</v>
      </c>
      <c r="E64" s="2646">
        <f t="shared" si="100"/>
        <v>117.60960960960961</v>
      </c>
      <c r="F64" s="2646">
        <f t="shared" si="100"/>
        <v>104</v>
      </c>
      <c r="G64" s="3450">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2623</v>
      </c>
      <c r="B65" s="2679">
        <f t="shared" si="99"/>
        <v>112.48648648648648</v>
      </c>
      <c r="C65" s="2679">
        <f t="shared" si="99"/>
        <v>115.21212121212122</v>
      </c>
      <c r="D65" s="2679">
        <f t="shared" si="65"/>
        <v>115.21212121212122</v>
      </c>
      <c r="E65" s="2679">
        <f t="shared" si="100"/>
        <v>110.4024024024024</v>
      </c>
      <c r="F65" s="2679">
        <f t="shared" si="100"/>
        <v>104</v>
      </c>
      <c r="G65" s="3453">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2624</v>
      </c>
      <c r="B66" s="2697">
        <v>111</v>
      </c>
      <c r="C66" s="2697">
        <v>114</v>
      </c>
      <c r="D66" s="2697">
        <f t="shared" si="65"/>
        <v>114</v>
      </c>
      <c r="E66" s="2697">
        <v>108</v>
      </c>
      <c r="F66" s="2698">
        <v>104</v>
      </c>
      <c r="G66" s="3452">
        <v>2003</v>
      </c>
      <c r="H66" s="2687">
        <v>4</v>
      </c>
      <c r="I66" s="2699"/>
      <c r="J66" s="2699"/>
      <c r="K66" s="2699"/>
      <c r="L66" s="2699"/>
      <c r="N66" s="2700"/>
      <c r="O66" s="2699"/>
      <c r="P66" s="2699"/>
      <c r="Q66" s="2699"/>
      <c r="S66" s="2700"/>
      <c r="T66" s="2699"/>
      <c r="U66" s="2699"/>
      <c r="V66" s="2699"/>
      <c r="X66" s="2691"/>
      <c r="Y66" s="2691"/>
      <c r="Z66" s="2691"/>
    </row>
    <row r="67" spans="1:26">
      <c r="A67" s="2633" t="s">
        <v>2625</v>
      </c>
      <c r="B67" s="2701">
        <f t="shared" ref="B67:C69" si="101">B68+(B$66-B$70)/4</f>
        <v>109.75</v>
      </c>
      <c r="C67" s="2701">
        <f t="shared" si="101"/>
        <v>112.25</v>
      </c>
      <c r="D67" s="2701">
        <f t="shared" si="65"/>
        <v>112.25</v>
      </c>
      <c r="E67" s="2701">
        <f t="shared" ref="E67:F69" si="102">E68+(E$66-E$70)/4</f>
        <v>107.25</v>
      </c>
      <c r="F67" s="2701">
        <f t="shared" si="102"/>
        <v>103.5</v>
      </c>
      <c r="G67" s="3450">
        <v>2003</v>
      </c>
      <c r="H67" s="2657">
        <v>3</v>
      </c>
      <c r="I67" s="2699"/>
      <c r="J67" s="2699"/>
      <c r="K67" s="2699"/>
      <c r="L67" s="2699"/>
      <c r="X67" s="2691"/>
      <c r="Y67" s="2691"/>
      <c r="Z67" s="2691"/>
    </row>
    <row r="68" spans="1:26">
      <c r="A68" s="2633" t="s">
        <v>2626</v>
      </c>
      <c r="B68" s="2701">
        <f t="shared" si="101"/>
        <v>108.5</v>
      </c>
      <c r="C68" s="2701">
        <f t="shared" si="101"/>
        <v>110.5</v>
      </c>
      <c r="D68" s="2701">
        <f t="shared" si="65"/>
        <v>110.5</v>
      </c>
      <c r="E68" s="2701">
        <f t="shared" si="102"/>
        <v>106.5</v>
      </c>
      <c r="F68" s="2701">
        <f t="shared" si="102"/>
        <v>103</v>
      </c>
      <c r="G68" s="3450">
        <v>2003</v>
      </c>
      <c r="H68" s="2637">
        <v>2</v>
      </c>
      <c r="I68" s="2699"/>
      <c r="J68" s="2699"/>
      <c r="K68" s="2699"/>
      <c r="L68" s="2699"/>
      <c r="X68" s="2691"/>
      <c r="Y68" s="2691"/>
      <c r="Z68" s="2691"/>
    </row>
    <row r="69" spans="1:26" ht="13.5" thickBot="1">
      <c r="A69" s="2633" t="s">
        <v>2627</v>
      </c>
      <c r="B69" s="2701">
        <f t="shared" si="101"/>
        <v>107.25</v>
      </c>
      <c r="C69" s="2701">
        <f t="shared" si="101"/>
        <v>108.75</v>
      </c>
      <c r="D69" s="2701">
        <f t="shared" si="65"/>
        <v>108.75</v>
      </c>
      <c r="E69" s="2701">
        <f t="shared" si="102"/>
        <v>105.75</v>
      </c>
      <c r="F69" s="2701">
        <f t="shared" si="102"/>
        <v>102.5</v>
      </c>
      <c r="G69" s="3453">
        <v>2003</v>
      </c>
      <c r="H69" s="2702">
        <v>1</v>
      </c>
      <c r="I69" s="2699"/>
      <c r="J69" s="2699"/>
      <c r="K69" s="2699"/>
      <c r="L69" s="2699"/>
      <c r="S69" s="2641"/>
      <c r="T69" s="2642"/>
      <c r="U69" s="2642"/>
      <c r="X69" s="2691"/>
      <c r="Y69" s="2691"/>
      <c r="Z69" s="2691"/>
    </row>
    <row r="70" spans="1:26" ht="13.5" thickBot="1">
      <c r="A70" s="2633" t="s">
        <v>2628</v>
      </c>
      <c r="B70" s="2703">
        <v>106</v>
      </c>
      <c r="C70" s="2703">
        <v>107</v>
      </c>
      <c r="D70" s="2703">
        <f t="shared" si="65"/>
        <v>107</v>
      </c>
      <c r="E70" s="2703">
        <v>105</v>
      </c>
      <c r="F70" s="2704">
        <v>102</v>
      </c>
      <c r="G70" s="3452">
        <v>2002</v>
      </c>
      <c r="H70" s="2652">
        <v>4</v>
      </c>
      <c r="I70" s="2699"/>
      <c r="J70" s="2699"/>
      <c r="K70" s="2699"/>
      <c r="L70" s="2699"/>
      <c r="N70" s="2700"/>
      <c r="O70" s="2699"/>
      <c r="P70" s="2699"/>
      <c r="Q70" s="2699"/>
      <c r="S70" s="2700"/>
      <c r="T70" s="2699"/>
      <c r="U70" s="2699"/>
      <c r="V70" s="2699"/>
      <c r="X70" s="2691"/>
      <c r="Y70" s="2691"/>
      <c r="Z70" s="2691"/>
    </row>
    <row r="71" spans="1:26">
      <c r="A71" s="2633" t="s">
        <v>2629</v>
      </c>
      <c r="B71" s="2701">
        <f t="shared" ref="B71:C73" si="103">B72+(B$70-B$74)/4</f>
        <v>105</v>
      </c>
      <c r="C71" s="2701">
        <f t="shared" si="103"/>
        <v>106</v>
      </c>
      <c r="D71" s="2701">
        <f t="shared" si="65"/>
        <v>106</v>
      </c>
      <c r="E71" s="2701">
        <f t="shared" ref="E71:F73" si="104">E72+(E$70-E$74)/4</f>
        <v>104.5</v>
      </c>
      <c r="F71" s="2701">
        <f t="shared" si="104"/>
        <v>101.5</v>
      </c>
      <c r="G71" s="3450">
        <v>2002</v>
      </c>
      <c r="H71" s="2657">
        <v>3</v>
      </c>
      <c r="I71" s="2699"/>
      <c r="J71" s="2699"/>
      <c r="K71" s="2699"/>
      <c r="L71" s="2699"/>
      <c r="X71" s="2691"/>
      <c r="Y71" s="2691"/>
      <c r="Z71" s="2691"/>
    </row>
    <row r="72" spans="1:26">
      <c r="A72" s="2633" t="s">
        <v>2630</v>
      </c>
      <c r="B72" s="2701">
        <f t="shared" si="103"/>
        <v>104</v>
      </c>
      <c r="C72" s="2701">
        <f t="shared" si="103"/>
        <v>105</v>
      </c>
      <c r="D72" s="2701">
        <f t="shared" si="65"/>
        <v>105</v>
      </c>
      <c r="E72" s="2701">
        <f t="shared" si="104"/>
        <v>104</v>
      </c>
      <c r="F72" s="2701">
        <f t="shared" si="104"/>
        <v>101</v>
      </c>
      <c r="G72" s="3450">
        <v>2002</v>
      </c>
      <c r="H72" s="2637">
        <v>2</v>
      </c>
      <c r="I72" s="2699"/>
      <c r="J72" s="2699"/>
      <c r="K72" s="2699"/>
      <c r="L72" s="2699"/>
      <c r="X72" s="2691"/>
      <c r="Y72" s="2691"/>
      <c r="Z72" s="2691"/>
    </row>
    <row r="73" spans="1:26" s="2668" customFormat="1" ht="13.5" thickBot="1">
      <c r="A73" s="2664" t="s">
        <v>2631</v>
      </c>
      <c r="B73" s="2705">
        <f t="shared" si="103"/>
        <v>103</v>
      </c>
      <c r="C73" s="2705">
        <f t="shared" si="103"/>
        <v>104</v>
      </c>
      <c r="D73" s="2705">
        <f t="shared" si="65"/>
        <v>104</v>
      </c>
      <c r="E73" s="2705">
        <f t="shared" si="104"/>
        <v>103.5</v>
      </c>
      <c r="F73" s="2705">
        <f t="shared" si="104"/>
        <v>100.5</v>
      </c>
      <c r="G73" s="3453">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2632</v>
      </c>
      <c r="G76" s="2715"/>
      <c r="N76" s="2715"/>
      <c r="S76" s="2715"/>
    </row>
    <row r="77" spans="1:26" s="2714" customFormat="1">
      <c r="A77" s="2714" t="s">
        <v>2633</v>
      </c>
      <c r="G77" s="2715"/>
      <c r="N77" s="2715"/>
      <c r="S77" s="2715"/>
    </row>
    <row r="78" spans="1:26" s="2714" customFormat="1">
      <c r="A78" s="2714" t="s">
        <v>2634</v>
      </c>
      <c r="G78" s="2715"/>
      <c r="I78" s="2716"/>
      <c r="J78" s="2716"/>
      <c r="K78" s="2716"/>
      <c r="L78" s="2716"/>
      <c r="N78" s="2717"/>
      <c r="O78" s="2716"/>
      <c r="P78" s="2716"/>
      <c r="Q78" s="2716"/>
      <c r="S78" s="2717"/>
      <c r="T78" s="2716"/>
      <c r="U78" s="2716"/>
      <c r="V78" s="2716"/>
    </row>
    <row r="79" spans="1:26" s="2714" customFormat="1">
      <c r="A79" s="2714" t="s">
        <v>2635</v>
      </c>
      <c r="G79" s="2715"/>
      <c r="N79" s="2715"/>
      <c r="S79" s="2715"/>
    </row>
    <row r="86" spans="7:22" ht="13.5" thickBot="1"/>
    <row r="87" spans="7:22">
      <c r="G87" s="2640"/>
      <c r="S87" s="2718" t="s">
        <v>2636</v>
      </c>
      <c r="T87" s="2719" t="s">
        <v>2637</v>
      </c>
      <c r="U87" s="2719" t="s">
        <v>2638</v>
      </c>
      <c r="V87" s="2719" t="s">
        <v>2639</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五矿信托：</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47625平方米。根据《建设工程规划许可证》[]、《出让合同》[]，估价对象规划建筑面积为183566.61平方米。</v>
      </c>
    </row>
    <row r="7" spans="1:4" ht="56.25">
      <c r="A7" s="1796" t="s">
        <v>2748</v>
      </c>
    </row>
    <row r="8" spans="1:4" ht="18.75">
      <c r="A8" s="1795" t="s">
        <v>1907</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2019年1月25日（评估专业人员勘察现场之日）</v>
      </c>
    </row>
    <row r="12" spans="1:4" ht="18.75">
      <c r="A12" s="1798" t="s">
        <v>2026</v>
      </c>
    </row>
    <row r="13" spans="1:4" ht="18.75">
      <c r="A13" s="1792" t="s">
        <v>2944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根据《国有土地使用证》[]，估价对象（分摊）出让国有建设用地使用权面积为47625平方米。根据《建设工程规划许可证》[]、《出让合同》[]，估价对象规划建筑面积为183566.61平方米。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本次估价对象为出让国有建设用地使用权，《国有土地使用证》[]证载土地终止日期为住宅2088年4月20日、商业2058年4月20日地下车库2068年4月20日。截至估价期日，出让国有建设用地使用权剩余土地使用年限为。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1月25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A4" sqref="A4:F43"/>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3030</v>
      </c>
      <c r="D1" s="3100" t="s">
        <v>3027</v>
      </c>
      <c r="E1" s="2365" t="s">
        <v>2375</v>
      </c>
      <c r="F1" s="2366">
        <f ca="1">J53</f>
        <v>37.26</v>
      </c>
      <c r="G1" s="774">
        <f>MATCH(C1,'数据-取费表'!A6:A16,0)+5</f>
        <v>7</v>
      </c>
      <c r="H1" s="2051"/>
      <c r="I1" s="2052"/>
      <c r="J1" s="2052"/>
      <c r="K1" s="2053"/>
      <c r="L1" s="2052"/>
      <c r="M1" s="2052"/>
      <c r="N1" s="2054"/>
      <c r="O1" s="2054"/>
      <c r="P1" s="2054"/>
      <c r="Q1" s="2370"/>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5270</v>
      </c>
      <c r="C2" s="2058"/>
      <c r="D2" s="2056"/>
      <c r="E2" s="2057"/>
      <c r="F2" s="2057"/>
      <c r="G2" s="1591"/>
      <c r="H2" s="2058"/>
      <c r="I2" s="2058"/>
      <c r="J2" s="2058"/>
      <c r="K2" s="2059"/>
      <c r="L2" s="2058"/>
      <c r="M2" s="2058"/>
    </row>
    <row r="3" spans="1:33" ht="18" customHeight="1" thickBot="1">
      <c r="A3" s="833" t="s">
        <v>1728</v>
      </c>
      <c r="B3" s="834">
        <f ca="1">IF(ISERROR(B2*10000/F43),0,ROUND(B2*10000/F43,0))</f>
        <v>38828</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283</v>
      </c>
      <c r="D5" s="2474" t="s">
        <v>2462</v>
      </c>
      <c r="E5" s="2468"/>
      <c r="F5" s="2469"/>
      <c r="G5" s="1593"/>
      <c r="H5" s="781">
        <v>1</v>
      </c>
      <c r="I5" s="782" t="s">
        <v>2459</v>
      </c>
      <c r="J5" s="55">
        <f ca="1">J6+J10+J12</f>
        <v>0</v>
      </c>
      <c r="K5" s="2474" t="s">
        <v>2462</v>
      </c>
      <c r="L5" s="2468"/>
      <c r="M5" s="2469"/>
    </row>
    <row r="6" spans="1:33" ht="18" customHeight="1">
      <c r="A6" s="1831" t="s">
        <v>1825</v>
      </c>
      <c r="B6" s="3443" t="s">
        <v>2464</v>
      </c>
      <c r="C6" s="783">
        <f ca="1">ROUND(F6*F8*F7*(1-F9)/10000,0)</f>
        <v>282</v>
      </c>
      <c r="D6" s="2475" t="s">
        <v>2463</v>
      </c>
      <c r="E6" s="784" t="s">
        <v>1739</v>
      </c>
      <c r="F6" s="785">
        <f ca="1">INDIRECT("'数据-取费表'!u"&amp;$G$1)</f>
        <v>6</v>
      </c>
      <c r="G6" s="1593"/>
      <c r="H6" s="2482" t="s">
        <v>2469</v>
      </c>
      <c r="I6" s="3443" t="s">
        <v>2464</v>
      </c>
      <c r="J6" s="783">
        <f ca="1">ROUND(M6*M8*M7*(1-M9)/10000,0)</f>
        <v>0</v>
      </c>
      <c r="K6" s="341" t="s">
        <v>1738</v>
      </c>
      <c r="L6" s="784" t="s">
        <v>1739</v>
      </c>
      <c r="M6" s="785">
        <f ca="1">INDIRECT("'数据-取费表'!z"&amp;$G$1)</f>
        <v>0</v>
      </c>
    </row>
    <row r="7" spans="1:33" ht="18" customHeight="1">
      <c r="A7" s="2478"/>
      <c r="B7" s="3444"/>
      <c r="C7" s="788"/>
      <c r="D7" s="789"/>
      <c r="E7" s="784" t="s">
        <v>1740</v>
      </c>
      <c r="F7" s="785">
        <f ca="1">IF(INDIRECT("'数据-取费表'!ah"&amp;$G$1)="",INDIRECT("'数据-取费表'!k"&amp;$G$1),INDIRECT("'数据-取费表'!ah"&amp;$G$1))</f>
        <v>1357.27</v>
      </c>
      <c r="G7" s="1593"/>
      <c r="H7" s="2467"/>
      <c r="I7" s="3444"/>
      <c r="J7" s="788"/>
      <c r="K7" s="789"/>
      <c r="L7" s="784" t="s">
        <v>1740</v>
      </c>
      <c r="M7" s="785">
        <f ca="1">F7</f>
        <v>1357.27</v>
      </c>
    </row>
    <row r="8" spans="1:33" ht="18" customHeight="1">
      <c r="A8" s="2471"/>
      <c r="B8" s="3445"/>
      <c r="C8" s="788"/>
      <c r="D8" s="789"/>
      <c r="E8" s="784" t="s">
        <v>1741</v>
      </c>
      <c r="F8" s="785">
        <f ca="1">INDIRECT("'数据-取费表'!ai"&amp;$G$1)</f>
        <v>365</v>
      </c>
      <c r="G8" s="1593"/>
      <c r="H8" s="2467"/>
      <c r="I8" s="3445"/>
      <c r="J8" s="788"/>
      <c r="K8" s="789"/>
      <c r="L8" s="784" t="s">
        <v>1741</v>
      </c>
      <c r="M8" s="785">
        <f ca="1">INDIRECT("'数据-取费表'!ai"&amp;$G$1)</f>
        <v>365</v>
      </c>
    </row>
    <row r="9" spans="1:33" ht="18" customHeight="1">
      <c r="A9" s="786"/>
      <c r="B9" s="3446"/>
      <c r="C9" s="788"/>
      <c r="D9" s="789"/>
      <c r="E9" s="784" t="s">
        <v>1742</v>
      </c>
      <c r="F9" s="794">
        <f ca="1">INDIRECT("'数据-取费表'!w"&amp;$G$1)</f>
        <v>0.05</v>
      </c>
      <c r="G9" s="1593"/>
      <c r="H9" s="2483"/>
      <c r="I9" s="3445"/>
      <c r="J9" s="788"/>
      <c r="K9" s="789"/>
      <c r="L9" s="795" t="s">
        <v>1742</v>
      </c>
      <c r="M9" s="796">
        <f ca="1">INDIRECT("'数据-取费表'!ab"&amp;$G$1)</f>
        <v>0</v>
      </c>
    </row>
    <row r="10" spans="1:33" ht="18" customHeight="1">
      <c r="A10" s="1831" t="s">
        <v>2467</v>
      </c>
      <c r="B10" s="2472" t="s">
        <v>2460</v>
      </c>
      <c r="C10" s="799">
        <f ca="1">ROUND(IF(F10="押一",C6/12*F11,IF(F10="押二",C6/12*2*F11,IF(F10="押三",C6/12*3*F11,C11*F11))),0)</f>
        <v>1</v>
      </c>
      <c r="D10" s="2479" t="s">
        <v>2977</v>
      </c>
      <c r="E10" s="2476" t="s">
        <v>2465</v>
      </c>
      <c r="F10" s="2599" t="s">
        <v>3390</v>
      </c>
      <c r="G10" s="1593"/>
      <c r="H10" s="2539" t="s">
        <v>2470</v>
      </c>
      <c r="I10" s="2544" t="s">
        <v>2460</v>
      </c>
      <c r="J10" s="783">
        <f ca="1">ROUND(IF(M10="押一",J6/12*M11,IF(M10="押二",J6/12*2*M11,IF(M10="押三",J6/12*3*M11,J11*M11))),0)</f>
        <v>0</v>
      </c>
      <c r="K10" s="2479" t="s">
        <v>2977</v>
      </c>
      <c r="L10" s="2476" t="s">
        <v>2465</v>
      </c>
      <c r="M10" s="2599"/>
    </row>
    <row r="11" spans="1:33" ht="18" customHeight="1">
      <c r="A11" s="790"/>
      <c r="B11" s="2473" t="s">
        <v>2574</v>
      </c>
      <c r="C11" s="2477"/>
      <c r="D11" s="789"/>
      <c r="E11" s="2476" t="s">
        <v>2466</v>
      </c>
      <c r="F11" s="796">
        <f ca="1">'数据-取费表'!B39</f>
        <v>1.4999999999999999E-2</v>
      </c>
      <c r="G11" s="1593"/>
      <c r="H11" s="2540"/>
      <c r="I11" s="2473" t="s">
        <v>2574</v>
      </c>
      <c r="J11" s="2477"/>
      <c r="K11" s="2541"/>
      <c r="L11" s="2476" t="s">
        <v>2466</v>
      </c>
      <c r="M11" s="2470">
        <f ca="1">'数据-取费表'!B39</f>
        <v>1.4999999999999999E-2</v>
      </c>
    </row>
    <row r="12" spans="1:33" ht="18" customHeight="1" thickBot="1">
      <c r="A12" s="2515" t="s">
        <v>2468</v>
      </c>
      <c r="B12" s="2516" t="s">
        <v>2461</v>
      </c>
      <c r="C12" s="2517"/>
      <c r="D12" s="2518"/>
      <c r="E12" s="2519"/>
      <c r="F12" s="2520"/>
      <c r="G12" s="1593"/>
      <c r="H12" s="2529" t="s">
        <v>2471</v>
      </c>
      <c r="I12" s="2542" t="s">
        <v>2461</v>
      </c>
      <c r="J12" s="2543"/>
      <c r="K12" s="2518"/>
      <c r="L12" s="2519"/>
      <c r="M12" s="2532"/>
    </row>
    <row r="13" spans="1:33" ht="18" customHeight="1" thickTop="1">
      <c r="A13" s="1830">
        <v>2</v>
      </c>
      <c r="B13" s="1828" t="s">
        <v>1743</v>
      </c>
      <c r="C13" s="792">
        <f ca="1">ROUND(C29*F13,0)</f>
        <v>480</v>
      </c>
      <c r="D13" s="1835" t="s">
        <v>2298</v>
      </c>
      <c r="E13" s="1835" t="s">
        <v>1745</v>
      </c>
      <c r="F13" s="2514">
        <f ca="1">INDIRECT("'数据-取费表'!y"&amp;$G$1)</f>
        <v>1</v>
      </c>
      <c r="G13" s="1593"/>
      <c r="H13" s="1830">
        <v>2</v>
      </c>
      <c r="I13" s="1828" t="s">
        <v>1743</v>
      </c>
      <c r="J13" s="1820">
        <f ca="1">ROUND(J14*J15,0)</f>
        <v>0</v>
      </c>
      <c r="K13" s="1822" t="s">
        <v>1744</v>
      </c>
      <c r="L13" s="2530"/>
      <c r="M13" s="2531"/>
    </row>
    <row r="14" spans="1:33" ht="18" customHeight="1">
      <c r="A14" s="1649" t="s">
        <v>1885</v>
      </c>
      <c r="B14" s="784" t="s">
        <v>645</v>
      </c>
      <c r="C14" s="804">
        <f ca="1">INDIRECT("'数据-取费表'!m"&amp;$G$1)+INDIRECT("'数据-取费表'!t"&amp;$G$1)</f>
        <v>349</v>
      </c>
      <c r="D14" s="1980" t="s">
        <v>1746</v>
      </c>
      <c r="E14" s="1981"/>
      <c r="F14" s="805"/>
      <c r="G14" s="1593"/>
      <c r="H14" s="1650" t="s">
        <v>1831</v>
      </c>
      <c r="I14" s="2232" t="s">
        <v>2827</v>
      </c>
      <c r="J14" s="53">
        <f ca="1">C29</f>
        <v>480</v>
      </c>
      <c r="K14" s="26"/>
      <c r="L14" s="801"/>
      <c r="M14" s="802"/>
    </row>
    <row r="15" spans="1:33" s="2065" customFormat="1" ht="18" customHeight="1" thickBot="1">
      <c r="A15" s="1649" t="s">
        <v>1886</v>
      </c>
      <c r="B15" s="784" t="s">
        <v>647</v>
      </c>
      <c r="C15" s="53">
        <f ca="1">ROUND(C14*F15,0)</f>
        <v>10</v>
      </c>
      <c r="D15" s="806" t="s">
        <v>1747</v>
      </c>
      <c r="E15" s="806" t="s">
        <v>1748</v>
      </c>
      <c r="F15" s="807">
        <f>'数据-取费表'!B33</f>
        <v>0.03</v>
      </c>
      <c r="G15" s="1594"/>
      <c r="H15" s="2529" t="s">
        <v>1890</v>
      </c>
      <c r="I15" s="2524" t="s">
        <v>1745</v>
      </c>
      <c r="J15" s="2533">
        <f ca="1">INDIRECT("'数据-取费表'!ad"&amp;$G$1)</f>
        <v>0</v>
      </c>
      <c r="K15" s="2534"/>
      <c r="L15" s="2535"/>
      <c r="M15" s="2536"/>
      <c r="N15" s="2064"/>
      <c r="O15" s="2064"/>
      <c r="P15" s="2064"/>
      <c r="Q15" s="2371"/>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47</v>
      </c>
      <c r="K16" s="1822" t="s">
        <v>1751</v>
      </c>
      <c r="L16" s="2464"/>
      <c r="M16" s="2469"/>
    </row>
    <row r="17" spans="1:33" s="2065" customFormat="1" ht="18" customHeight="1">
      <c r="A17" s="1649" t="s">
        <v>1888</v>
      </c>
      <c r="B17" s="784" t="s">
        <v>653</v>
      </c>
      <c r="C17" s="53">
        <f ca="1">ROUND(F17*(F43+INDIRECT("'数据-取费表'!S"&amp;$G$1))/10000,0)</f>
        <v>28</v>
      </c>
      <c r="D17" s="784" t="s">
        <v>1752</v>
      </c>
      <c r="E17" s="784" t="s">
        <v>1753</v>
      </c>
      <c r="F17" s="56">
        <f>'数据-取费表'!B35</f>
        <v>200</v>
      </c>
      <c r="G17" s="1594"/>
      <c r="H17" s="1650" t="s">
        <v>1831</v>
      </c>
      <c r="I17" s="784" t="s">
        <v>656</v>
      </c>
      <c r="J17" s="53">
        <f ca="1">ROUND(IF(项目基本情况!B11="自然人",J5*M17,J18+J19+J20),0)</f>
        <v>40</v>
      </c>
      <c r="K17" s="2463" t="s">
        <v>1754</v>
      </c>
      <c r="L17" s="2462" t="s">
        <v>1755</v>
      </c>
      <c r="M17" s="810" t="str">
        <f ca="1">IF(项目基本情况!B11="企业","",IF(INDIRECT("'数据-取费表'!c"&amp;$G$1)="住宅",5%,IF(M6*M7*M8/12/(1+'数据-取费表'!C42)&gt;20000,12%,7%)))</f>
        <v/>
      </c>
      <c r="N17" s="2064"/>
      <c r="O17" s="2064"/>
      <c r="P17" s="2064"/>
      <c r="Q17" s="2371"/>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5</v>
      </c>
      <c r="D18" s="784" t="s">
        <v>1747</v>
      </c>
      <c r="E18" s="784" t="s">
        <v>1748</v>
      </c>
      <c r="F18" s="809">
        <f>'数据-取费表'!B36</f>
        <v>1.4999999999999999E-2</v>
      </c>
      <c r="G18" s="1594"/>
      <c r="H18" s="1649" t="s">
        <v>1885</v>
      </c>
      <c r="I18" s="784" t="s">
        <v>1756</v>
      </c>
      <c r="J18" s="53">
        <f ca="1">ROUND(J5*M18/1.05,1)</f>
        <v>0</v>
      </c>
      <c r="K18" s="2462" t="s">
        <v>1757</v>
      </c>
      <c r="L18" s="784" t="s">
        <v>1748</v>
      </c>
      <c r="M18" s="809">
        <f>'数据-取费表'!B41</f>
        <v>5.6000000000000001E-2</v>
      </c>
      <c r="N18" s="2064"/>
      <c r="O18" s="2064"/>
      <c r="P18" s="2064"/>
      <c r="Q18" s="2371"/>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392</v>
      </c>
      <c r="D19" s="261" t="s">
        <v>1758</v>
      </c>
      <c r="E19" s="1983"/>
      <c r="F19" s="56"/>
      <c r="G19" s="1593"/>
      <c r="H19" s="1649" t="s">
        <v>1886</v>
      </c>
      <c r="I19" s="784" t="s">
        <v>1759</v>
      </c>
      <c r="J19" s="53">
        <f ca="1">IF(K19="按租金收入计税",ROUND(J5*M19,1),ROUND(C29*F33*0.7,1))</f>
        <v>40.299999999999997</v>
      </c>
      <c r="K19" s="811" t="s">
        <v>665</v>
      </c>
      <c r="L19" s="784" t="s">
        <v>1748</v>
      </c>
      <c r="M19" s="809">
        <f>IF(K19="按租金收入计税",'数据-取费表'!B51,'数据-取费表'!B50)</f>
        <v>1.2E-2</v>
      </c>
    </row>
    <row r="20" spans="1:33" s="2065" customFormat="1" ht="18" customHeight="1">
      <c r="A20" s="1650" t="s">
        <v>1890</v>
      </c>
      <c r="B20" s="784" t="s">
        <v>666</v>
      </c>
      <c r="C20" s="53">
        <f ca="1">ROUND(C19*F20,0)</f>
        <v>6</v>
      </c>
      <c r="D20" s="812" t="s">
        <v>1760</v>
      </c>
      <c r="E20" s="784" t="s">
        <v>1748</v>
      </c>
      <c r="F20" s="809">
        <f>'数据-取费表'!B37</f>
        <v>1.4999999999999999E-2</v>
      </c>
      <c r="G20" s="1594"/>
      <c r="H20" s="1652" t="s">
        <v>1881</v>
      </c>
      <c r="I20" s="341" t="s">
        <v>1761</v>
      </c>
      <c r="J20" s="54">
        <f ca="1">ROUND(M20*M21/10000,0)</f>
        <v>0</v>
      </c>
      <c r="K20" s="814" t="s">
        <v>1762</v>
      </c>
      <c r="L20" s="784" t="s">
        <v>1763</v>
      </c>
      <c r="M20" s="640">
        <f>'数据-取费表'!B52</f>
        <v>5</v>
      </c>
      <c r="N20" s="2064"/>
      <c r="O20" s="2064"/>
      <c r="P20" s="2064"/>
      <c r="Q20" s="2371"/>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0.01</v>
      </c>
      <c r="G21" s="1594"/>
      <c r="H21" s="2484"/>
      <c r="I21" s="793"/>
      <c r="J21" s="69"/>
      <c r="K21" s="816"/>
      <c r="L21" s="784" t="s">
        <v>1767</v>
      </c>
      <c r="M21" s="785">
        <f ca="1">INDIRECT("'数据-取费表'!r"&amp;$G$1)</f>
        <v>365.37</v>
      </c>
      <c r="N21" s="2064"/>
      <c r="O21" s="2064"/>
      <c r="P21" s="2064"/>
      <c r="Q21" s="2371"/>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0"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7</v>
      </c>
      <c r="K22" s="2462"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19</v>
      </c>
      <c r="D23" s="2549"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2" t="s">
        <v>1772</v>
      </c>
      <c r="L23" s="784" t="s">
        <v>1748</v>
      </c>
      <c r="M23" s="818">
        <f ca="1">INDIRECT("'数据-取费表'!Al"&amp;$G$1)</f>
        <v>1.5E-3</v>
      </c>
      <c r="N23" s="2064"/>
      <c r="O23" s="2064"/>
      <c r="P23" s="2064"/>
      <c r="Q23" s="2371"/>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5.0000000000000001E-4</v>
      </c>
      <c r="D24" s="2549" t="str">
        <f>IF(F23&lt;=1,"销售费用×利率×(建设周期÷2)","销售费用×((1+利率)^(建设周期÷2)-1)")</f>
        <v>销售费用×((1+利率)^(建设周期÷2)-1)</v>
      </c>
      <c r="E24" s="784" t="s">
        <v>1774</v>
      </c>
      <c r="F24" s="819">
        <f ca="1">'数据-取费表'!B40</f>
        <v>4.7500000000000001E-2</v>
      </c>
      <c r="G24" s="1594"/>
      <c r="H24" s="2529" t="s">
        <v>1892</v>
      </c>
      <c r="I24" s="2524" t="s">
        <v>666</v>
      </c>
      <c r="J24" s="2522">
        <f ca="1">ROUND(J5*M24,0)</f>
        <v>0</v>
      </c>
      <c r="K24" s="2523" t="s">
        <v>1775</v>
      </c>
      <c r="L24" s="2524" t="s">
        <v>1748</v>
      </c>
      <c r="M24" s="2520">
        <f ca="1">INDIRECT("'数据-取费表'!Am"&amp;$G$1)</f>
        <v>0.01</v>
      </c>
      <c r="N24" s="2064"/>
      <c r="O24" s="2064"/>
      <c r="P24" s="2064"/>
      <c r="Q24" s="2371"/>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4" t="s">
        <v>2823</v>
      </c>
      <c r="J25" s="792">
        <f ca="1">J5-J16</f>
        <v>-47</v>
      </c>
      <c r="K25" s="2526" t="s">
        <v>1778</v>
      </c>
      <c r="L25" s="2527"/>
      <c r="M25" s="2528"/>
    </row>
    <row r="26" spans="1:33" ht="18" customHeight="1">
      <c r="A26" s="1649" t="s">
        <v>1832</v>
      </c>
      <c r="B26" s="784" t="s">
        <v>2439</v>
      </c>
      <c r="C26" s="53">
        <f ca="1">ROUND((C19+C20)*F26,0)</f>
        <v>32</v>
      </c>
      <c r="D26" s="812" t="s">
        <v>1779</v>
      </c>
      <c r="E26" s="795" t="s">
        <v>1780</v>
      </c>
      <c r="F26" s="794">
        <f ca="1">INDIRECT("'数据-取费表'!q"&amp;$G$1)</f>
        <v>0.08</v>
      </c>
      <c r="G26" s="1593"/>
      <c r="H26" s="2480" t="s">
        <v>1781</v>
      </c>
      <c r="I26" s="2233"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8.0000000000000004E-4</v>
      </c>
      <c r="D27" s="812" t="s">
        <v>1783</v>
      </c>
      <c r="E27" s="806"/>
      <c r="F27" s="807"/>
      <c r="G27" s="1593"/>
      <c r="H27" s="2481"/>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1"/>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1" t="s">
        <v>1893</v>
      </c>
      <c r="B29" s="2519" t="s">
        <v>2301</v>
      </c>
      <c r="C29" s="2522">
        <f ca="1">ROUND((C19+C20+C23+C26)/(1-F21-C24-C27-C28),0)</f>
        <v>480</v>
      </c>
      <c r="D29" s="2523"/>
      <c r="E29" s="2524"/>
      <c r="F29" s="2525"/>
      <c r="G29" s="1594"/>
      <c r="H29" s="823" t="s">
        <v>1788</v>
      </c>
      <c r="I29" s="824" t="s">
        <v>1789</v>
      </c>
      <c r="J29" s="825">
        <f ca="1">ROUND(J26/(1+F40)^F41,0)</f>
        <v>0</v>
      </c>
      <c r="K29" s="826" t="s">
        <v>1790</v>
      </c>
      <c r="L29" s="827"/>
      <c r="M29" s="828">
        <f ca="1">INDIRECT("'数据-取费表'!k"&amp;$G$1)</f>
        <v>1357.27</v>
      </c>
      <c r="N29" s="2064"/>
      <c r="O29" s="2064"/>
      <c r="P29" s="2064"/>
      <c r="Q29" s="2371"/>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60</v>
      </c>
      <c r="D30" s="1822" t="s">
        <v>1792</v>
      </c>
      <c r="E30" s="2464"/>
      <c r="F30" s="2469"/>
      <c r="G30" s="2063"/>
      <c r="H30" s="2066"/>
      <c r="I30" s="2067"/>
      <c r="J30" s="2068"/>
      <c r="K30" s="2069"/>
      <c r="L30" s="2070"/>
      <c r="M30" s="2071"/>
    </row>
    <row r="31" spans="1:33" ht="18" customHeight="1">
      <c r="A31" s="1650" t="s">
        <v>1831</v>
      </c>
      <c r="B31" s="784" t="s">
        <v>656</v>
      </c>
      <c r="C31" s="53">
        <f ca="1">ROUND(IF(项目基本情况!B11="自然人",C5*F31,C32+C33+C34),1)</f>
        <v>49.3</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15.1</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34</v>
      </c>
      <c r="D33" s="811" t="s">
        <v>3001</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0.2</v>
      </c>
      <c r="D34" s="814" t="s">
        <v>1800</v>
      </c>
      <c r="E34" s="784" t="s">
        <v>1801</v>
      </c>
      <c r="F34" s="640">
        <f>'数据-取费表'!B52</f>
        <v>5</v>
      </c>
      <c r="G34" s="2063"/>
      <c r="H34" s="2066"/>
      <c r="I34" s="835" t="s">
        <v>1814</v>
      </c>
      <c r="J34" s="836"/>
      <c r="K34" s="2081"/>
      <c r="L34" s="2080"/>
      <c r="M34" s="2080"/>
    </row>
    <row r="35" spans="1:18" ht="18" customHeight="1">
      <c r="A35" s="815"/>
      <c r="B35" s="793"/>
      <c r="C35" s="69"/>
      <c r="D35" s="816"/>
      <c r="E35" s="784" t="s">
        <v>1802</v>
      </c>
      <c r="F35" s="785">
        <f ca="1">INDIRECT("'数据-取费表'!r"&amp;$G$1)</f>
        <v>365.37</v>
      </c>
      <c r="G35" s="2063"/>
      <c r="H35" s="2066"/>
      <c r="I35" s="837" t="s">
        <v>1815</v>
      </c>
      <c r="J35" s="838">
        <f ca="1">ROUND(C13*J36,0)</f>
        <v>41</v>
      </c>
      <c r="K35" s="2079"/>
      <c r="L35" s="2078"/>
      <c r="M35" s="2078"/>
    </row>
    <row r="36" spans="1:18" ht="18" customHeight="1">
      <c r="A36" s="1650" t="s">
        <v>1890</v>
      </c>
      <c r="B36" s="784" t="s">
        <v>1803</v>
      </c>
      <c r="C36" s="53">
        <f ca="1">ROUND(C29*F36,1)</f>
        <v>7.2</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0.7</v>
      </c>
      <c r="D37" s="1978" t="s">
        <v>1805</v>
      </c>
      <c r="E37" s="784" t="s">
        <v>1797</v>
      </c>
      <c r="F37" s="818">
        <f ca="1">INDIRECT("'数据-取费表'!Al"&amp;$G$1)</f>
        <v>1.5E-3</v>
      </c>
      <c r="G37" s="2063"/>
      <c r="H37" s="2078"/>
      <c r="I37" s="841" t="s">
        <v>1817</v>
      </c>
      <c r="J37" s="842"/>
      <c r="K37" s="2083"/>
      <c r="L37" s="2078"/>
      <c r="M37" s="2078"/>
    </row>
    <row r="38" spans="1:18" ht="18" customHeight="1" thickBot="1">
      <c r="A38" s="2529" t="s">
        <v>1892</v>
      </c>
      <c r="B38" s="2524" t="s">
        <v>666</v>
      </c>
      <c r="C38" s="2522">
        <f ca="1">ROUND(C5*F38,1)</f>
        <v>2.8</v>
      </c>
      <c r="D38" s="2523" t="s">
        <v>1806</v>
      </c>
      <c r="E38" s="2524" t="s">
        <v>1797</v>
      </c>
      <c r="F38" s="2520">
        <f ca="1">INDIRECT("'数据-取费表'!Am"&amp;$G$1)</f>
        <v>0.01</v>
      </c>
      <c r="G38" s="2063"/>
      <c r="H38" s="2078"/>
      <c r="I38" s="843" t="s">
        <v>1818</v>
      </c>
      <c r="J38" s="844"/>
      <c r="K38" s="2084"/>
      <c r="L38" s="2078"/>
      <c r="M38" s="2078"/>
    </row>
    <row r="39" spans="1:18" ht="24.6" customHeight="1" thickTop="1">
      <c r="A39" s="1830" t="s">
        <v>1895</v>
      </c>
      <c r="B39" s="2984" t="s">
        <v>2823</v>
      </c>
      <c r="C39" s="792">
        <f ca="1">C5-C30</f>
        <v>223</v>
      </c>
      <c r="D39" s="2526" t="s">
        <v>1807</v>
      </c>
      <c r="E39" s="2527"/>
      <c r="F39" s="2528"/>
      <c r="G39" s="2063"/>
      <c r="H39" s="2078"/>
      <c r="I39" s="837" t="s">
        <v>1819</v>
      </c>
      <c r="J39" s="845">
        <f ca="1">ROUND(J35/C39,3)</f>
        <v>0.184</v>
      </c>
      <c r="K39" s="2084"/>
      <c r="L39" s="2078"/>
      <c r="M39" s="2078"/>
    </row>
    <row r="40" spans="1:18" ht="18" customHeight="1">
      <c r="A40" s="781" t="s">
        <v>1896</v>
      </c>
      <c r="B40" s="2233" t="s">
        <v>2302</v>
      </c>
      <c r="C40" s="783">
        <f ca="1">ROUND(C39*(1-((1+F42)/(1+F40))^F41)/(F40-F42),0)</f>
        <v>5270</v>
      </c>
      <c r="D40" s="814" t="s">
        <v>1808</v>
      </c>
      <c r="E40" s="784" t="s">
        <v>2420</v>
      </c>
      <c r="F40" s="794">
        <f ca="1">INDIRECT("'数据-取费表'!I"&amp;$G$1)</f>
        <v>5.5E-2</v>
      </c>
      <c r="G40" s="2063"/>
      <c r="H40" s="2063"/>
      <c r="I40" s="837" t="s">
        <v>1820</v>
      </c>
      <c r="J40" s="845">
        <f ca="1">1-J39</f>
        <v>0.81600000000000006</v>
      </c>
      <c r="K40" s="2084"/>
      <c r="L40" s="2063"/>
      <c r="M40" s="2063"/>
    </row>
    <row r="41" spans="1:18" ht="18" customHeight="1">
      <c r="A41" s="786"/>
      <c r="B41" s="787"/>
      <c r="C41" s="788"/>
      <c r="D41" s="821" t="s">
        <v>1809</v>
      </c>
      <c r="E41" s="784" t="s">
        <v>2967</v>
      </c>
      <c r="F41" s="822">
        <f ca="1">IF(INDIRECT("'数据-取费表'!af"&amp;$G$1)=0,INDIRECT("'数据-取费表'!ae"&amp;$G$1),INDIRECT("'数据-取费表'!af"&amp;$G$1))</f>
        <v>37.26</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9.0999999999999998E-2</v>
      </c>
      <c r="K42" s="2083"/>
      <c r="L42" s="1989"/>
      <c r="M42" s="1989"/>
    </row>
    <row r="43" spans="1:18" ht="18" customHeight="1" thickBot="1">
      <c r="A43" s="823" t="s">
        <v>1788</v>
      </c>
      <c r="B43" s="824" t="s">
        <v>1811</v>
      </c>
      <c r="C43" s="825">
        <f ca="1">ROUND(C40*10000/F43,0)</f>
        <v>38828</v>
      </c>
      <c r="D43" s="826" t="s">
        <v>1812</v>
      </c>
      <c r="E43" s="827" t="s">
        <v>1813</v>
      </c>
      <c r="F43" s="828">
        <f ca="1">INDIRECT("'数据-取费表'!k"&amp;$G$1)</f>
        <v>1357.27</v>
      </c>
      <c r="G43" s="2063"/>
      <c r="H43" s="1989"/>
      <c r="I43" s="847" t="s">
        <v>1823</v>
      </c>
      <c r="J43" s="848">
        <f ca="1">1-J42</f>
        <v>0.90900000000000003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2">
        <f ca="1">C67-C40</f>
        <v>-5396</v>
      </c>
      <c r="D46" s="2086"/>
      <c r="E46" s="2086"/>
      <c r="F46" s="2086"/>
      <c r="I46" s="2356" t="s">
        <v>2344</v>
      </c>
      <c r="J46" s="2357"/>
      <c r="K46" s="2358"/>
      <c r="L46" s="3132">
        <f>IF(OR(M47="住宅",D1="土地（套用方法）"),0,IF(L48&gt;J51,L60,J60))</f>
        <v>0</v>
      </c>
      <c r="O46" s="2372" t="s">
        <v>2411</v>
      </c>
      <c r="P46" s="1593"/>
      <c r="Q46" s="1605"/>
      <c r="R46" s="1593"/>
    </row>
    <row r="47" spans="1:18" s="2060" customFormat="1" ht="18" customHeight="1" thickBot="1">
      <c r="A47" s="2350">
        <v>1</v>
      </c>
      <c r="B47" s="2351" t="s">
        <v>635</v>
      </c>
      <c r="C47" s="2552">
        <f ca="1">C48+C52+C54</f>
        <v>0</v>
      </c>
      <c r="D47" s="2086"/>
      <c r="E47" s="2086"/>
      <c r="F47" s="2086"/>
      <c r="I47" s="3122" t="s">
        <v>2345</v>
      </c>
      <c r="J47" s="2359" t="s">
        <v>3028</v>
      </c>
      <c r="K47" s="3129" t="s">
        <v>2350</v>
      </c>
      <c r="L47" s="3133">
        <f ca="1">INDIRECT("'数据-取费表'!d"&amp;$G$1)</f>
        <v>40</v>
      </c>
      <c r="M47" s="1605" t="str">
        <f>IF(ISNUMBER(FIND("住宅",C1)),"住宅","非住宅")</f>
        <v>非住宅</v>
      </c>
      <c r="O47" s="2373" t="s">
        <v>2376</v>
      </c>
      <c r="P47" s="2374" t="s">
        <v>2377</v>
      </c>
      <c r="Q47" s="2375" t="s">
        <v>2378</v>
      </c>
      <c r="R47" s="2374" t="s">
        <v>2379</v>
      </c>
    </row>
    <row r="48" spans="1:18" s="2060" customFormat="1" ht="18" customHeight="1" thickBot="1">
      <c r="A48" s="2620" t="s">
        <v>2538</v>
      </c>
      <c r="B48" s="2621" t="s">
        <v>2539</v>
      </c>
      <c r="C48" s="2352">
        <f ca="1">ROUND(F48*F50*F49*(1-F51)/10000,0)</f>
        <v>0</v>
      </c>
      <c r="D48" s="2353" t="s">
        <v>636</v>
      </c>
      <c r="E48" s="2354" t="s">
        <v>2297</v>
      </c>
      <c r="F48" s="2355"/>
      <c r="G48" s="2091"/>
      <c r="I48" s="3101" t="s">
        <v>2346</v>
      </c>
      <c r="J48" s="2360" t="s">
        <v>2351</v>
      </c>
      <c r="K48" s="3130" t="s">
        <v>2352</v>
      </c>
      <c r="L48" s="1909">
        <f ca="1">INDIRECT("'数据-取费表'!f"&amp;$G$1)</f>
        <v>39.26</v>
      </c>
      <c r="O48" s="2376" t="s">
        <v>2380</v>
      </c>
      <c r="P48" s="2377" t="s">
        <v>2406</v>
      </c>
      <c r="Q48" s="2378">
        <f ca="1">C40+J29</f>
        <v>5270</v>
      </c>
      <c r="R48" s="2377" t="s">
        <v>2381</v>
      </c>
    </row>
    <row r="49" spans="1:18" s="2060" customFormat="1" ht="18" customHeight="1" thickBot="1">
      <c r="A49" s="786"/>
      <c r="B49" s="787"/>
      <c r="C49" s="788"/>
      <c r="D49" s="789"/>
      <c r="E49" s="784" t="s">
        <v>1740</v>
      </c>
      <c r="F49" s="785">
        <f ca="1">F7</f>
        <v>1357.27</v>
      </c>
      <c r="G49" s="2091"/>
      <c r="H49" s="2094"/>
      <c r="I49" s="3101" t="s">
        <v>2347</v>
      </c>
      <c r="J49" s="2361">
        <v>2021</v>
      </c>
      <c r="K49" s="3131" t="s">
        <v>2353</v>
      </c>
      <c r="L49" s="2362"/>
      <c r="O49" s="2376" t="s">
        <v>2382</v>
      </c>
      <c r="P49" s="2377" t="s">
        <v>2407</v>
      </c>
      <c r="Q49" s="2378">
        <f ca="1">J60</f>
        <v>8</v>
      </c>
      <c r="R49" s="2377" t="s">
        <v>2383</v>
      </c>
    </row>
    <row r="50" spans="1:18" s="2060" customFormat="1" ht="18" customHeight="1" thickBot="1">
      <c r="A50" s="786"/>
      <c r="B50" s="787"/>
      <c r="C50" s="788"/>
      <c r="D50" s="789"/>
      <c r="E50" s="784" t="s">
        <v>1741</v>
      </c>
      <c r="F50" s="785">
        <f ca="1">F8</f>
        <v>365</v>
      </c>
      <c r="G50" s="2096"/>
      <c r="H50" s="2094"/>
      <c r="I50" s="3101" t="s">
        <v>2348</v>
      </c>
      <c r="J50" s="3126">
        <f>SUMPRODUCT((I63:I65=J47)*(J62:L62=J48)*(J63:L65))</f>
        <v>60</v>
      </c>
      <c r="K50" s="3131" t="s">
        <v>2354</v>
      </c>
      <c r="L50" s="2362"/>
      <c r="O50" s="2379" t="s">
        <v>2384</v>
      </c>
      <c r="P50" s="2377" t="s">
        <v>2408</v>
      </c>
      <c r="Q50" s="2378">
        <f ca="1">C29</f>
        <v>480</v>
      </c>
      <c r="R50" s="2377" t="s">
        <v>2381</v>
      </c>
    </row>
    <row r="51" spans="1:18" s="2060" customFormat="1" ht="18" customHeight="1" thickBot="1">
      <c r="A51" s="786"/>
      <c r="B51" s="787"/>
      <c r="C51" s="788"/>
      <c r="D51" s="789"/>
      <c r="E51" s="784" t="s">
        <v>640</v>
      </c>
      <c r="F51" s="2349"/>
      <c r="H51" s="2094"/>
      <c r="I51" s="3123" t="s">
        <v>2349</v>
      </c>
      <c r="J51" s="3127">
        <f>IF(J49="",J50,J49+J50-YEAR('数据-取费表'!B2))</f>
        <v>62</v>
      </c>
      <c r="K51" s="3101" t="s">
        <v>2355</v>
      </c>
      <c r="L51" s="3134">
        <f ca="1">ROUND(-PV(INDIRECT("'数据-取费表'!h"&amp;$G$1),L48,(C39-C13*J36),0),0)</f>
        <v>3107</v>
      </c>
      <c r="O51" s="2379" t="s">
        <v>2385</v>
      </c>
      <c r="P51" s="2377" t="s">
        <v>2386</v>
      </c>
      <c r="Q51" s="2380">
        <f ca="1">J58</f>
        <v>0.4</v>
      </c>
      <c r="R51" s="2381"/>
    </row>
    <row r="52" spans="1:18" s="2060" customFormat="1" ht="18" customHeight="1" thickBot="1">
      <c r="A52" s="781" t="s">
        <v>2537</v>
      </c>
      <c r="B52" s="2472" t="s">
        <v>2460</v>
      </c>
      <c r="C52" s="799">
        <f ca="1">ROUND(IF(F52="押一",C48/12*F11,IF(F52="押二",C48/12*2*F11,IF(F52="押三",C48/12*3*F11,C53*F11))),0)</f>
        <v>0</v>
      </c>
      <c r="D52" s="2479" t="s">
        <v>2978</v>
      </c>
      <c r="E52" s="2476" t="s">
        <v>2465</v>
      </c>
      <c r="F52" s="2599"/>
      <c r="I52" s="3124" t="s">
        <v>2422</v>
      </c>
      <c r="J52" s="2363">
        <v>0.09</v>
      </c>
      <c r="K52" s="3124" t="s">
        <v>2421</v>
      </c>
      <c r="L52" s="2363"/>
      <c r="O52" s="2379" t="s">
        <v>2387</v>
      </c>
      <c r="P52" s="2377" t="s">
        <v>2388</v>
      </c>
      <c r="Q52" s="2380">
        <f>J52</f>
        <v>0.09</v>
      </c>
      <c r="R52" s="2381"/>
    </row>
    <row r="53" spans="1:18" s="2060" customFormat="1" ht="39.75" customHeight="1" thickBot="1">
      <c r="A53" s="786"/>
      <c r="B53" s="2473" t="s">
        <v>2574</v>
      </c>
      <c r="C53" s="2477"/>
      <c r="D53" s="2479"/>
      <c r="E53" s="2476"/>
      <c r="F53" s="800"/>
      <c r="I53" s="3125" t="s">
        <v>2981</v>
      </c>
      <c r="J53" s="3128">
        <f ca="1">IF(M47="住宅",IF(D1="——",MAX(J51,L48),MAX(J51,L48-'数据-取费表'!B20)),IF(D1="——",MIN(J51,L48),MIN(J51,L48-'数据-取费表'!B20)))</f>
        <v>37.26</v>
      </c>
      <c r="K53" s="3460" t="s">
        <v>2969</v>
      </c>
      <c r="L53" s="3461"/>
      <c r="O53" s="2379" t="s">
        <v>2389</v>
      </c>
      <c r="P53" s="2377" t="s">
        <v>2390</v>
      </c>
      <c r="Q53" s="2378">
        <f ca="1">J53</f>
        <v>37.26</v>
      </c>
      <c r="R53" s="2377" t="s">
        <v>2391</v>
      </c>
    </row>
    <row r="54" spans="1:18" s="2060" customFormat="1" ht="18" customHeight="1" thickBot="1">
      <c r="A54" s="2515" t="s">
        <v>2468</v>
      </c>
      <c r="B54" s="2516" t="s">
        <v>2461</v>
      </c>
      <c r="C54" s="2517"/>
      <c r="D54" s="2479"/>
      <c r="E54" s="2476"/>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6" t="s">
        <v>2392</v>
      </c>
      <c r="P54" s="2377" t="s">
        <v>2409</v>
      </c>
      <c r="Q54" s="2378">
        <f ca="1">Q48+Q49</f>
        <v>5278</v>
      </c>
      <c r="R54" s="2381" t="s">
        <v>2393</v>
      </c>
    </row>
    <row r="55" spans="1:18" s="2060" customFormat="1" ht="18" customHeight="1" thickTop="1" thickBot="1">
      <c r="A55" s="797">
        <v>2</v>
      </c>
      <c r="B55" s="798" t="s">
        <v>644</v>
      </c>
      <c r="C55" s="799">
        <f ca="1">C13</f>
        <v>480</v>
      </c>
      <c r="D55" s="795"/>
      <c r="E55" s="795"/>
      <c r="F55" s="800"/>
      <c r="I55" s="3137" t="s">
        <v>2356</v>
      </c>
      <c r="J55" s="3076">
        <f ca="1">ROUND(IF(J47="钢混",J57/J50,1-(1-2%)*(J50-J57)/J50),3)</f>
        <v>0.379</v>
      </c>
      <c r="K55" s="3138" t="s">
        <v>2357</v>
      </c>
      <c r="L55" s="2364"/>
      <c r="O55" s="2382" t="s">
        <v>2412</v>
      </c>
      <c r="P55" s="1593"/>
      <c r="Q55" s="1605"/>
      <c r="R55" s="1593"/>
    </row>
    <row r="56" spans="1:18" s="2060" customFormat="1" ht="42.75" customHeight="1" thickBot="1">
      <c r="A56" s="1651"/>
      <c r="B56" s="2232" t="s">
        <v>2303</v>
      </c>
      <c r="C56" s="53">
        <f ca="1">C29</f>
        <v>480</v>
      </c>
      <c r="D56" s="2617"/>
      <c r="E56" s="784"/>
      <c r="F56" s="809"/>
      <c r="I56" s="3139" t="s">
        <v>2358</v>
      </c>
      <c r="J56" s="3149"/>
      <c r="K56" s="3101" t="s">
        <v>2363</v>
      </c>
      <c r="L56" s="1909" t="str">
        <f ca="1">IF(L48&lt;J51,"——",L48-J51)</f>
        <v>——</v>
      </c>
      <c r="O56" s="2373" t="s">
        <v>2376</v>
      </c>
      <c r="P56" s="2374" t="s">
        <v>2377</v>
      </c>
      <c r="Q56" s="2375" t="s">
        <v>2378</v>
      </c>
      <c r="R56" s="2374" t="s">
        <v>2379</v>
      </c>
    </row>
    <row r="57" spans="1:18" s="2060" customFormat="1" ht="28.5" customHeight="1" thickBot="1">
      <c r="A57" s="797" t="s">
        <v>1749</v>
      </c>
      <c r="B57" s="798" t="s">
        <v>651</v>
      </c>
      <c r="C57" s="799">
        <f ca="1">ROUND(C58+C63+C64+C65,0)</f>
        <v>8</v>
      </c>
      <c r="D57" s="26" t="s">
        <v>1751</v>
      </c>
      <c r="E57" s="2618"/>
      <c r="F57" s="56"/>
      <c r="I57" s="3140" t="s">
        <v>2359</v>
      </c>
      <c r="J57" s="3141">
        <f ca="1">IF(OR(M47="住宅",J51&lt;L48,J56="是"),"——",J51-L48)</f>
        <v>22.740000000000002</v>
      </c>
      <c r="K57" s="3101" t="s">
        <v>2364</v>
      </c>
      <c r="L57" s="1909" t="str">
        <f ca="1">IF(L48&lt;J51,"——",IF(L55="比较法",L49,IF(L55="基准地价",L50,L51)))</f>
        <v>——</v>
      </c>
      <c r="O57" s="2376" t="s">
        <v>2380</v>
      </c>
      <c r="P57" s="2377" t="s">
        <v>2410</v>
      </c>
      <c r="Q57" s="2378">
        <f ca="1">C40+J29</f>
        <v>5270</v>
      </c>
      <c r="R57" s="2377" t="s">
        <v>2381</v>
      </c>
    </row>
    <row r="58" spans="1:18" s="2060" customFormat="1" ht="28.5" customHeight="1" thickBot="1">
      <c r="A58" s="1650" t="s">
        <v>1825</v>
      </c>
      <c r="B58" s="784" t="s">
        <v>656</v>
      </c>
      <c r="C58" s="53">
        <f ca="1">ROUND(IF(项目基本情况!B11="自然人",C47*F58,C59+C60+C61),1)</f>
        <v>0.2</v>
      </c>
      <c r="D58" s="2616" t="s">
        <v>657</v>
      </c>
      <c r="E58" s="2617" t="s">
        <v>690</v>
      </c>
      <c r="F58" s="810" t="str">
        <f ca="1">IF(项目基本情况!B11="企业","",IF(INDIRECT("'数据-取费表'!c"&amp;$G$1)="住宅",5%,IF(F48*F49*F50/12/(1+'数据-取费表'!C42)&gt;20000,12%,7%)))</f>
        <v/>
      </c>
      <c r="I58" s="3140" t="s">
        <v>2360</v>
      </c>
      <c r="J58" s="3077">
        <f ca="1">IF(J55&lt;0.4,0.4,J55)</f>
        <v>0.4</v>
      </c>
      <c r="K58" s="3101" t="s">
        <v>2365</v>
      </c>
      <c r="L58" s="1909" t="e">
        <f ca="1">ROUND(POWER(1+L52,L47-L48)*(POWER(1+L52,L48)-1)/(POWER(1+L52,L47)-1),4)</f>
        <v>#DIV/0!</v>
      </c>
      <c r="O58" s="2376" t="s">
        <v>2382</v>
      </c>
      <c r="P58" s="2377" t="s">
        <v>2413</v>
      </c>
      <c r="Q58" s="2378">
        <f ca="1">L60</f>
        <v>0</v>
      </c>
      <c r="R58" s="2381" t="s">
        <v>2415</v>
      </c>
    </row>
    <row r="59" spans="1:18" s="2060" customFormat="1" ht="28.5" customHeight="1" thickBot="1">
      <c r="A59" s="1649" t="s">
        <v>1832</v>
      </c>
      <c r="B59" s="784" t="s">
        <v>660</v>
      </c>
      <c r="C59" s="53">
        <f ca="1">ROUND(C47*F59/1.05,1)</f>
        <v>0</v>
      </c>
      <c r="D59" s="2617" t="s">
        <v>1757</v>
      </c>
      <c r="E59" s="784" t="s">
        <v>1748</v>
      </c>
      <c r="F59" s="809">
        <f t="shared" ref="F59:F65" si="0">F32</f>
        <v>5.6000000000000001E-2</v>
      </c>
      <c r="I59" s="3140" t="s">
        <v>2361</v>
      </c>
      <c r="J59" s="3141">
        <f ca="1">IF(OR(M47="住宅",J51&lt;L48,J56="是"),"——",ROUND(C29*J58,0))</f>
        <v>192</v>
      </c>
      <c r="K59" s="3101"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60" customFormat="1" ht="18" customHeight="1" thickBot="1">
      <c r="A60" s="1649"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42" t="s">
        <v>2362</v>
      </c>
      <c r="J60" s="3143">
        <f ca="1">IF(OR(M47="住宅",J51&lt;L48,J56="是"),"0",ROUND(J59/(1+J52)^J53,0))</f>
        <v>8</v>
      </c>
      <c r="K60" s="3144" t="s">
        <v>2367</v>
      </c>
      <c r="L60" s="3143">
        <f ca="1">IF(OR(M47="住宅",L48&lt;J51),0,ROUND(L57*(L58/L59-1),0))</f>
        <v>0</v>
      </c>
      <c r="O60" s="2379" t="s">
        <v>2385</v>
      </c>
      <c r="P60" s="2377" t="s">
        <v>2394</v>
      </c>
      <c r="Q60" s="2380">
        <f>L52</f>
        <v>0</v>
      </c>
      <c r="R60" s="2381"/>
    </row>
    <row r="61" spans="1:18" s="2060" customFormat="1" ht="18" customHeight="1" thickBot="1">
      <c r="A61" s="1652" t="s">
        <v>1834</v>
      </c>
      <c r="B61" s="341" t="s">
        <v>668</v>
      </c>
      <c r="C61" s="54">
        <f ca="1">ROUND(F61*F62/10000,1)</f>
        <v>0.2</v>
      </c>
      <c r="D61" s="814" t="s">
        <v>669</v>
      </c>
      <c r="E61" s="784" t="s">
        <v>670</v>
      </c>
      <c r="F61" s="640">
        <f t="shared" si="0"/>
        <v>5</v>
      </c>
      <c r="K61" s="2087"/>
      <c r="O61" s="2379" t="s">
        <v>2387</v>
      </c>
      <c r="P61" s="2377" t="s">
        <v>2395</v>
      </c>
      <c r="Q61" s="2378" t="e">
        <f ca="1">L58</f>
        <v>#DIV/0!</v>
      </c>
      <c r="R61" s="2381" t="s">
        <v>2396</v>
      </c>
    </row>
    <row r="62" spans="1:18" s="2060" customFormat="1" ht="15.75" thickBot="1">
      <c r="A62" s="815"/>
      <c r="B62" s="793"/>
      <c r="C62" s="69"/>
      <c r="D62" s="816"/>
      <c r="E62" s="784" t="s">
        <v>674</v>
      </c>
      <c r="F62" s="785">
        <f t="shared" ca="1" si="0"/>
        <v>365.37</v>
      </c>
      <c r="I62" s="3145" t="s">
        <v>2368</v>
      </c>
      <c r="J62" s="3146" t="s">
        <v>2369</v>
      </c>
      <c r="K62" s="3146" t="s">
        <v>2370</v>
      </c>
      <c r="L62" s="3146" t="s">
        <v>2351</v>
      </c>
      <c r="M62" s="3147" t="s">
        <v>2945</v>
      </c>
      <c r="O62" s="2379" t="s">
        <v>2389</v>
      </c>
      <c r="P62" s="2377" t="str">
        <f>K59</f>
        <v>建设期及建筑物耐用年限下的土地年期修正系数Kn</v>
      </c>
      <c r="Q62" s="2378" t="e">
        <f ca="1">L59</f>
        <v>#DIV/0!</v>
      </c>
      <c r="R62" s="2381" t="s">
        <v>2398</v>
      </c>
    </row>
    <row r="63" spans="1:18" s="2060" customFormat="1" ht="15.75" thickBot="1">
      <c r="A63" s="1650" t="s">
        <v>1890</v>
      </c>
      <c r="B63" s="784" t="s">
        <v>676</v>
      </c>
      <c r="C63" s="53">
        <f ca="1">ROUND(C56*F63,1)</f>
        <v>7.2</v>
      </c>
      <c r="D63" s="2617" t="s">
        <v>1804</v>
      </c>
      <c r="E63" s="784" t="s">
        <v>1748</v>
      </c>
      <c r="F63" s="817">
        <f t="shared" ca="1" si="0"/>
        <v>1.4999999999999999E-2</v>
      </c>
      <c r="I63" s="3145" t="s">
        <v>2371</v>
      </c>
      <c r="J63" s="3146">
        <v>70</v>
      </c>
      <c r="K63" s="3146">
        <v>50</v>
      </c>
      <c r="L63" s="3146">
        <v>80</v>
      </c>
      <c r="M63" s="3148">
        <v>0.02</v>
      </c>
      <c r="O63" s="2376" t="s">
        <v>2392</v>
      </c>
      <c r="P63" s="2377" t="s">
        <v>2409</v>
      </c>
      <c r="Q63" s="2378">
        <f ca="1">Q57+Q58</f>
        <v>5270</v>
      </c>
      <c r="R63" s="2381" t="s">
        <v>2393</v>
      </c>
    </row>
    <row r="64" spans="1:18" s="2060" customFormat="1" ht="16.5" thickBot="1">
      <c r="A64" s="1650" t="s">
        <v>1891</v>
      </c>
      <c r="B64" s="784" t="s">
        <v>679</v>
      </c>
      <c r="C64" s="53">
        <f ca="1">ROUND(C55*F64,1)</f>
        <v>0.7</v>
      </c>
      <c r="D64" s="2617" t="s">
        <v>680</v>
      </c>
      <c r="E64" s="784" t="s">
        <v>1748</v>
      </c>
      <c r="F64" s="818">
        <f t="shared" ca="1" si="0"/>
        <v>1.5E-3</v>
      </c>
      <c r="I64" s="3145" t="s">
        <v>2372</v>
      </c>
      <c r="J64" s="3146">
        <v>50</v>
      </c>
      <c r="K64" s="3146">
        <v>35</v>
      </c>
      <c r="L64" s="3146">
        <v>60</v>
      </c>
      <c r="M64" s="846">
        <v>0</v>
      </c>
      <c r="O64" s="2382" t="s">
        <v>2416</v>
      </c>
      <c r="P64" s="1593"/>
      <c r="Q64" s="1605"/>
      <c r="R64" s="1593"/>
    </row>
    <row r="65" spans="1:18" s="2060" customFormat="1" ht="15.75" thickBot="1">
      <c r="A65" s="1650" t="s">
        <v>1892</v>
      </c>
      <c r="B65" s="784" t="s">
        <v>666</v>
      </c>
      <c r="C65" s="53">
        <f ca="1">ROUND(C47*F65,1)</f>
        <v>0</v>
      </c>
      <c r="D65" s="2617" t="s">
        <v>683</v>
      </c>
      <c r="E65" s="784" t="s">
        <v>1748</v>
      </c>
      <c r="F65" s="794">
        <f t="shared" ca="1" si="0"/>
        <v>0.01</v>
      </c>
      <c r="I65" s="3145" t="s">
        <v>2373</v>
      </c>
      <c r="J65" s="3146">
        <v>40</v>
      </c>
      <c r="K65" s="3146">
        <v>30</v>
      </c>
      <c r="L65" s="3146">
        <v>50</v>
      </c>
      <c r="M65" s="3148">
        <v>0.02</v>
      </c>
      <c r="O65" s="2373" t="s">
        <v>2376</v>
      </c>
      <c r="P65" s="2374" t="s">
        <v>2377</v>
      </c>
      <c r="Q65" s="2375" t="s">
        <v>2378</v>
      </c>
      <c r="R65" s="2374" t="s">
        <v>2379</v>
      </c>
    </row>
    <row r="66" spans="1:18" s="2060" customFormat="1" ht="24.75" thickBot="1">
      <c r="A66" s="797" t="s">
        <v>1777</v>
      </c>
      <c r="B66" s="2985" t="s">
        <v>2823</v>
      </c>
      <c r="C66" s="799">
        <f ca="1">C47-C57</f>
        <v>-8</v>
      </c>
      <c r="D66" s="2616" t="s">
        <v>700</v>
      </c>
      <c r="E66" s="2615"/>
      <c r="F66" s="820"/>
      <c r="K66" s="2087"/>
      <c r="O66" s="2376" t="s">
        <v>2380</v>
      </c>
      <c r="P66" s="2377" t="s">
        <v>2410</v>
      </c>
      <c r="Q66" s="2378">
        <f ca="1">C40+J29</f>
        <v>5270</v>
      </c>
      <c r="R66" s="2377" t="s">
        <v>2381</v>
      </c>
    </row>
    <row r="67" spans="1:18" s="2060" customFormat="1" ht="20.25" thickBot="1">
      <c r="A67" s="781" t="s">
        <v>1781</v>
      </c>
      <c r="B67" s="2233" t="s">
        <v>2302</v>
      </c>
      <c r="C67" s="783">
        <f ca="1">ROUND(C66*(1-((1+F69)/(1+F67))^F68)/(F67-F69),0)</f>
        <v>-126</v>
      </c>
      <c r="D67" s="814" t="s">
        <v>704</v>
      </c>
      <c r="E67" s="784" t="s">
        <v>705</v>
      </c>
      <c r="F67" s="794">
        <f ca="1">F40</f>
        <v>5.5E-2</v>
      </c>
      <c r="K67" s="2087"/>
      <c r="O67" s="2376" t="s">
        <v>2382</v>
      </c>
      <c r="P67" s="2377" t="s">
        <v>2413</v>
      </c>
      <c r="Q67" s="2378">
        <f ca="1">L60</f>
        <v>0</v>
      </c>
      <c r="R67" s="2381" t="s">
        <v>2415</v>
      </c>
    </row>
    <row r="68" spans="1:18" ht="21.75" thickBot="1">
      <c r="A68" s="786"/>
      <c r="B68" s="787"/>
      <c r="C68" s="788"/>
      <c r="D68" s="821" t="s">
        <v>1809</v>
      </c>
      <c r="E68" s="784" t="s">
        <v>1785</v>
      </c>
      <c r="F68" s="822">
        <f ca="1">F41</f>
        <v>37.26</v>
      </c>
      <c r="O68" s="2379" t="s">
        <v>2384</v>
      </c>
      <c r="P68" s="2377" t="s">
        <v>2414</v>
      </c>
      <c r="Q68" s="2383">
        <f ca="1">L51</f>
        <v>3107</v>
      </c>
      <c r="R68" s="2384" t="s">
        <v>2417</v>
      </c>
    </row>
    <row r="69" spans="1:18" ht="20.25" thickBot="1">
      <c r="A69" s="790"/>
      <c r="B69" s="791"/>
      <c r="C69" s="792"/>
      <c r="D69" s="816"/>
      <c r="E69" s="784" t="s">
        <v>710</v>
      </c>
      <c r="F69" s="2349"/>
      <c r="O69" s="2379" t="s">
        <v>2385</v>
      </c>
      <c r="P69" s="2385" t="s">
        <v>2399</v>
      </c>
      <c r="Q69" s="2378">
        <f ca="1">ROUND(Q70-Q71*Q72,0)</f>
        <v>182</v>
      </c>
      <c r="R69" s="2381"/>
    </row>
    <row r="70" spans="1:18" ht="15.75" thickBot="1">
      <c r="A70" s="823" t="s">
        <v>1788</v>
      </c>
      <c r="B70" s="824" t="s">
        <v>1811</v>
      </c>
      <c r="C70" s="825">
        <f ca="1">ROUND(C67*10000/F70,0)</f>
        <v>-928</v>
      </c>
      <c r="D70" s="826" t="s">
        <v>1812</v>
      </c>
      <c r="E70" s="827" t="s">
        <v>1813</v>
      </c>
      <c r="F70" s="828">
        <f ca="1">F43</f>
        <v>1357.27</v>
      </c>
      <c r="O70" s="2379" t="s">
        <v>2400</v>
      </c>
      <c r="P70" s="2385" t="s">
        <v>2401</v>
      </c>
      <c r="Q70" s="2378">
        <f ca="1">C39</f>
        <v>223</v>
      </c>
      <c r="R70" s="2377" t="s">
        <v>2381</v>
      </c>
    </row>
    <row r="71" spans="1:18" ht="15.75" thickBot="1">
      <c r="O71" s="2379" t="s">
        <v>2402</v>
      </c>
      <c r="P71" s="2385" t="s">
        <v>2403</v>
      </c>
      <c r="Q71" s="2378">
        <f ca="1">C13</f>
        <v>480</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5270</v>
      </c>
      <c r="R76" s="238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62" t="s">
        <v>2472</v>
      </c>
      <c r="B1" s="3463"/>
      <c r="C1" s="3464"/>
      <c r="D1" s="3465">
        <f>SUM(I10,I15,I20,I21,I23)</f>
        <v>0</v>
      </c>
      <c r="E1" s="3465"/>
      <c r="F1" s="3465"/>
      <c r="G1" s="3465"/>
      <c r="H1" s="3465"/>
      <c r="I1" s="3466"/>
    </row>
    <row r="2" spans="1:9">
      <c r="A2" s="3467" t="s">
        <v>2473</v>
      </c>
      <c r="B2" s="3468" t="s">
        <v>2474</v>
      </c>
      <c r="C2" s="3468"/>
      <c r="D2" s="2485" t="s">
        <v>2475</v>
      </c>
      <c r="E2" s="2485" t="s">
        <v>2476</v>
      </c>
      <c r="F2" s="2485" t="s">
        <v>2477</v>
      </c>
      <c r="G2" s="2485" t="s">
        <v>2478</v>
      </c>
      <c r="H2" s="2485" t="s">
        <v>2479</v>
      </c>
      <c r="I2" s="2486" t="s">
        <v>2480</v>
      </c>
    </row>
    <row r="3" spans="1:9">
      <c r="A3" s="3467"/>
      <c r="B3" s="3468" t="s">
        <v>2481</v>
      </c>
      <c r="C3" s="3468"/>
      <c r="D3" s="2487"/>
      <c r="E3" s="2485"/>
      <c r="F3" s="2488"/>
      <c r="G3" s="2488"/>
      <c r="H3" s="2489"/>
      <c r="I3" s="2490">
        <f>ROUND(D3*E3*F3*G3*H3/10000,0)</f>
        <v>0</v>
      </c>
    </row>
    <row r="4" spans="1:9">
      <c r="A4" s="3467"/>
      <c r="B4" s="3468" t="s">
        <v>2482</v>
      </c>
      <c r="C4" s="3468"/>
      <c r="D4" s="2487"/>
      <c r="E4" s="2485"/>
      <c r="F4" s="2488"/>
      <c r="G4" s="2488"/>
      <c r="H4" s="2489"/>
      <c r="I4" s="2490">
        <f t="shared" ref="I4:I9" si="0">ROUND(D4*E4*F4*G4*H4/10000,0)</f>
        <v>0</v>
      </c>
    </row>
    <row r="5" spans="1:9">
      <c r="A5" s="3467"/>
      <c r="B5" s="3468" t="s">
        <v>2483</v>
      </c>
      <c r="C5" s="3468"/>
      <c r="D5" s="2487"/>
      <c r="E5" s="2485"/>
      <c r="F5" s="2488"/>
      <c r="G5" s="2488"/>
      <c r="H5" s="2489"/>
      <c r="I5" s="2490">
        <f t="shared" si="0"/>
        <v>0</v>
      </c>
    </row>
    <row r="6" spans="1:9">
      <c r="A6" s="3467"/>
      <c r="B6" s="3468" t="s">
        <v>2484</v>
      </c>
      <c r="C6" s="3468"/>
      <c r="D6" s="2487"/>
      <c r="E6" s="2485"/>
      <c r="F6" s="2488"/>
      <c r="G6" s="2488"/>
      <c r="H6" s="2489"/>
      <c r="I6" s="2490">
        <f t="shared" si="0"/>
        <v>0</v>
      </c>
    </row>
    <row r="7" spans="1:9">
      <c r="A7" s="3467"/>
      <c r="B7" s="3468" t="s">
        <v>2485</v>
      </c>
      <c r="C7" s="3468"/>
      <c r="D7" s="2487"/>
      <c r="E7" s="2485"/>
      <c r="F7" s="2488"/>
      <c r="G7" s="2488"/>
      <c r="H7" s="2489"/>
      <c r="I7" s="2490">
        <f t="shared" si="0"/>
        <v>0</v>
      </c>
    </row>
    <row r="8" spans="1:9">
      <c r="A8" s="3467"/>
      <c r="B8" s="3468" t="s">
        <v>2486</v>
      </c>
      <c r="C8" s="3468"/>
      <c r="D8" s="2487"/>
      <c r="E8" s="2485"/>
      <c r="F8" s="2488"/>
      <c r="G8" s="2488"/>
      <c r="H8" s="2489"/>
      <c r="I8" s="2490">
        <f t="shared" si="0"/>
        <v>0</v>
      </c>
    </row>
    <row r="9" spans="1:9">
      <c r="A9" s="3467"/>
      <c r="B9" s="3468" t="s">
        <v>2487</v>
      </c>
      <c r="C9" s="3468"/>
      <c r="D9" s="2487"/>
      <c r="E9" s="2485"/>
      <c r="F9" s="2488"/>
      <c r="G9" s="2488"/>
      <c r="H9" s="2489"/>
      <c r="I9" s="2490">
        <f t="shared" si="0"/>
        <v>0</v>
      </c>
    </row>
    <row r="10" spans="1:9">
      <c r="A10" s="3467"/>
      <c r="B10" s="3469" t="s">
        <v>2488</v>
      </c>
      <c r="C10" s="3469"/>
      <c r="D10" s="2491">
        <v>527</v>
      </c>
      <c r="E10" s="2491" t="e">
        <f>ROUND(D1*10000/D10/H9,0)</f>
        <v>#DIV/0!</v>
      </c>
      <c r="F10" s="2492"/>
      <c r="G10" s="2492"/>
      <c r="H10" s="2493"/>
      <c r="I10" s="2494">
        <f>SUM(I3:I9)</f>
        <v>0</v>
      </c>
    </row>
    <row r="11" spans="1:9" ht="14.25">
      <c r="A11" s="3467" t="s">
        <v>2489</v>
      </c>
      <c r="B11" s="3468" t="s">
        <v>2490</v>
      </c>
      <c r="C11" s="3468"/>
      <c r="D11" s="2487" t="s">
        <v>2491</v>
      </c>
      <c r="E11" s="2487" t="s">
        <v>2492</v>
      </c>
      <c r="F11" s="2488" t="s">
        <v>2493</v>
      </c>
      <c r="G11" s="2488" t="s">
        <v>2494</v>
      </c>
      <c r="H11" s="2495" t="s">
        <v>2495</v>
      </c>
      <c r="I11" s="2486" t="s">
        <v>2496</v>
      </c>
    </row>
    <row r="12" spans="1:9">
      <c r="A12" s="3467"/>
      <c r="B12" s="3468" t="s">
        <v>2497</v>
      </c>
      <c r="C12" s="3468"/>
      <c r="D12" s="2487"/>
      <c r="E12" s="2487"/>
      <c r="F12" s="2488"/>
      <c r="G12" s="2489"/>
      <c r="H12" s="2496"/>
      <c r="I12" s="2486">
        <f>ROUND(D12*E12*F12*G12/10000,0)</f>
        <v>0</v>
      </c>
    </row>
    <row r="13" spans="1:9">
      <c r="A13" s="3467"/>
      <c r="B13" s="3468" t="s">
        <v>2498</v>
      </c>
      <c r="C13" s="3468"/>
      <c r="D13" s="2487"/>
      <c r="E13" s="2487"/>
      <c r="F13" s="2488"/>
      <c r="G13" s="2489"/>
      <c r="H13" s="2496"/>
      <c r="I13" s="2486">
        <f>ROUND(D13*E13*F13*G13/10000,0)</f>
        <v>0</v>
      </c>
    </row>
    <row r="14" spans="1:9">
      <c r="A14" s="3467"/>
      <c r="B14" s="3468" t="s">
        <v>2499</v>
      </c>
      <c r="C14" s="3468"/>
      <c r="D14" s="2487"/>
      <c r="E14" s="2487"/>
      <c r="F14" s="2488"/>
      <c r="G14" s="2489"/>
      <c r="H14" s="2496"/>
      <c r="I14" s="2486">
        <f>ROUND(D14*E14*F14*G14/10000,0)</f>
        <v>0</v>
      </c>
    </row>
    <row r="15" spans="1:9">
      <c r="A15" s="3467"/>
      <c r="B15" s="3469" t="s">
        <v>2488</v>
      </c>
      <c r="C15" s="3469"/>
      <c r="D15" s="2491"/>
      <c r="E15" s="2491">
        <f>SUM(E12:E14)</f>
        <v>0</v>
      </c>
      <c r="F15" s="2492"/>
      <c r="G15" s="2489"/>
      <c r="H15" s="2496"/>
      <c r="I15" s="2497">
        <f>SUM(I12:I14)</f>
        <v>0</v>
      </c>
    </row>
    <row r="16" spans="1:9" ht="24">
      <c r="A16" s="3467" t="s">
        <v>2500</v>
      </c>
      <c r="B16" s="3468" t="s">
        <v>2501</v>
      </c>
      <c r="C16" s="3468"/>
      <c r="D16" s="2487" t="s">
        <v>2502</v>
      </c>
      <c r="E16" s="2498" t="s">
        <v>2503</v>
      </c>
      <c r="F16" s="2488" t="s">
        <v>2504</v>
      </c>
      <c r="G16" s="2489" t="s">
        <v>2494</v>
      </c>
      <c r="H16" s="2495" t="s">
        <v>2495</v>
      </c>
      <c r="I16" s="2486" t="s">
        <v>2496</v>
      </c>
    </row>
    <row r="17" spans="1:9" ht="14.25">
      <c r="A17" s="3467"/>
      <c r="B17" s="3468" t="s">
        <v>2505</v>
      </c>
      <c r="C17" s="3468"/>
      <c r="D17" s="2487"/>
      <c r="E17" s="2487"/>
      <c r="F17" s="2488"/>
      <c r="G17" s="2489"/>
      <c r="H17" s="2499"/>
      <c r="I17" s="2500">
        <f>ROUND(D17*E17*F17*G17/10000,0)</f>
        <v>0</v>
      </c>
    </row>
    <row r="18" spans="1:9" ht="14.25">
      <c r="A18" s="3467"/>
      <c r="B18" s="3468" t="s">
        <v>2506</v>
      </c>
      <c r="C18" s="3468"/>
      <c r="D18" s="2487"/>
      <c r="E18" s="2487"/>
      <c r="F18" s="2488"/>
      <c r="G18" s="2489"/>
      <c r="H18" s="2499"/>
      <c r="I18" s="2500">
        <f>ROUND(D18*E18*F18*G18/10000,0)</f>
        <v>0</v>
      </c>
    </row>
    <row r="19" spans="1:9" ht="14.25">
      <c r="A19" s="3467"/>
      <c r="B19" s="3468" t="s">
        <v>2507</v>
      </c>
      <c r="C19" s="3468"/>
      <c r="D19" s="2487"/>
      <c r="E19" s="2487"/>
      <c r="F19" s="2488"/>
      <c r="G19" s="2489"/>
      <c r="H19" s="2499"/>
      <c r="I19" s="2500">
        <f>ROUND(D19*E19*F19*G19/10000,0)</f>
        <v>0</v>
      </c>
    </row>
    <row r="20" spans="1:9">
      <c r="A20" s="3467"/>
      <c r="B20" s="3469" t="s">
        <v>2488</v>
      </c>
      <c r="C20" s="3469"/>
      <c r="D20" s="2491">
        <f>SUM(D17:D19)</f>
        <v>0</v>
      </c>
      <c r="E20" s="2491"/>
      <c r="F20" s="2492"/>
      <c r="G20" s="2489"/>
      <c r="H20" s="2496"/>
      <c r="I20" s="2497">
        <f>SUM(I17:I19)</f>
        <v>0</v>
      </c>
    </row>
    <row r="21" spans="1:9">
      <c r="A21" s="3467" t="s">
        <v>2508</v>
      </c>
      <c r="B21" s="3471"/>
      <c r="C21" s="3471"/>
      <c r="D21" s="3471"/>
      <c r="E21" s="3471"/>
      <c r="F21" s="3471"/>
      <c r="G21" s="3471"/>
      <c r="H21" s="2501">
        <v>0.1</v>
      </c>
      <c r="I21" s="2494">
        <f>ROUND(I10*H21,0)</f>
        <v>0</v>
      </c>
    </row>
    <row r="22" spans="1:9" ht="14.25">
      <c r="A22" s="3472" t="s">
        <v>2509</v>
      </c>
      <c r="B22" s="3473"/>
      <c r="C22" s="3474"/>
      <c r="D22" s="2502" t="s">
        <v>2510</v>
      </c>
      <c r="E22" s="2502" t="s">
        <v>2511</v>
      </c>
      <c r="F22" s="2503" t="s">
        <v>2512</v>
      </c>
      <c r="G22" s="2503" t="s">
        <v>2513</v>
      </c>
      <c r="H22" s="2495" t="s">
        <v>2514</v>
      </c>
      <c r="I22" s="2486" t="s">
        <v>2515</v>
      </c>
    </row>
    <row r="23" spans="1:9" ht="14.25" thickBot="1">
      <c r="A23" s="3475"/>
      <c r="B23" s="3476"/>
      <c r="C23" s="3477"/>
      <c r="D23" s="2504"/>
      <c r="E23" s="2504"/>
      <c r="F23" s="2504"/>
      <c r="G23" s="2505"/>
      <c r="H23" s="2506"/>
      <c r="I23" s="2507">
        <f>ROUND(E23*D23*F23*(1-G23)/10000,0)</f>
        <v>0</v>
      </c>
    </row>
    <row r="26" spans="1:9">
      <c r="A26" s="2508" t="s">
        <v>2516</v>
      </c>
      <c r="B26" s="2508"/>
      <c r="C26" s="2508"/>
      <c r="D26" s="2508"/>
      <c r="E26" s="3478">
        <f>C27-C30-C31-C32</f>
        <v>0</v>
      </c>
      <c r="F26" s="3478"/>
      <c r="G26" s="3478"/>
      <c r="H26" s="3018" t="s">
        <v>2843</v>
      </c>
    </row>
    <row r="27" spans="1:9">
      <c r="A27" s="2509">
        <v>1</v>
      </c>
      <c r="B27" s="2510" t="s">
        <v>2517</v>
      </c>
      <c r="C27" s="2510"/>
      <c r="D27" s="2510"/>
      <c r="E27" s="3479"/>
      <c r="F27" s="3479"/>
      <c r="G27" s="3479"/>
    </row>
    <row r="28" spans="1:9">
      <c r="A28" s="2511" t="s">
        <v>2518</v>
      </c>
      <c r="B28" s="2510" t="s">
        <v>2519</v>
      </c>
      <c r="C28" s="2510"/>
      <c r="D28" s="2510"/>
      <c r="E28" s="3479"/>
      <c r="F28" s="3479"/>
      <c r="G28" s="3479"/>
    </row>
    <row r="29" spans="1:9">
      <c r="A29" s="2511" t="s">
        <v>2520</v>
      </c>
      <c r="B29" s="2510" t="s">
        <v>2461</v>
      </c>
      <c r="C29" s="2510"/>
      <c r="D29" s="2510"/>
      <c r="E29" s="2510" t="s">
        <v>2521</v>
      </c>
      <c r="F29" s="2510"/>
      <c r="G29" s="2510"/>
    </row>
    <row r="30" spans="1:9">
      <c r="A30" s="2509">
        <v>2</v>
      </c>
      <c r="B30" s="2510" t="s">
        <v>2522</v>
      </c>
      <c r="C30" s="2510">
        <f>C27*D30</f>
        <v>0</v>
      </c>
      <c r="D30" s="2512">
        <v>0.2</v>
      </c>
      <c r="E30" s="2510" t="s">
        <v>2523</v>
      </c>
      <c r="F30" s="2510"/>
      <c r="G30" s="2510"/>
    </row>
    <row r="31" spans="1:9">
      <c r="A31" s="2509">
        <v>3</v>
      </c>
      <c r="B31" s="2510" t="s">
        <v>2524</v>
      </c>
      <c r="C31" s="2510">
        <f>C25*D31</f>
        <v>0</v>
      </c>
      <c r="D31" s="2512">
        <v>0.15</v>
      </c>
      <c r="E31" s="2510" t="s">
        <v>2525</v>
      </c>
      <c r="F31" s="2510"/>
      <c r="G31" s="2510"/>
    </row>
    <row r="32" spans="1:9">
      <c r="A32" s="2509">
        <v>4</v>
      </c>
      <c r="B32" s="2510" t="s">
        <v>2526</v>
      </c>
      <c r="C32" s="2510">
        <f>C27*D32</f>
        <v>0</v>
      </c>
      <c r="D32" s="2512">
        <v>0.05</v>
      </c>
      <c r="E32" s="3470"/>
      <c r="F32" s="3470"/>
      <c r="G32" s="3470"/>
    </row>
    <row r="33" spans="1:7" hidden="1">
      <c r="A33" s="3480" t="s">
        <v>2527</v>
      </c>
      <c r="B33" s="3481"/>
      <c r="C33" s="3481"/>
      <c r="D33" s="3482"/>
      <c r="E33" s="3478"/>
      <c r="F33" s="3478"/>
      <c r="G33" s="3478"/>
    </row>
    <row r="34" spans="1:7" hidden="1">
      <c r="A34" s="2513">
        <v>1</v>
      </c>
      <c r="B34" s="2510" t="s">
        <v>2528</v>
      </c>
      <c r="C34" s="2510"/>
      <c r="D34" s="2510"/>
      <c r="E34" s="3479"/>
      <c r="F34" s="3479"/>
      <c r="G34" s="3479"/>
    </row>
    <row r="35" spans="1:7" hidden="1">
      <c r="A35" s="2513">
        <v>2</v>
      </c>
      <c r="B35" s="2510" t="s">
        <v>2529</v>
      </c>
      <c r="C35" s="2510"/>
      <c r="D35" s="2510"/>
      <c r="E35" s="3479"/>
      <c r="F35" s="3479"/>
      <c r="G35" s="3479"/>
    </row>
    <row r="36" spans="1:7" hidden="1">
      <c r="A36" s="2513">
        <v>3</v>
      </c>
      <c r="B36" s="2510" t="s">
        <v>2530</v>
      </c>
      <c r="C36" s="2510"/>
      <c r="D36" s="2510"/>
      <c r="E36" s="3479"/>
      <c r="F36" s="3479"/>
      <c r="G36" s="3479"/>
    </row>
    <row r="37" spans="1:7" hidden="1">
      <c r="A37" s="2513">
        <v>4</v>
      </c>
      <c r="B37" s="2510" t="s">
        <v>2531</v>
      </c>
      <c r="C37" s="2510"/>
      <c r="D37" s="2510"/>
      <c r="E37" s="3479"/>
      <c r="F37" s="3479"/>
      <c r="G37" s="3479"/>
    </row>
    <row r="38" spans="1:7" hidden="1">
      <c r="A38" s="3480" t="s">
        <v>2532</v>
      </c>
      <c r="B38" s="3481"/>
      <c r="C38" s="3481"/>
      <c r="D38" s="3482"/>
      <c r="E38" s="3478"/>
      <c r="F38" s="3478"/>
      <c r="G38" s="34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26" sqref="G2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7">
        <v>1</v>
      </c>
      <c r="B7" s="748" t="s">
        <v>609</v>
      </c>
      <c r="C7" s="749">
        <f>C8+C9</f>
        <v>0</v>
      </c>
      <c r="D7" s="749"/>
      <c r="E7" s="750"/>
      <c r="F7" s="750"/>
      <c r="G7" s="2457"/>
    </row>
    <row r="8" spans="1:25" s="2184" customFormat="1" ht="13.5" customHeight="1">
      <c r="A8" s="2447" t="s">
        <v>2441</v>
      </c>
      <c r="B8" s="2450" t="s">
        <v>2443</v>
      </c>
      <c r="C8" s="2451"/>
      <c r="D8" s="749"/>
      <c r="E8" s="750"/>
      <c r="F8" s="750"/>
      <c r="G8" s="751"/>
    </row>
    <row r="9" spans="1:25" s="2184" customFormat="1" ht="13.5" customHeight="1">
      <c r="A9" s="2447" t="s">
        <v>2442</v>
      </c>
      <c r="B9" s="2450" t="s">
        <v>2444</v>
      </c>
      <c r="C9" s="2451"/>
      <c r="D9" s="749"/>
      <c r="E9" s="750"/>
      <c r="F9" s="750"/>
      <c r="G9" s="751"/>
    </row>
    <row r="10" spans="1:25" s="2184" customFormat="1" ht="36">
      <c r="A10" s="2447">
        <v>2</v>
      </c>
      <c r="B10" s="748" t="s">
        <v>613</v>
      </c>
      <c r="C10" s="749">
        <f>C11+C14+C15</f>
        <v>0</v>
      </c>
      <c r="D10" s="760">
        <f>'数据-汇总表'!E3</f>
        <v>183566.61000000002</v>
      </c>
      <c r="E10" s="749">
        <f>'数据-取费表'!B31</f>
        <v>200</v>
      </c>
      <c r="F10" s="761"/>
      <c r="G10" s="759" t="s">
        <v>614</v>
      </c>
    </row>
    <row r="11" spans="1:25" s="2184" customFormat="1" ht="13.5" customHeight="1">
      <c r="A11" s="2447" t="s">
        <v>2441</v>
      </c>
      <c r="B11" s="752" t="s">
        <v>610</v>
      </c>
      <c r="C11" s="753">
        <f>'数据-取费表'!B29</f>
        <v>0</v>
      </c>
      <c r="D11" s="754"/>
      <c r="E11" s="753"/>
      <c r="F11" s="755"/>
      <c r="G11" s="2456" t="s">
        <v>2452</v>
      </c>
    </row>
    <row r="12" spans="1:25" s="2184" customFormat="1" ht="13.5" customHeight="1">
      <c r="A12" s="2454" t="s">
        <v>2449</v>
      </c>
      <c r="B12" s="756" t="s">
        <v>611</v>
      </c>
      <c r="C12" s="757">
        <f>ROUND(D12*E12/10000,0)</f>
        <v>1050</v>
      </c>
      <c r="D12" s="758">
        <f>'数据-汇总表'!E5</f>
        <v>116672.36</v>
      </c>
      <c r="E12" s="757">
        <f>'数据-取费表'!B27</f>
        <v>90</v>
      </c>
      <c r="F12" s="755"/>
      <c r="G12" s="759"/>
    </row>
    <row r="13" spans="1:25" s="2184" customFormat="1" ht="13.5" customHeight="1">
      <c r="A13" s="2454" t="s">
        <v>2448</v>
      </c>
      <c r="B13" s="756" t="s">
        <v>612</v>
      </c>
      <c r="C13" s="757">
        <f>ROUND(D13*E13/10000,0)</f>
        <v>937</v>
      </c>
      <c r="D13" s="758">
        <f>'数据-汇总表'!E6</f>
        <v>66894.250000000015</v>
      </c>
      <c r="E13" s="757">
        <f>'数据-取费表'!B28</f>
        <v>140</v>
      </c>
      <c r="F13" s="755"/>
      <c r="G13" s="759"/>
    </row>
    <row r="14" spans="1:25" s="2184" customFormat="1" ht="13.5" customHeight="1">
      <c r="A14" s="2447" t="s">
        <v>2442</v>
      </c>
      <c r="B14" s="2453" t="s">
        <v>2445</v>
      </c>
      <c r="C14" s="2451"/>
      <c r="D14" s="758"/>
      <c r="E14" s="757"/>
      <c r="F14" s="2452"/>
      <c r="G14" s="2455" t="s">
        <v>2450</v>
      </c>
    </row>
    <row r="15" spans="1:25" s="2184" customFormat="1" ht="13.5" customHeight="1">
      <c r="A15" s="2447" t="s">
        <v>2447</v>
      </c>
      <c r="B15" s="2453" t="s">
        <v>2446</v>
      </c>
      <c r="C15" s="2451"/>
      <c r="D15" s="758"/>
      <c r="E15" s="757"/>
      <c r="F15" s="2452"/>
      <c r="G15" s="2455" t="s">
        <v>2451</v>
      </c>
    </row>
    <row r="16" spans="1:25" s="2185" customFormat="1" ht="48">
      <c r="A16" s="2447">
        <v>3</v>
      </c>
      <c r="B16" s="748" t="s">
        <v>615</v>
      </c>
      <c r="C16" s="2451"/>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48">
        <v>5</v>
      </c>
      <c r="B18" s="748" t="s">
        <v>617</v>
      </c>
      <c r="C18" s="749">
        <f>ROUND((C7+C10+C16)*F18,0)</f>
        <v>0</v>
      </c>
      <c r="D18" s="762"/>
      <c r="E18" s="763"/>
      <c r="F18" s="761">
        <f>'数据-取费表'!Q16</f>
        <v>0.06</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7">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7">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7">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7">
        <v>9</v>
      </c>
      <c r="B22" s="748" t="s">
        <v>625</v>
      </c>
      <c r="C22" s="749">
        <f ca="1">ROUND(C21*F22,0)</f>
        <v>0</v>
      </c>
      <c r="D22" s="760"/>
      <c r="E22" s="749"/>
      <c r="F22" s="766">
        <f>'数据-取费表'!AP16</f>
        <v>0.90700000000000003</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49">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4" sqref="C14"/>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3032</v>
      </c>
      <c r="D1" s="3100" t="s">
        <v>3027</v>
      </c>
      <c r="E1" s="2365" t="s">
        <v>870</v>
      </c>
      <c r="F1" s="2366">
        <f ca="1">J53</f>
        <v>47.26</v>
      </c>
      <c r="G1" s="774">
        <f>MATCH(C1,'数据-取费表'!A6:A16,0)+5</f>
        <v>8</v>
      </c>
      <c r="H1" s="2051"/>
      <c r="I1" s="2052"/>
      <c r="J1" s="2052"/>
      <c r="K1" s="2053"/>
      <c r="L1" s="2052"/>
      <c r="M1" s="2052"/>
      <c r="N1" s="2054"/>
      <c r="O1" s="2054"/>
      <c r="P1" s="2054"/>
      <c r="Q1" s="2370"/>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18119</v>
      </c>
      <c r="C2" s="2058"/>
      <c r="D2" s="2056"/>
      <c r="E2" s="2057"/>
      <c r="F2" s="2057"/>
      <c r="G2" s="1591"/>
      <c r="H2" s="2058"/>
      <c r="I2" s="2058"/>
      <c r="J2" s="2058"/>
      <c r="K2" s="2059"/>
      <c r="L2" s="2058"/>
      <c r="M2" s="2058"/>
    </row>
    <row r="3" spans="1:33" ht="18" customHeight="1" thickBot="1">
      <c r="A3" s="833" t="s">
        <v>519</v>
      </c>
      <c r="B3" s="834">
        <f ca="1">IF(ISERROR(B2*10000/F43),0,ROUND(B2*10000/F43,0))</f>
        <v>3139</v>
      </c>
      <c r="C3" s="2058"/>
      <c r="D3" s="2056"/>
      <c r="E3" s="2057"/>
      <c r="F3" s="2057"/>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1003</v>
      </c>
      <c r="D5" s="2474" t="s">
        <v>2462</v>
      </c>
      <c r="E5" s="2468"/>
      <c r="F5" s="2469"/>
      <c r="G5" s="1593"/>
      <c r="H5" s="781">
        <v>1</v>
      </c>
      <c r="I5" s="782" t="s">
        <v>2459</v>
      </c>
      <c r="J5" s="55">
        <f ca="1">J6+J10+J12</f>
        <v>0</v>
      </c>
      <c r="K5" s="2474" t="s">
        <v>2462</v>
      </c>
      <c r="L5" s="2468"/>
      <c r="M5" s="2469"/>
    </row>
    <row r="6" spans="1:33" ht="18" customHeight="1">
      <c r="A6" s="1831" t="s">
        <v>1825</v>
      </c>
      <c r="B6" s="3443" t="s">
        <v>2464</v>
      </c>
      <c r="C6" s="783">
        <f ca="1">ROUND(F6*F8*F7*(1-F9)/10000,0)</f>
        <v>1003</v>
      </c>
      <c r="D6" s="2475" t="s">
        <v>2463</v>
      </c>
      <c r="E6" s="784" t="s">
        <v>637</v>
      </c>
      <c r="F6" s="785">
        <f ca="1">INDIRECT("'数据-取费表'!u"&amp;$G$1)</f>
        <v>800</v>
      </c>
      <c r="G6" s="1593"/>
      <c r="H6" s="2482" t="s">
        <v>1825</v>
      </c>
      <c r="I6" s="3443" t="s">
        <v>2464</v>
      </c>
      <c r="J6" s="783">
        <f ca="1">ROUND(M6*M8*M7*(1-M9)/10000,0)</f>
        <v>0</v>
      </c>
      <c r="K6" s="341" t="s">
        <v>636</v>
      </c>
      <c r="L6" s="784" t="s">
        <v>637</v>
      </c>
      <c r="M6" s="785">
        <f ca="1">INDIRECT("'数据-取费表'!z"&amp;$G$1)</f>
        <v>0</v>
      </c>
    </row>
    <row r="7" spans="1:33" ht="18" customHeight="1">
      <c r="A7" s="2478"/>
      <c r="B7" s="3444"/>
      <c r="C7" s="788"/>
      <c r="D7" s="789"/>
      <c r="E7" s="784" t="s">
        <v>638</v>
      </c>
      <c r="F7" s="785">
        <f ca="1">IF(INDIRECT("'数据-取费表'!ah"&amp;$G$1)="",INDIRECT("'数据-取费表'!k"&amp;$G$1),INDIRECT("'数据-取费表'!ah"&amp;$G$1))</f>
        <v>1100</v>
      </c>
      <c r="G7" s="1593"/>
      <c r="H7" s="2467"/>
      <c r="I7" s="3444"/>
      <c r="J7" s="788"/>
      <c r="K7" s="789"/>
      <c r="L7" s="784" t="s">
        <v>638</v>
      </c>
      <c r="M7" s="785">
        <f ca="1">F7</f>
        <v>1100</v>
      </c>
    </row>
    <row r="8" spans="1:33" ht="18" customHeight="1">
      <c r="A8" s="2471"/>
      <c r="B8" s="3445"/>
      <c r="C8" s="788"/>
      <c r="D8" s="789"/>
      <c r="E8" s="784" t="s">
        <v>639</v>
      </c>
      <c r="F8" s="785">
        <f ca="1">INDIRECT("'数据-取费表'!ai"&amp;$G$1)</f>
        <v>12</v>
      </c>
      <c r="G8" s="1593"/>
      <c r="H8" s="2467"/>
      <c r="I8" s="3445"/>
      <c r="J8" s="788"/>
      <c r="K8" s="789"/>
      <c r="L8" s="784" t="s">
        <v>639</v>
      </c>
      <c r="M8" s="785">
        <f ca="1">INDIRECT("'数据-取费表'!ai"&amp;$G$1)</f>
        <v>12</v>
      </c>
    </row>
    <row r="9" spans="1:33" ht="18" customHeight="1">
      <c r="A9" s="786"/>
      <c r="B9" s="3446"/>
      <c r="C9" s="788"/>
      <c r="D9" s="789"/>
      <c r="E9" s="784" t="s">
        <v>640</v>
      </c>
      <c r="F9" s="794">
        <f ca="1">INDIRECT("'数据-取费表'!w"&amp;$G$1)</f>
        <v>0.05</v>
      </c>
      <c r="G9" s="1593"/>
      <c r="H9" s="2483"/>
      <c r="I9" s="3445"/>
      <c r="J9" s="788"/>
      <c r="K9" s="789"/>
      <c r="L9" s="795" t="s">
        <v>640</v>
      </c>
      <c r="M9" s="796">
        <f ca="1">INDIRECT("'数据-取费表'!ab"&amp;$G$1)</f>
        <v>0</v>
      </c>
    </row>
    <row r="10" spans="1:33" ht="18" customHeight="1">
      <c r="A10" s="1831" t="s">
        <v>1826</v>
      </c>
      <c r="B10" s="2472" t="s">
        <v>2460</v>
      </c>
      <c r="C10" s="799">
        <f ca="1">ROUND(IF(F10="押一",C6/12*F11,IF(F10="押二",C6/12*2*F11,IF(F10="押三",C6/12*3*F11,C11*F11))),0)</f>
        <v>0</v>
      </c>
      <c r="D10" s="2479" t="s">
        <v>2977</v>
      </c>
      <c r="E10" s="2476" t="s">
        <v>2465</v>
      </c>
      <c r="F10" s="2599" t="s">
        <v>3391</v>
      </c>
      <c r="G10" s="1593"/>
      <c r="H10" s="2539" t="s">
        <v>1826</v>
      </c>
      <c r="I10" s="2544" t="s">
        <v>2460</v>
      </c>
      <c r="J10" s="783">
        <f ca="1">ROUND(IF(M10="押一",J6/12*M11,IF(M10="押二",J6/12*2*M11,IF(M10="押三",J6/12*3*M11,J11*M11))),0)</f>
        <v>0</v>
      </c>
      <c r="K10" s="2479" t="s">
        <v>2977</v>
      </c>
      <c r="L10" s="2476" t="s">
        <v>2465</v>
      </c>
      <c r="M10" s="2599"/>
    </row>
    <row r="11" spans="1:33" ht="18" customHeight="1">
      <c r="A11" s="790"/>
      <c r="B11" s="2473" t="s">
        <v>2574</v>
      </c>
      <c r="C11" s="2477"/>
      <c r="D11" s="789"/>
      <c r="E11" s="2476" t="s">
        <v>2457</v>
      </c>
      <c r="F11" s="796">
        <f ca="1">'数据-取费表'!B39</f>
        <v>1.4999999999999999E-2</v>
      </c>
      <c r="G11" s="1593"/>
      <c r="H11" s="2540"/>
      <c r="I11" s="2473" t="s">
        <v>2574</v>
      </c>
      <c r="J11" s="2477"/>
      <c r="K11" s="2541"/>
      <c r="L11" s="2476" t="s">
        <v>2457</v>
      </c>
      <c r="M11" s="2470">
        <f ca="1">'数据-取费表'!B39</f>
        <v>1.4999999999999999E-2</v>
      </c>
    </row>
    <row r="12" spans="1:33" ht="18" customHeight="1" thickBot="1">
      <c r="A12" s="2515" t="s">
        <v>2468</v>
      </c>
      <c r="B12" s="2516" t="s">
        <v>2461</v>
      </c>
      <c r="C12" s="2517"/>
      <c r="D12" s="2518"/>
      <c r="E12" s="2519"/>
      <c r="F12" s="2520"/>
      <c r="G12" s="1593"/>
      <c r="H12" s="2529" t="s">
        <v>2468</v>
      </c>
      <c r="I12" s="2542" t="s">
        <v>2461</v>
      </c>
      <c r="J12" s="2543"/>
      <c r="K12" s="2518"/>
      <c r="L12" s="2519"/>
      <c r="M12" s="2532"/>
    </row>
    <row r="13" spans="1:33" ht="18" customHeight="1" thickTop="1">
      <c r="A13" s="1830">
        <v>2</v>
      </c>
      <c r="B13" s="1828" t="s">
        <v>644</v>
      </c>
      <c r="C13" s="792">
        <f ca="1">ROUND(C29*F13,0)</f>
        <v>15878</v>
      </c>
      <c r="D13" s="1835" t="s">
        <v>2298</v>
      </c>
      <c r="E13" s="1835" t="s">
        <v>643</v>
      </c>
      <c r="F13" s="2514">
        <f ca="1">INDIRECT("'数据-取费表'!y"&amp;$G$1)</f>
        <v>1</v>
      </c>
      <c r="G13" s="1593"/>
      <c r="H13" s="1830">
        <v>2</v>
      </c>
      <c r="I13" s="1828" t="s">
        <v>644</v>
      </c>
      <c r="J13" s="1820">
        <f ca="1">ROUND(J14*J15,0)</f>
        <v>0</v>
      </c>
      <c r="K13" s="1822" t="s">
        <v>642</v>
      </c>
      <c r="L13" s="2530"/>
      <c r="M13" s="2531"/>
    </row>
    <row r="14" spans="1:33" ht="18" customHeight="1">
      <c r="A14" s="1649" t="s">
        <v>1832</v>
      </c>
      <c r="B14" s="784" t="s">
        <v>645</v>
      </c>
      <c r="C14" s="804">
        <f ca="1">INDIRECT("'数据-取费表'!m"&amp;$G$1)+INDIRECT("'数据-取费表'!t"&amp;$G$1)</f>
        <v>11980</v>
      </c>
      <c r="D14" s="3177" t="s">
        <v>646</v>
      </c>
      <c r="E14" s="3178"/>
      <c r="F14" s="805"/>
      <c r="G14" s="1593"/>
      <c r="H14" s="1650" t="s">
        <v>1825</v>
      </c>
      <c r="I14" s="2232" t="s">
        <v>2826</v>
      </c>
      <c r="J14" s="53">
        <f ca="1">C29</f>
        <v>15878</v>
      </c>
      <c r="K14" s="26"/>
      <c r="L14" s="801"/>
      <c r="M14" s="802"/>
    </row>
    <row r="15" spans="1:33" s="2065" customFormat="1" ht="18" customHeight="1" thickBot="1">
      <c r="A15" s="1649" t="s">
        <v>1833</v>
      </c>
      <c r="B15" s="784" t="s">
        <v>647</v>
      </c>
      <c r="C15" s="53">
        <f ca="1">ROUND(C14*F15,0)</f>
        <v>359</v>
      </c>
      <c r="D15" s="806" t="s">
        <v>648</v>
      </c>
      <c r="E15" s="806" t="s">
        <v>649</v>
      </c>
      <c r="F15" s="807">
        <f>'数据-取费表'!B33</f>
        <v>0.03</v>
      </c>
      <c r="G15" s="1594"/>
      <c r="H15" s="2529" t="s">
        <v>1890</v>
      </c>
      <c r="I15" s="2524" t="s">
        <v>643</v>
      </c>
      <c r="J15" s="2533">
        <f ca="1">INDIRECT("'数据-取费表'!ad"&amp;$G$1)</f>
        <v>0</v>
      </c>
      <c r="K15" s="2534"/>
      <c r="L15" s="2535"/>
      <c r="M15" s="2536"/>
      <c r="N15" s="2064"/>
      <c r="O15" s="2064"/>
      <c r="P15" s="2064"/>
      <c r="Q15" s="2371"/>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651</v>
      </c>
      <c r="J16" s="792">
        <f ca="1">ROUND(J17+J22+J23+J24,0)</f>
        <v>1580</v>
      </c>
      <c r="K16" s="1822" t="s">
        <v>652</v>
      </c>
      <c r="L16" s="3179"/>
      <c r="M16" s="2469"/>
    </row>
    <row r="17" spans="1:33" s="2065" customFormat="1" ht="18" customHeight="1">
      <c r="A17" s="1649" t="s">
        <v>1888</v>
      </c>
      <c r="B17" s="784" t="s">
        <v>653</v>
      </c>
      <c r="C17" s="53">
        <f ca="1">ROUND(F17*(F43+INDIRECT("'数据-取费表'!S"&amp;$G$1))/10000,0)</f>
        <v>1198</v>
      </c>
      <c r="D17" s="784" t="s">
        <v>654</v>
      </c>
      <c r="E17" s="784" t="s">
        <v>655</v>
      </c>
      <c r="F17" s="56">
        <f>'数据-取费表'!B35</f>
        <v>200</v>
      </c>
      <c r="G17" s="1594"/>
      <c r="H17" s="1650" t="s">
        <v>1825</v>
      </c>
      <c r="I17" s="784" t="s">
        <v>656</v>
      </c>
      <c r="J17" s="53">
        <f ca="1">ROUND(IF(项目基本情况!B11="自然人",J5*M17,J18+J19+J20),0)</f>
        <v>1342</v>
      </c>
      <c r="K17" s="3177" t="s">
        <v>657</v>
      </c>
      <c r="L17" s="3176" t="s">
        <v>658</v>
      </c>
      <c r="M17" s="810" t="str">
        <f ca="1">IF(项目基本情况!B11="企业","",IF(INDIRECT("'数据-取费表'!c"&amp;$G$1)="住宅",5%,IF(M6*M7*M8/12/(1+'数据-取费表'!C42)&gt;20000,12%,7%)))</f>
        <v/>
      </c>
      <c r="N17" s="2064"/>
      <c r="O17" s="2064"/>
      <c r="P17" s="2064"/>
      <c r="Q17" s="2371"/>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180</v>
      </c>
      <c r="D18" s="784" t="s">
        <v>648</v>
      </c>
      <c r="E18" s="784" t="s">
        <v>649</v>
      </c>
      <c r="F18" s="809">
        <f>'数据-取费表'!B36</f>
        <v>1.4999999999999999E-2</v>
      </c>
      <c r="G18" s="1594"/>
      <c r="H18" s="1649" t="s">
        <v>1832</v>
      </c>
      <c r="I18" s="784" t="s">
        <v>660</v>
      </c>
      <c r="J18" s="53">
        <f ca="1">ROUND(J5*M18/1.05,1)</f>
        <v>0</v>
      </c>
      <c r="K18" s="3176" t="s">
        <v>661</v>
      </c>
      <c r="L18" s="784" t="s">
        <v>649</v>
      </c>
      <c r="M18" s="809">
        <f>'数据-取费表'!B41</f>
        <v>5.6000000000000001E-2</v>
      </c>
      <c r="N18" s="2064"/>
      <c r="O18" s="2064"/>
      <c r="P18" s="2064"/>
      <c r="Q18" s="2371"/>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13717</v>
      </c>
      <c r="D19" s="261" t="s">
        <v>663</v>
      </c>
      <c r="E19" s="3181"/>
      <c r="F19" s="56"/>
      <c r="G19" s="1593"/>
      <c r="H19" s="1649" t="s">
        <v>1833</v>
      </c>
      <c r="I19" s="784" t="s">
        <v>664</v>
      </c>
      <c r="J19" s="53">
        <f ca="1">IF(K19="按租金收入计税",ROUND(J5*M19,1),ROUND(C29*F33*0.7,1))</f>
        <v>1333.8</v>
      </c>
      <c r="K19" s="811" t="s">
        <v>665</v>
      </c>
      <c r="L19" s="784" t="s">
        <v>649</v>
      </c>
      <c r="M19" s="809">
        <f>IF(K19="按租金收入计税",'数据-取费表'!B51,'数据-取费表'!B50)</f>
        <v>1.2E-2</v>
      </c>
    </row>
    <row r="20" spans="1:33" s="2065" customFormat="1" ht="18" customHeight="1">
      <c r="A20" s="1650" t="s">
        <v>1890</v>
      </c>
      <c r="B20" s="784" t="s">
        <v>666</v>
      </c>
      <c r="C20" s="53">
        <f ca="1">ROUND(C19*F20,0)</f>
        <v>206</v>
      </c>
      <c r="D20" s="812" t="s">
        <v>667</v>
      </c>
      <c r="E20" s="784" t="s">
        <v>649</v>
      </c>
      <c r="F20" s="809">
        <f>'数据-取费表'!B37</f>
        <v>1.4999999999999999E-2</v>
      </c>
      <c r="G20" s="1594"/>
      <c r="H20" s="1652" t="s">
        <v>1834</v>
      </c>
      <c r="I20" s="341" t="s">
        <v>668</v>
      </c>
      <c r="J20" s="54">
        <f ca="1">ROUND(M20*M21/10000,0)</f>
        <v>8</v>
      </c>
      <c r="K20" s="814" t="s">
        <v>669</v>
      </c>
      <c r="L20" s="784" t="s">
        <v>670</v>
      </c>
      <c r="M20" s="640">
        <f>'数据-取费表'!B52</f>
        <v>5</v>
      </c>
      <c r="N20" s="2064"/>
      <c r="O20" s="2064"/>
      <c r="P20" s="2064"/>
      <c r="Q20" s="2371"/>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2299</v>
      </c>
      <c r="E21" s="784" t="s">
        <v>673</v>
      </c>
      <c r="F21" s="809">
        <f>'数据-取费表'!B38</f>
        <v>0.01</v>
      </c>
      <c r="G21" s="1594"/>
      <c r="H21" s="2484"/>
      <c r="I21" s="793"/>
      <c r="J21" s="69"/>
      <c r="K21" s="816"/>
      <c r="L21" s="784" t="s">
        <v>674</v>
      </c>
      <c r="M21" s="785">
        <f ca="1">INDIRECT("'数据-取费表'!r"&amp;$G$1)</f>
        <v>15540.33</v>
      </c>
      <c r="N21" s="2064"/>
      <c r="O21" s="2064"/>
      <c r="P21" s="2064"/>
      <c r="Q21" s="2371"/>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50" t="str">
        <f>IF(F23&lt;=1,"单利计息。","复利计息。")&amp;"建造成本、管理费用、销售费用产生的利息。"</f>
        <v>复利计息。建造成本、管理费用、销售费用产生的利息。</v>
      </c>
      <c r="E22" s="3181"/>
      <c r="F22" s="56"/>
      <c r="G22" s="1593"/>
      <c r="H22" s="1650" t="s">
        <v>1890</v>
      </c>
      <c r="I22" s="784" t="s">
        <v>676</v>
      </c>
      <c r="J22" s="53">
        <f ca="1">ROUND(J14*M22,0)</f>
        <v>238</v>
      </c>
      <c r="K22" s="3176" t="s">
        <v>677</v>
      </c>
      <c r="L22" s="784" t="s">
        <v>649</v>
      </c>
      <c r="M22" s="817">
        <f ca="1">INDIRECT("'数据-取费表'!Ak"&amp;$G$1)</f>
        <v>1.4999999999999999E-2</v>
      </c>
    </row>
    <row r="23" spans="1:33" s="2065" customFormat="1" ht="18" customHeight="1">
      <c r="A23" s="1649" t="s">
        <v>1832</v>
      </c>
      <c r="B23" s="784" t="s">
        <v>2438</v>
      </c>
      <c r="C23" s="53">
        <f ca="1">ROUND(IF('数据-取费表'!B22&lt;=1,(C19+C20)*F24*F23/2,(C19+C20)*(POWER((1+F24),F23/2)-1)),0)</f>
        <v>661</v>
      </c>
      <c r="D23" s="2549"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6" t="s">
        <v>680</v>
      </c>
      <c r="L23" s="784" t="s">
        <v>649</v>
      </c>
      <c r="M23" s="818">
        <f ca="1">INDIRECT("'数据-取费表'!Al"&amp;$G$1)</f>
        <v>1.5E-3</v>
      </c>
      <c r="N23" s="2064"/>
      <c r="O23" s="2064"/>
      <c r="P23" s="2064"/>
      <c r="Q23" s="2371"/>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681</v>
      </c>
      <c r="C24" s="53">
        <f ca="1">ROUND(IF('数据-取费表'!B22&lt;=1,F21*F24*F23/2,F21*(POWER((1+F24),F23/2)-1)),4)</f>
        <v>5.0000000000000001E-4</v>
      </c>
      <c r="D24" s="2549" t="str">
        <f>IF(F23&lt;=1,"销售费用×利率×(建设周期÷2)","销售费用×((1+利率)^(建设周期÷2)-1)")</f>
        <v>销售费用×((1+利率)^(建设周期÷2)-1)</v>
      </c>
      <c r="E24" s="784" t="s">
        <v>682</v>
      </c>
      <c r="F24" s="819">
        <f ca="1">'数据-取费表'!B40</f>
        <v>4.7500000000000001E-2</v>
      </c>
      <c r="G24" s="1594"/>
      <c r="H24" s="2529" t="s">
        <v>1892</v>
      </c>
      <c r="I24" s="2524" t="s">
        <v>666</v>
      </c>
      <c r="J24" s="2522">
        <f ca="1">ROUND(J5*M24,0)</f>
        <v>0</v>
      </c>
      <c r="K24" s="2523" t="s">
        <v>683</v>
      </c>
      <c r="L24" s="2524" t="s">
        <v>649</v>
      </c>
      <c r="M24" s="2520">
        <f ca="1">INDIRECT("'数据-取费表'!Am"&amp;$G$1)</f>
        <v>0.01</v>
      </c>
      <c r="N24" s="2064"/>
      <c r="O24" s="2064"/>
      <c r="P24" s="2064"/>
      <c r="Q24" s="2371"/>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685</v>
      </c>
      <c r="E25" s="3181"/>
      <c r="F25" s="56"/>
      <c r="G25" s="1593"/>
      <c r="H25" s="1830" t="s">
        <v>1777</v>
      </c>
      <c r="I25" s="2984" t="s">
        <v>2823</v>
      </c>
      <c r="J25" s="792">
        <f ca="1">J5-J16</f>
        <v>-1580</v>
      </c>
      <c r="K25" s="2526" t="s">
        <v>700</v>
      </c>
      <c r="L25" s="2527"/>
      <c r="M25" s="2528"/>
    </row>
    <row r="26" spans="1:33" ht="18" customHeight="1">
      <c r="A26" s="1649" t="s">
        <v>1832</v>
      </c>
      <c r="B26" s="784" t="s">
        <v>2439</v>
      </c>
      <c r="C26" s="53">
        <f ca="1">ROUND((C19+C20)*F26,0)</f>
        <v>278</v>
      </c>
      <c r="D26" s="812" t="s">
        <v>701</v>
      </c>
      <c r="E26" s="795" t="s">
        <v>702</v>
      </c>
      <c r="F26" s="794">
        <f ca="1">INDIRECT("'数据-取费表'!q"&amp;$G$1)</f>
        <v>0.02</v>
      </c>
      <c r="G26" s="1593"/>
      <c r="H26" s="2480" t="s">
        <v>1781</v>
      </c>
      <c r="I26" s="2233" t="s">
        <v>2828</v>
      </c>
      <c r="J26" s="783">
        <f ca="1">IF(J5&lt;&gt;0,ROUND(J25*(1-((1+M28)/(1+M26))^M27)/(M26-M28),0),0)</f>
        <v>0</v>
      </c>
      <c r="K26" s="814" t="s">
        <v>704</v>
      </c>
      <c r="L26" s="784" t="s">
        <v>2420</v>
      </c>
      <c r="M26" s="794">
        <f ca="1">INDIRECT("'数据-取费表'!I"&amp;$G$1)</f>
        <v>4.4999999999999998E-2</v>
      </c>
    </row>
    <row r="27" spans="1:33" ht="18" customHeight="1">
      <c r="A27" s="1649" t="s">
        <v>1833</v>
      </c>
      <c r="B27" s="784" t="s">
        <v>686</v>
      </c>
      <c r="C27" s="53">
        <f ca="1">ROUND(F21*F26,4)</f>
        <v>2.0000000000000001E-4</v>
      </c>
      <c r="D27" s="812" t="s">
        <v>706</v>
      </c>
      <c r="E27" s="806"/>
      <c r="F27" s="807"/>
      <c r="G27" s="1593"/>
      <c r="H27" s="2481"/>
      <c r="I27" s="787"/>
      <c r="J27" s="788"/>
      <c r="K27" s="821" t="s">
        <v>707</v>
      </c>
      <c r="L27" s="784" t="s">
        <v>708</v>
      </c>
      <c r="M27" s="822">
        <f ca="1">INDIRECT("'数据-取费表'!ag"&amp;$G$1)</f>
        <v>0</v>
      </c>
    </row>
    <row r="28" spans="1:33" s="2065" customFormat="1" ht="18" customHeight="1">
      <c r="A28" s="1651" t="s">
        <v>1842</v>
      </c>
      <c r="B28" s="784" t="s">
        <v>687</v>
      </c>
      <c r="C28" s="53">
        <f>ROUND(F28/(1+'数据-取费表'!C42),4)</f>
        <v>5.33E-2</v>
      </c>
      <c r="D28" s="812" t="s">
        <v>2300</v>
      </c>
      <c r="E28" s="784" t="s">
        <v>649</v>
      </c>
      <c r="F28" s="809">
        <f>'数据-取费表'!B41</f>
        <v>5.6000000000000001E-2</v>
      </c>
      <c r="G28" s="1594"/>
      <c r="H28" s="1830"/>
      <c r="I28" s="791"/>
      <c r="J28" s="792"/>
      <c r="K28" s="816"/>
      <c r="L28" s="784" t="s">
        <v>710</v>
      </c>
      <c r="M28" s="794">
        <f ca="1">INDIRECT("'数据-取费表'!aa"&amp;$G$1)</f>
        <v>0</v>
      </c>
      <c r="N28" s="2064"/>
      <c r="O28" s="2064"/>
      <c r="P28" s="2064"/>
      <c r="Q28" s="2371"/>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1" t="s">
        <v>1893</v>
      </c>
      <c r="B29" s="2519" t="s">
        <v>2301</v>
      </c>
      <c r="C29" s="2522">
        <f ca="1">ROUND((C19+C20+C23+C26)/(1-F21-C24-C27-C28),0)</f>
        <v>15878</v>
      </c>
      <c r="D29" s="2523"/>
      <c r="E29" s="2524"/>
      <c r="F29" s="2525"/>
      <c r="G29" s="1594"/>
      <c r="H29" s="823" t="s">
        <v>1788</v>
      </c>
      <c r="I29" s="824" t="s">
        <v>1789</v>
      </c>
      <c r="J29" s="825">
        <f ca="1">ROUND(J26/(1+F40)^F41,0)</f>
        <v>0</v>
      </c>
      <c r="K29" s="826" t="s">
        <v>688</v>
      </c>
      <c r="L29" s="827"/>
      <c r="M29" s="828">
        <f ca="1">INDIRECT("'数据-取费表'!k"&amp;$G$1)</f>
        <v>57727.82</v>
      </c>
      <c r="N29" s="2064"/>
      <c r="O29" s="2064"/>
      <c r="P29" s="2064"/>
      <c r="Q29" s="2371"/>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454</v>
      </c>
      <c r="D30" s="1822" t="s">
        <v>652</v>
      </c>
      <c r="E30" s="3179"/>
      <c r="F30" s="2469"/>
      <c r="G30" s="2063"/>
      <c r="H30" s="2066"/>
      <c r="I30" s="2067"/>
      <c r="J30" s="2068"/>
      <c r="K30" s="2069"/>
      <c r="L30" s="2070"/>
      <c r="M30" s="2071"/>
    </row>
    <row r="31" spans="1:33" ht="18" customHeight="1">
      <c r="A31" s="1650" t="s">
        <v>1825</v>
      </c>
      <c r="B31" s="784" t="s">
        <v>656</v>
      </c>
      <c r="C31" s="53">
        <f ca="1">ROUND(IF(项目基本情况!B11="自然人",C5*F31,C32+C33+C34),1)</f>
        <v>181.7</v>
      </c>
      <c r="D31" s="3177" t="s">
        <v>657</v>
      </c>
      <c r="E31" s="3176"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660</v>
      </c>
      <c r="C32" s="53">
        <f ca="1">ROUND(C5*F32/1.05,1)</f>
        <v>53.5</v>
      </c>
      <c r="D32" s="3176" t="s">
        <v>661</v>
      </c>
      <c r="E32" s="784" t="s">
        <v>649</v>
      </c>
      <c r="F32" s="809">
        <f>'数据-取费表'!B41</f>
        <v>5.6000000000000001E-2</v>
      </c>
      <c r="G32" s="2063"/>
      <c r="H32" s="2072"/>
      <c r="I32" s="2073"/>
      <c r="J32" s="2074"/>
      <c r="K32" s="2075"/>
      <c r="L32" s="2076"/>
      <c r="M32" s="2077"/>
    </row>
    <row r="33" spans="1:18" ht="18" customHeight="1">
      <c r="A33" s="1649" t="s">
        <v>1833</v>
      </c>
      <c r="B33" s="784" t="s">
        <v>664</v>
      </c>
      <c r="C33" s="53">
        <f ca="1">IF(D33="按租金收入计税",ROUND(C5*F33,1),IF(D33="按房产原值计税",ROUND(C29*F33*0.7,1),INDIRECT("'数据-取费表'!Aj"&amp;$G$1)))</f>
        <v>120.4</v>
      </c>
      <c r="D33" s="811" t="s">
        <v>3001</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668</v>
      </c>
      <c r="C34" s="54">
        <f ca="1">ROUND(F34*F35/10000,1)</f>
        <v>7.8</v>
      </c>
      <c r="D34" s="814" t="s">
        <v>669</v>
      </c>
      <c r="E34" s="784" t="s">
        <v>670</v>
      </c>
      <c r="F34" s="640">
        <f>'数据-取费表'!B52</f>
        <v>5</v>
      </c>
      <c r="G34" s="2063"/>
      <c r="H34" s="2066"/>
      <c r="I34" s="835" t="s">
        <v>1814</v>
      </c>
      <c r="J34" s="836"/>
      <c r="K34" s="2081"/>
      <c r="L34" s="2080"/>
      <c r="M34" s="2080"/>
    </row>
    <row r="35" spans="1:18" ht="18" customHeight="1">
      <c r="A35" s="815"/>
      <c r="B35" s="793"/>
      <c r="C35" s="69"/>
      <c r="D35" s="816"/>
      <c r="E35" s="784" t="s">
        <v>674</v>
      </c>
      <c r="F35" s="785">
        <f ca="1">INDIRECT("'数据-取费表'!r"&amp;$G$1)</f>
        <v>15540.33</v>
      </c>
      <c r="G35" s="2063"/>
      <c r="H35" s="2066"/>
      <c r="I35" s="837" t="s">
        <v>1815</v>
      </c>
      <c r="J35" s="838">
        <f ca="1">ROUND(C13*J36,0)</f>
        <v>1350</v>
      </c>
      <c r="K35" s="2079"/>
      <c r="L35" s="2078"/>
      <c r="M35" s="2078"/>
    </row>
    <row r="36" spans="1:18" ht="18" customHeight="1">
      <c r="A36" s="1650" t="s">
        <v>1890</v>
      </c>
      <c r="B36" s="784" t="s">
        <v>676</v>
      </c>
      <c r="C36" s="53">
        <f ca="1">ROUND(C29*F36,1)</f>
        <v>238.2</v>
      </c>
      <c r="D36" s="3176" t="s">
        <v>691</v>
      </c>
      <c r="E36" s="784" t="s">
        <v>649</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23.8</v>
      </c>
      <c r="D37" s="3176" t="s">
        <v>680</v>
      </c>
      <c r="E37" s="784" t="s">
        <v>649</v>
      </c>
      <c r="F37" s="818">
        <f ca="1">INDIRECT("'数据-取费表'!Al"&amp;$G$1)</f>
        <v>1.5E-3</v>
      </c>
      <c r="G37" s="2063"/>
      <c r="H37" s="2078"/>
      <c r="I37" s="841" t="s">
        <v>1817</v>
      </c>
      <c r="J37" s="842"/>
      <c r="K37" s="2083"/>
      <c r="L37" s="2078"/>
      <c r="M37" s="2078"/>
    </row>
    <row r="38" spans="1:18" ht="18" customHeight="1" thickBot="1">
      <c r="A38" s="2529" t="s">
        <v>1892</v>
      </c>
      <c r="B38" s="2524" t="s">
        <v>666</v>
      </c>
      <c r="C38" s="2522">
        <f ca="1">ROUND(C5*F38,1)</f>
        <v>10</v>
      </c>
      <c r="D38" s="2523" t="s">
        <v>683</v>
      </c>
      <c r="E38" s="2524" t="s">
        <v>649</v>
      </c>
      <c r="F38" s="2520">
        <f ca="1">INDIRECT("'数据-取费表'!Am"&amp;$G$1)</f>
        <v>0.01</v>
      </c>
      <c r="G38" s="2063"/>
      <c r="H38" s="2078"/>
      <c r="I38" s="843" t="s">
        <v>1818</v>
      </c>
      <c r="J38" s="844"/>
      <c r="K38" s="2084"/>
      <c r="L38" s="2078"/>
      <c r="M38" s="2078"/>
    </row>
    <row r="39" spans="1:18" ht="24.6" customHeight="1" thickTop="1">
      <c r="A39" s="1830" t="s">
        <v>1777</v>
      </c>
      <c r="B39" s="2984" t="s">
        <v>2823</v>
      </c>
      <c r="C39" s="792">
        <f ca="1">C5-C30</f>
        <v>549</v>
      </c>
      <c r="D39" s="2526" t="s">
        <v>700</v>
      </c>
      <c r="E39" s="2527"/>
      <c r="F39" s="2528"/>
      <c r="G39" s="2063"/>
      <c r="H39" s="2078"/>
      <c r="I39" s="837" t="s">
        <v>1819</v>
      </c>
      <c r="J39" s="845">
        <f ca="1">ROUND(J35/C39,3)</f>
        <v>2.4590000000000001</v>
      </c>
      <c r="K39" s="2084"/>
      <c r="L39" s="2078"/>
      <c r="M39" s="2078"/>
    </row>
    <row r="40" spans="1:18" ht="18" customHeight="1">
      <c r="A40" s="781" t="s">
        <v>1781</v>
      </c>
      <c r="B40" s="2233" t="s">
        <v>2302</v>
      </c>
      <c r="C40" s="783">
        <f ca="1">ROUND(C39*(1-((1+F42)/(1+F40))^F41)/(F40-F42),0)</f>
        <v>18119</v>
      </c>
      <c r="D40" s="814" t="s">
        <v>704</v>
      </c>
      <c r="E40" s="784" t="s">
        <v>2420</v>
      </c>
      <c r="F40" s="794">
        <f ca="1">INDIRECT("'数据-取费表'!I"&amp;$G$1)</f>
        <v>4.4999999999999998E-2</v>
      </c>
      <c r="G40" s="2063"/>
      <c r="H40" s="2063"/>
      <c r="I40" s="837" t="s">
        <v>1820</v>
      </c>
      <c r="J40" s="845">
        <f ca="1">1-J39</f>
        <v>-1.4590000000000001</v>
      </c>
      <c r="K40" s="2084"/>
      <c r="L40" s="2063"/>
      <c r="M40" s="2063"/>
    </row>
    <row r="41" spans="1:18" ht="18" customHeight="1">
      <c r="A41" s="786"/>
      <c r="B41" s="787"/>
      <c r="C41" s="788"/>
      <c r="D41" s="821" t="s">
        <v>1809</v>
      </c>
      <c r="E41" s="784" t="s">
        <v>708</v>
      </c>
      <c r="F41" s="822">
        <f ca="1">IF(INDIRECT("'数据-取费表'!af"&amp;$G$1)=0,INDIRECT("'数据-取费表'!ae"&amp;$G$1),INDIRECT("'数据-取费表'!af"&amp;$G$1))</f>
        <v>47.26</v>
      </c>
      <c r="G41" s="2063"/>
      <c r="H41" s="1989"/>
      <c r="I41" s="843" t="s">
        <v>1821</v>
      </c>
      <c r="J41" s="846"/>
      <c r="K41" s="2083"/>
      <c r="L41" s="1989"/>
      <c r="M41" s="1989"/>
    </row>
    <row r="42" spans="1:18" ht="18" customHeight="1">
      <c r="A42" s="790"/>
      <c r="B42" s="791"/>
      <c r="C42" s="792"/>
      <c r="D42" s="816"/>
      <c r="E42" s="784" t="s">
        <v>710</v>
      </c>
      <c r="F42" s="794">
        <f ca="1">INDIRECT("'数据-取费表'!v"&amp;$G$1)</f>
        <v>0.03</v>
      </c>
      <c r="G42" s="2063"/>
      <c r="H42" s="1989"/>
      <c r="I42" s="847" t="s">
        <v>1822</v>
      </c>
      <c r="J42" s="845">
        <f ca="1">ROUND(C13/C40,3)</f>
        <v>0.876</v>
      </c>
      <c r="K42" s="2083"/>
      <c r="L42" s="1989"/>
      <c r="M42" s="1989"/>
    </row>
    <row r="43" spans="1:18" ht="18" customHeight="1" thickBot="1">
      <c r="A43" s="823" t="s">
        <v>1788</v>
      </c>
      <c r="B43" s="824" t="s">
        <v>1811</v>
      </c>
      <c r="C43" s="825">
        <f ca="1">ROUND(C40*10000/F43,0)</f>
        <v>3139</v>
      </c>
      <c r="D43" s="826" t="s">
        <v>1812</v>
      </c>
      <c r="E43" s="827" t="s">
        <v>1813</v>
      </c>
      <c r="F43" s="828">
        <f ca="1">INDIRECT("'数据-取费表'!k"&amp;$G$1)</f>
        <v>57727.82</v>
      </c>
      <c r="G43" s="2063"/>
      <c r="H43" s="1989"/>
      <c r="I43" s="847" t="s">
        <v>1823</v>
      </c>
      <c r="J43" s="848">
        <f ca="1">1-J42</f>
        <v>0.124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2">
        <f ca="1">C67-C40</f>
        <v>-23370</v>
      </c>
      <c r="D46" s="2086"/>
      <c r="E46" s="2086"/>
      <c r="F46" s="2086"/>
      <c r="I46" s="2356" t="s">
        <v>2344</v>
      </c>
      <c r="J46" s="2357"/>
      <c r="K46" s="2358"/>
      <c r="L46" s="3132">
        <f>IF(OR(M47="住宅",D1="土地（套用方法）"),0,IF(L48&gt;J51,L60,J60))</f>
        <v>0</v>
      </c>
      <c r="O46" s="2372" t="s">
        <v>2411</v>
      </c>
      <c r="P46" s="1593"/>
      <c r="Q46" s="1605"/>
      <c r="R46" s="1593"/>
    </row>
    <row r="47" spans="1:18" s="2060" customFormat="1" ht="18" customHeight="1" thickBot="1">
      <c r="A47" s="2350">
        <v>1</v>
      </c>
      <c r="B47" s="2351" t="s">
        <v>635</v>
      </c>
      <c r="C47" s="2552">
        <f ca="1">C48+C52+C54</f>
        <v>0</v>
      </c>
      <c r="D47" s="2086"/>
      <c r="E47" s="2086"/>
      <c r="F47" s="2086"/>
      <c r="I47" s="3122" t="s">
        <v>2345</v>
      </c>
      <c r="J47" s="2359" t="s">
        <v>3028</v>
      </c>
      <c r="K47" s="3129" t="s">
        <v>2350</v>
      </c>
      <c r="L47" s="3133">
        <f ca="1">INDIRECT("'数据-取费表'!d"&amp;$G$1)</f>
        <v>50</v>
      </c>
      <c r="M47" s="1605" t="str">
        <f>IF(ISNUMBER(FIND("住宅",C1)),"住宅","非住宅")</f>
        <v>非住宅</v>
      </c>
      <c r="O47" s="2373" t="s">
        <v>2376</v>
      </c>
      <c r="P47" s="2374" t="s">
        <v>2377</v>
      </c>
      <c r="Q47" s="2375" t="s">
        <v>2378</v>
      </c>
      <c r="R47" s="2374" t="s">
        <v>2379</v>
      </c>
    </row>
    <row r="48" spans="1:18" s="2060" customFormat="1" ht="18" customHeight="1" thickBot="1">
      <c r="A48" s="2620" t="s">
        <v>1871</v>
      </c>
      <c r="B48" s="2621" t="s">
        <v>2539</v>
      </c>
      <c r="C48" s="2352">
        <f ca="1">ROUND(F48*F50*F49*(1-F51)/10000,0)</f>
        <v>0</v>
      </c>
      <c r="D48" s="2353" t="s">
        <v>636</v>
      </c>
      <c r="E48" s="2354" t="s">
        <v>2297</v>
      </c>
      <c r="F48" s="2355"/>
      <c r="G48" s="2091"/>
      <c r="I48" s="3101" t="s">
        <v>2346</v>
      </c>
      <c r="J48" s="2360" t="s">
        <v>2351</v>
      </c>
      <c r="K48" s="3130" t="s">
        <v>2352</v>
      </c>
      <c r="L48" s="1909">
        <f ca="1">INDIRECT("'数据-取费表'!f"&amp;$G$1)</f>
        <v>49.26</v>
      </c>
      <c r="O48" s="2376" t="s">
        <v>2380</v>
      </c>
      <c r="P48" s="2377" t="s">
        <v>2406</v>
      </c>
      <c r="Q48" s="2378">
        <f ca="1">C40+J29</f>
        <v>18119</v>
      </c>
      <c r="R48" s="2377" t="s">
        <v>2381</v>
      </c>
    </row>
    <row r="49" spans="1:18" s="2060" customFormat="1" ht="18" customHeight="1" thickBot="1">
      <c r="A49" s="786"/>
      <c r="B49" s="787"/>
      <c r="C49" s="788"/>
      <c r="D49" s="789"/>
      <c r="E49" s="784" t="s">
        <v>638</v>
      </c>
      <c r="F49" s="785">
        <f ca="1">F7</f>
        <v>1100</v>
      </c>
      <c r="G49" s="2091"/>
      <c r="H49" s="2094"/>
      <c r="I49" s="3101" t="s">
        <v>2347</v>
      </c>
      <c r="J49" s="2361">
        <v>2021</v>
      </c>
      <c r="K49" s="3131" t="s">
        <v>2353</v>
      </c>
      <c r="L49" s="2362"/>
      <c r="O49" s="2376" t="s">
        <v>2382</v>
      </c>
      <c r="P49" s="2377" t="s">
        <v>2407</v>
      </c>
      <c r="Q49" s="2378">
        <f ca="1">J60</f>
        <v>108</v>
      </c>
      <c r="R49" s="2377" t="s">
        <v>2383</v>
      </c>
    </row>
    <row r="50" spans="1:18" s="2060" customFormat="1" ht="18" customHeight="1" thickBot="1">
      <c r="A50" s="786"/>
      <c r="B50" s="787"/>
      <c r="C50" s="788"/>
      <c r="D50" s="789"/>
      <c r="E50" s="784" t="s">
        <v>639</v>
      </c>
      <c r="F50" s="785">
        <f ca="1">F8</f>
        <v>12</v>
      </c>
      <c r="G50" s="2096"/>
      <c r="H50" s="2094"/>
      <c r="I50" s="3101" t="s">
        <v>2348</v>
      </c>
      <c r="J50" s="3126">
        <f>SUMPRODUCT((I63:I65=J47)*(J62:L62=J48)*(J63:L65))</f>
        <v>60</v>
      </c>
      <c r="K50" s="3131" t="s">
        <v>2354</v>
      </c>
      <c r="L50" s="2362"/>
      <c r="O50" s="2379" t="s">
        <v>2384</v>
      </c>
      <c r="P50" s="2377" t="s">
        <v>2408</v>
      </c>
      <c r="Q50" s="2378">
        <f ca="1">C29</f>
        <v>15878</v>
      </c>
      <c r="R50" s="2377" t="s">
        <v>2381</v>
      </c>
    </row>
    <row r="51" spans="1:18" s="2060" customFormat="1" ht="18" customHeight="1" thickBot="1">
      <c r="A51" s="786"/>
      <c r="B51" s="787"/>
      <c r="C51" s="788"/>
      <c r="D51" s="789"/>
      <c r="E51" s="784" t="s">
        <v>640</v>
      </c>
      <c r="F51" s="2349"/>
      <c r="H51" s="2094"/>
      <c r="I51" s="3123" t="s">
        <v>2349</v>
      </c>
      <c r="J51" s="3127">
        <f>IF(J49="",J50,J49+J50-YEAR('数据-取费表'!B2))</f>
        <v>62</v>
      </c>
      <c r="K51" s="3101" t="s">
        <v>2355</v>
      </c>
      <c r="L51" s="3134">
        <f ca="1">ROUND(-PV(INDIRECT("'数据-取费表'!h"&amp;$G$1),L48,(C39-C13*J36),0),0)</f>
        <v>-17116</v>
      </c>
      <c r="O51" s="2379" t="s">
        <v>2385</v>
      </c>
      <c r="P51" s="2377" t="s">
        <v>2386</v>
      </c>
      <c r="Q51" s="2380">
        <f ca="1">J58</f>
        <v>0.4</v>
      </c>
      <c r="R51" s="2381"/>
    </row>
    <row r="52" spans="1:18" s="2060" customFormat="1" ht="18" customHeight="1" thickBot="1">
      <c r="A52" s="781" t="s">
        <v>2537</v>
      </c>
      <c r="B52" s="2472" t="s">
        <v>2460</v>
      </c>
      <c r="C52" s="799">
        <f ca="1">ROUND(IF(F52="押一",C48/12*F11,IF(F52="押二",C48/12*2*F11,IF(F52="押三",C48/12*3*F11,C53*F11))),0)</f>
        <v>0</v>
      </c>
      <c r="D52" s="2479" t="s">
        <v>2977</v>
      </c>
      <c r="E52" s="2476" t="s">
        <v>2465</v>
      </c>
      <c r="F52" s="2599"/>
      <c r="I52" s="3124" t="s">
        <v>2422</v>
      </c>
      <c r="J52" s="2363">
        <v>0.09</v>
      </c>
      <c r="K52" s="3124" t="s">
        <v>2421</v>
      </c>
      <c r="L52" s="2363"/>
      <c r="O52" s="2379" t="s">
        <v>2387</v>
      </c>
      <c r="P52" s="2377" t="s">
        <v>2388</v>
      </c>
      <c r="Q52" s="2380">
        <f>J52</f>
        <v>0.09</v>
      </c>
      <c r="R52" s="2381"/>
    </row>
    <row r="53" spans="1:18" s="2060" customFormat="1" ht="39.75" customHeight="1" thickBot="1">
      <c r="A53" s="786"/>
      <c r="B53" s="2473" t="s">
        <v>2574</v>
      </c>
      <c r="C53" s="2477"/>
      <c r="D53" s="2479"/>
      <c r="E53" s="2476"/>
      <c r="F53" s="800"/>
      <c r="I53" s="3125" t="s">
        <v>2981</v>
      </c>
      <c r="J53" s="3128">
        <f ca="1">IF(M47="住宅",IF(D1="——",MAX(J51,L48),MAX(J51,L48-'数据-取费表'!B20)),IF(D1="——",MIN(J51,L48),MIN(J51,L48-'数据-取费表'!B20)))</f>
        <v>47.26</v>
      </c>
      <c r="K53" s="3460" t="s">
        <v>2969</v>
      </c>
      <c r="L53" s="3461"/>
      <c r="O53" s="2379" t="s">
        <v>2389</v>
      </c>
      <c r="P53" s="2377" t="s">
        <v>2390</v>
      </c>
      <c r="Q53" s="2378">
        <f ca="1">J53</f>
        <v>47.26</v>
      </c>
      <c r="R53" s="2377" t="s">
        <v>2391</v>
      </c>
    </row>
    <row r="54" spans="1:18" s="2060" customFormat="1" ht="18" customHeight="1" thickBot="1">
      <c r="A54" s="2515" t="s">
        <v>2468</v>
      </c>
      <c r="B54" s="2516" t="s">
        <v>2461</v>
      </c>
      <c r="C54" s="2517"/>
      <c r="D54" s="2479"/>
      <c r="E54" s="2476"/>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6" t="s">
        <v>2392</v>
      </c>
      <c r="P54" s="2377" t="s">
        <v>2409</v>
      </c>
      <c r="Q54" s="2378">
        <f ca="1">Q48+Q49</f>
        <v>18227</v>
      </c>
      <c r="R54" s="2381" t="s">
        <v>2393</v>
      </c>
    </row>
    <row r="55" spans="1:18" s="2060" customFormat="1" ht="18" customHeight="1" thickTop="1" thickBot="1">
      <c r="A55" s="797">
        <v>2</v>
      </c>
      <c r="B55" s="798" t="s">
        <v>644</v>
      </c>
      <c r="C55" s="799">
        <f ca="1">C13</f>
        <v>15878</v>
      </c>
      <c r="D55" s="795"/>
      <c r="E55" s="795"/>
      <c r="F55" s="800"/>
      <c r="I55" s="3137" t="s">
        <v>2356</v>
      </c>
      <c r="J55" s="3076">
        <f ca="1">ROUND(IF(J47="钢混",J57/J50,1-(1-2%)*(J50-J57)/J50),3)</f>
        <v>0.21199999999999999</v>
      </c>
      <c r="K55" s="3138" t="s">
        <v>2357</v>
      </c>
      <c r="L55" s="2364"/>
      <c r="O55" s="2382" t="s">
        <v>2412</v>
      </c>
      <c r="P55" s="1593"/>
      <c r="Q55" s="1605"/>
      <c r="R55" s="1593"/>
    </row>
    <row r="56" spans="1:18" s="2060" customFormat="1" ht="42.75" customHeight="1" thickBot="1">
      <c r="A56" s="1651"/>
      <c r="B56" s="2232" t="s">
        <v>2301</v>
      </c>
      <c r="C56" s="53">
        <f ca="1">C29</f>
        <v>15878</v>
      </c>
      <c r="D56" s="3176"/>
      <c r="E56" s="784"/>
      <c r="F56" s="809"/>
      <c r="I56" s="3139" t="s">
        <v>2358</v>
      </c>
      <c r="J56" s="3149"/>
      <c r="K56" s="3101" t="s">
        <v>2363</v>
      </c>
      <c r="L56" s="1909" t="str">
        <f ca="1">IF(L48&lt;J51,"——",L48-J51)</f>
        <v>——</v>
      </c>
      <c r="O56" s="2373" t="s">
        <v>2376</v>
      </c>
      <c r="P56" s="2374" t="s">
        <v>2377</v>
      </c>
      <c r="Q56" s="2375" t="s">
        <v>2378</v>
      </c>
      <c r="R56" s="2374" t="s">
        <v>2379</v>
      </c>
    </row>
    <row r="57" spans="1:18" s="2060" customFormat="1" ht="28.5" customHeight="1" thickBot="1">
      <c r="A57" s="797" t="s">
        <v>1749</v>
      </c>
      <c r="B57" s="798" t="s">
        <v>651</v>
      </c>
      <c r="C57" s="799">
        <f ca="1">ROUND(C58+C63+C64+C65,0)</f>
        <v>270</v>
      </c>
      <c r="D57" s="26" t="s">
        <v>652</v>
      </c>
      <c r="E57" s="3181"/>
      <c r="F57" s="56"/>
      <c r="I57" s="3140" t="s">
        <v>2359</v>
      </c>
      <c r="J57" s="3141">
        <f ca="1">IF(OR(M47="住宅",J51&lt;L48,J56="是"),"——",J51-L48)</f>
        <v>12.740000000000002</v>
      </c>
      <c r="K57" s="3101" t="s">
        <v>2364</v>
      </c>
      <c r="L57" s="1909" t="str">
        <f ca="1">IF(L48&lt;J51,"——",IF(L55="比较法",L49,IF(L55="基准地价",L50,L51)))</f>
        <v>——</v>
      </c>
      <c r="O57" s="2376" t="s">
        <v>2380</v>
      </c>
      <c r="P57" s="2377" t="s">
        <v>2406</v>
      </c>
      <c r="Q57" s="2378">
        <f ca="1">C40+J29</f>
        <v>18119</v>
      </c>
      <c r="R57" s="2377" t="s">
        <v>2381</v>
      </c>
    </row>
    <row r="58" spans="1:18" s="2060" customFormat="1" ht="28.5" customHeight="1" thickBot="1">
      <c r="A58" s="1650" t="s">
        <v>1825</v>
      </c>
      <c r="B58" s="784" t="s">
        <v>656</v>
      </c>
      <c r="C58" s="53">
        <f ca="1">ROUND(IF(项目基本情况!B11="自然人",C47*F58,C59+C60+C61),1)</f>
        <v>7.8</v>
      </c>
      <c r="D58" s="3177" t="s">
        <v>657</v>
      </c>
      <c r="E58" s="3176" t="s">
        <v>690</v>
      </c>
      <c r="F58" s="810" t="str">
        <f ca="1">IF(项目基本情况!B11="企业","",IF(INDIRECT("'数据-取费表'!c"&amp;$G$1)="住宅",5%,IF(F48*F49*F50/12/(1+'数据-取费表'!C42)&gt;20000,12%,7%)))</f>
        <v/>
      </c>
      <c r="I58" s="3140" t="s">
        <v>2360</v>
      </c>
      <c r="J58" s="3077">
        <f ca="1">IF(J55&lt;0.4,0.4,J55)</f>
        <v>0.4</v>
      </c>
      <c r="K58" s="3101" t="s">
        <v>2365</v>
      </c>
      <c r="L58" s="1909" t="e">
        <f ca="1">ROUND(POWER(1+L52,L47-L48)*(POWER(1+L52,L48)-1)/(POWER(1+L52,L47)-1),4)</f>
        <v>#DIV/0!</v>
      </c>
      <c r="O58" s="2376" t="s">
        <v>2382</v>
      </c>
      <c r="P58" s="2377" t="s">
        <v>2413</v>
      </c>
      <c r="Q58" s="2378">
        <f ca="1">L60</f>
        <v>0</v>
      </c>
      <c r="R58" s="2381" t="s">
        <v>2415</v>
      </c>
    </row>
    <row r="59" spans="1:18" s="2060" customFormat="1" ht="28.5" customHeight="1" thickBot="1">
      <c r="A59" s="1649" t="s">
        <v>1832</v>
      </c>
      <c r="B59" s="784" t="s">
        <v>660</v>
      </c>
      <c r="C59" s="53">
        <f ca="1">ROUND(C47*F59/1.05,1)</f>
        <v>0</v>
      </c>
      <c r="D59" s="3176" t="s">
        <v>661</v>
      </c>
      <c r="E59" s="784" t="s">
        <v>649</v>
      </c>
      <c r="F59" s="809">
        <f t="shared" ref="F59:F65" si="0">F32</f>
        <v>5.6000000000000001E-2</v>
      </c>
      <c r="I59" s="3140" t="s">
        <v>2361</v>
      </c>
      <c r="J59" s="3141">
        <f ca="1">IF(OR(M47="住宅",J51&lt;L48,J56="是"),"——",ROUND(C29*J58,0))</f>
        <v>6351</v>
      </c>
      <c r="K59" s="3101"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60" customFormat="1" ht="18" customHeight="1" thickBot="1">
      <c r="A60" s="1649" t="s">
        <v>1833</v>
      </c>
      <c r="B60" s="784" t="s">
        <v>664</v>
      </c>
      <c r="C60" s="53">
        <f ca="1">IF(D60="按租金收入计税",ROUND(C47*F60,1),IF(D60="按房产原值计税",ROUND(C56*F60*0.7,1),INDIRECT("'数据-取费表'!Aj"&amp;$G$1)))</f>
        <v>0</v>
      </c>
      <c r="D60" s="3176" t="str">
        <f>D33</f>
        <v>按租金收入计税</v>
      </c>
      <c r="E60" s="784" t="s">
        <v>649</v>
      </c>
      <c r="F60" s="809">
        <f t="shared" si="0"/>
        <v>0.12</v>
      </c>
      <c r="I60" s="3142" t="s">
        <v>2362</v>
      </c>
      <c r="J60" s="3143">
        <f ca="1">IF(OR(M47="住宅",J51&lt;L48,J56="是"),"0",ROUND(J59/(1+J52)^J53,0))</f>
        <v>108</v>
      </c>
      <c r="K60" s="3144" t="s">
        <v>2367</v>
      </c>
      <c r="L60" s="3143">
        <f ca="1">IF(OR(M47="住宅",L48&lt;J51),0,ROUND(L57*(L58/L59-1),0))</f>
        <v>0</v>
      </c>
      <c r="O60" s="2379" t="s">
        <v>2385</v>
      </c>
      <c r="P60" s="2377" t="s">
        <v>2394</v>
      </c>
      <c r="Q60" s="2380">
        <f>L52</f>
        <v>0</v>
      </c>
      <c r="R60" s="2381"/>
    </row>
    <row r="61" spans="1:18" s="2060" customFormat="1" ht="18" customHeight="1" thickBot="1">
      <c r="A61" s="1652" t="s">
        <v>1834</v>
      </c>
      <c r="B61" s="341" t="s">
        <v>668</v>
      </c>
      <c r="C61" s="54">
        <f ca="1">ROUND(F61*F62/10000,1)</f>
        <v>7.8</v>
      </c>
      <c r="D61" s="814" t="s">
        <v>669</v>
      </c>
      <c r="E61" s="784" t="s">
        <v>670</v>
      </c>
      <c r="F61" s="640">
        <f t="shared" si="0"/>
        <v>5</v>
      </c>
      <c r="K61" s="2087"/>
      <c r="O61" s="2379" t="s">
        <v>2387</v>
      </c>
      <c r="P61" s="2377" t="s">
        <v>2395</v>
      </c>
      <c r="Q61" s="2378" t="e">
        <f ca="1">L58</f>
        <v>#DIV/0!</v>
      </c>
      <c r="R61" s="2381" t="s">
        <v>2396</v>
      </c>
    </row>
    <row r="62" spans="1:18" s="2060" customFormat="1" ht="15.75" thickBot="1">
      <c r="A62" s="815"/>
      <c r="B62" s="793"/>
      <c r="C62" s="69"/>
      <c r="D62" s="816"/>
      <c r="E62" s="784" t="s">
        <v>674</v>
      </c>
      <c r="F62" s="785">
        <f t="shared" ca="1" si="0"/>
        <v>15540.33</v>
      </c>
      <c r="I62" s="3145" t="s">
        <v>2368</v>
      </c>
      <c r="J62" s="3146" t="s">
        <v>2369</v>
      </c>
      <c r="K62" s="3146" t="s">
        <v>2370</v>
      </c>
      <c r="L62" s="3146" t="s">
        <v>2351</v>
      </c>
      <c r="M62" s="3147" t="s">
        <v>2945</v>
      </c>
      <c r="O62" s="2379" t="s">
        <v>2389</v>
      </c>
      <c r="P62" s="2377" t="str">
        <f>K59</f>
        <v>建设期及建筑物耐用年限下的土地年期修正系数Kn</v>
      </c>
      <c r="Q62" s="2378" t="e">
        <f ca="1">L59</f>
        <v>#DIV/0!</v>
      </c>
      <c r="R62" s="2381" t="s">
        <v>2398</v>
      </c>
    </row>
    <row r="63" spans="1:18" s="2060" customFormat="1" ht="15.75" thickBot="1">
      <c r="A63" s="1650" t="s">
        <v>1890</v>
      </c>
      <c r="B63" s="784" t="s">
        <v>676</v>
      </c>
      <c r="C63" s="53">
        <f ca="1">ROUND(C56*F63,1)</f>
        <v>238.2</v>
      </c>
      <c r="D63" s="3176" t="s">
        <v>691</v>
      </c>
      <c r="E63" s="784" t="s">
        <v>649</v>
      </c>
      <c r="F63" s="817">
        <f t="shared" ca="1" si="0"/>
        <v>1.4999999999999999E-2</v>
      </c>
      <c r="I63" s="3145" t="s">
        <v>2371</v>
      </c>
      <c r="J63" s="3146">
        <v>70</v>
      </c>
      <c r="K63" s="3146">
        <v>50</v>
      </c>
      <c r="L63" s="3146">
        <v>80</v>
      </c>
      <c r="M63" s="3148">
        <v>0.02</v>
      </c>
      <c r="O63" s="2376" t="s">
        <v>2392</v>
      </c>
      <c r="P63" s="2377" t="s">
        <v>2409</v>
      </c>
      <c r="Q63" s="2378">
        <f ca="1">Q57+Q58</f>
        <v>18119</v>
      </c>
      <c r="R63" s="2381" t="s">
        <v>2393</v>
      </c>
    </row>
    <row r="64" spans="1:18" s="2060" customFormat="1" ht="16.5" thickBot="1">
      <c r="A64" s="1650" t="s">
        <v>1891</v>
      </c>
      <c r="B64" s="784" t="s">
        <v>679</v>
      </c>
      <c r="C64" s="53">
        <f ca="1">ROUND(C55*F64,1)</f>
        <v>23.8</v>
      </c>
      <c r="D64" s="3176" t="s">
        <v>680</v>
      </c>
      <c r="E64" s="784" t="s">
        <v>649</v>
      </c>
      <c r="F64" s="818">
        <f t="shared" ca="1" si="0"/>
        <v>1.5E-3</v>
      </c>
      <c r="I64" s="3145" t="s">
        <v>2372</v>
      </c>
      <c r="J64" s="3146">
        <v>50</v>
      </c>
      <c r="K64" s="3146">
        <v>35</v>
      </c>
      <c r="L64" s="3146">
        <v>60</v>
      </c>
      <c r="M64" s="846">
        <v>0</v>
      </c>
      <c r="O64" s="2382" t="s">
        <v>2416</v>
      </c>
      <c r="P64" s="1593"/>
      <c r="Q64" s="1605"/>
      <c r="R64" s="1593"/>
    </row>
    <row r="65" spans="1:18" s="2060" customFormat="1" ht="15.75" thickBot="1">
      <c r="A65" s="1650" t="s">
        <v>1892</v>
      </c>
      <c r="B65" s="784" t="s">
        <v>666</v>
      </c>
      <c r="C65" s="53">
        <f ca="1">ROUND(C47*F65,1)</f>
        <v>0</v>
      </c>
      <c r="D65" s="3176" t="s">
        <v>683</v>
      </c>
      <c r="E65" s="784" t="s">
        <v>649</v>
      </c>
      <c r="F65" s="794">
        <f t="shared" ca="1" si="0"/>
        <v>0.01</v>
      </c>
      <c r="I65" s="3145" t="s">
        <v>2373</v>
      </c>
      <c r="J65" s="3146">
        <v>40</v>
      </c>
      <c r="K65" s="3146">
        <v>30</v>
      </c>
      <c r="L65" s="3146">
        <v>50</v>
      </c>
      <c r="M65" s="3148">
        <v>0.02</v>
      </c>
      <c r="O65" s="2373" t="s">
        <v>2376</v>
      </c>
      <c r="P65" s="2374" t="s">
        <v>2377</v>
      </c>
      <c r="Q65" s="2375" t="s">
        <v>2378</v>
      </c>
      <c r="R65" s="2374" t="s">
        <v>2379</v>
      </c>
    </row>
    <row r="66" spans="1:18" s="2060" customFormat="1" ht="24.75" thickBot="1">
      <c r="A66" s="797" t="s">
        <v>1777</v>
      </c>
      <c r="B66" s="2985" t="s">
        <v>2823</v>
      </c>
      <c r="C66" s="799">
        <f ca="1">C47-C57</f>
        <v>-270</v>
      </c>
      <c r="D66" s="3177" t="s">
        <v>700</v>
      </c>
      <c r="E66" s="3180"/>
      <c r="F66" s="820"/>
      <c r="K66" s="2087"/>
      <c r="O66" s="2376" t="s">
        <v>2380</v>
      </c>
      <c r="P66" s="2377" t="s">
        <v>2406</v>
      </c>
      <c r="Q66" s="2378">
        <f ca="1">C40+J29</f>
        <v>18119</v>
      </c>
      <c r="R66" s="2377" t="s">
        <v>2381</v>
      </c>
    </row>
    <row r="67" spans="1:18" s="2060" customFormat="1" ht="20.25" thickBot="1">
      <c r="A67" s="781" t="s">
        <v>1781</v>
      </c>
      <c r="B67" s="2233" t="s">
        <v>2302</v>
      </c>
      <c r="C67" s="783">
        <f ca="1">ROUND(C66*(1-((1+F69)/(1+F67))^F68)/(F67-F69),0)</f>
        <v>-5251</v>
      </c>
      <c r="D67" s="814" t="s">
        <v>704</v>
      </c>
      <c r="E67" s="784" t="s">
        <v>705</v>
      </c>
      <c r="F67" s="794">
        <f ca="1">F40</f>
        <v>4.4999999999999998E-2</v>
      </c>
      <c r="K67" s="2087"/>
      <c r="O67" s="2376" t="s">
        <v>2382</v>
      </c>
      <c r="P67" s="2377" t="s">
        <v>2413</v>
      </c>
      <c r="Q67" s="2378">
        <f ca="1">L60</f>
        <v>0</v>
      </c>
      <c r="R67" s="2381" t="s">
        <v>2415</v>
      </c>
    </row>
    <row r="68" spans="1:18" ht="21.75" thickBot="1">
      <c r="A68" s="786"/>
      <c r="B68" s="787"/>
      <c r="C68" s="788"/>
      <c r="D68" s="821" t="s">
        <v>1809</v>
      </c>
      <c r="E68" s="784" t="s">
        <v>708</v>
      </c>
      <c r="F68" s="822">
        <f ca="1">F41</f>
        <v>47.26</v>
      </c>
      <c r="O68" s="2379" t="s">
        <v>2384</v>
      </c>
      <c r="P68" s="2377" t="s">
        <v>2414</v>
      </c>
      <c r="Q68" s="2383">
        <f ca="1">L51</f>
        <v>-17116</v>
      </c>
      <c r="R68" s="2384" t="s">
        <v>2417</v>
      </c>
    </row>
    <row r="69" spans="1:18" ht="20.25" thickBot="1">
      <c r="A69" s="790"/>
      <c r="B69" s="791"/>
      <c r="C69" s="792"/>
      <c r="D69" s="816"/>
      <c r="E69" s="784" t="s">
        <v>710</v>
      </c>
      <c r="F69" s="2349"/>
      <c r="O69" s="2379" t="s">
        <v>2385</v>
      </c>
      <c r="P69" s="2385" t="s">
        <v>2399</v>
      </c>
      <c r="Q69" s="2378">
        <f ca="1">ROUND(Q70-Q71*Q72,0)</f>
        <v>-801</v>
      </c>
      <c r="R69" s="2381"/>
    </row>
    <row r="70" spans="1:18" ht="15.75" thickBot="1">
      <c r="A70" s="823" t="s">
        <v>1788</v>
      </c>
      <c r="B70" s="824" t="s">
        <v>1811</v>
      </c>
      <c r="C70" s="825">
        <f ca="1">ROUND(C67*10000/F70,0)</f>
        <v>-910</v>
      </c>
      <c r="D70" s="826" t="s">
        <v>1812</v>
      </c>
      <c r="E70" s="827" t="s">
        <v>1813</v>
      </c>
      <c r="F70" s="828">
        <f ca="1">F43</f>
        <v>57727.82</v>
      </c>
      <c r="O70" s="2379" t="s">
        <v>2400</v>
      </c>
      <c r="P70" s="2385" t="s">
        <v>2401</v>
      </c>
      <c r="Q70" s="2378">
        <f ca="1">C39</f>
        <v>549</v>
      </c>
      <c r="R70" s="2377" t="s">
        <v>2381</v>
      </c>
    </row>
    <row r="71" spans="1:18" ht="15.75" thickBot="1">
      <c r="O71" s="2379" t="s">
        <v>2402</v>
      </c>
      <c r="P71" s="2385" t="s">
        <v>2403</v>
      </c>
      <c r="Q71" s="2378">
        <f ca="1">C13</f>
        <v>15878</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18119</v>
      </c>
      <c r="R76" s="2381"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1" t="s">
        <v>719</v>
      </c>
      <c r="C1" s="2602" t="s">
        <v>720</v>
      </c>
      <c r="D1" s="2603" t="s">
        <v>923</v>
      </c>
      <c r="E1" s="2604"/>
      <c r="F1" s="2784" t="s">
        <v>3352</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0">
        <f>ROUND(B3*D3/10000,0)</f>
        <v>456901</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39161</v>
      </c>
      <c r="C3" s="852" t="s">
        <v>722</v>
      </c>
      <c r="D3" s="851">
        <f>SUMIF('数据-汇总表'!$C19:$C33,D1,'数据-汇总表'!$E19:$E33)</f>
        <v>116672.36</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6" t="s">
        <v>522</v>
      </c>
      <c r="D4" s="3377"/>
      <c r="E4" s="3410" t="s">
        <v>523</v>
      </c>
      <c r="F4" s="3411"/>
      <c r="G4" s="3376" t="s">
        <v>524</v>
      </c>
      <c r="H4" s="3377"/>
      <c r="I4" s="3376" t="s">
        <v>525</v>
      </c>
      <c r="J4" s="3377"/>
      <c r="K4" s="853" t="s">
        <v>526</v>
      </c>
      <c r="L4" s="2134"/>
      <c r="M4" s="2135"/>
      <c r="N4" s="2135"/>
      <c r="O4" s="2135"/>
      <c r="P4" s="3378" t="s">
        <v>527</v>
      </c>
      <c r="Q4" s="3379"/>
      <c r="R4" s="3384" t="s">
        <v>523</v>
      </c>
      <c r="S4" s="3385"/>
      <c r="T4" s="3384" t="s">
        <v>524</v>
      </c>
      <c r="U4" s="3385"/>
      <c r="V4" s="3371" t="s">
        <v>525</v>
      </c>
      <c r="W4" s="3371"/>
      <c r="X4" s="1568"/>
      <c r="Y4" s="3384" t="s">
        <v>527</v>
      </c>
      <c r="Z4" s="3385"/>
      <c r="AA4" s="3373" t="s">
        <v>523</v>
      </c>
      <c r="AB4" s="3373" t="s">
        <v>524</v>
      </c>
      <c r="AC4" s="3373" t="s">
        <v>525</v>
      </c>
    </row>
    <row r="5" spans="1:29" ht="15">
      <c r="A5" s="515"/>
      <c r="B5" s="516"/>
      <c r="C5" s="3392" t="s">
        <v>2930</v>
      </c>
      <c r="D5" s="3393"/>
      <c r="E5" s="3489" t="s">
        <v>3365</v>
      </c>
      <c r="F5" s="3413"/>
      <c r="G5" s="3487" t="s">
        <v>3386</v>
      </c>
      <c r="H5" s="3393"/>
      <c r="I5" s="3502" t="s">
        <v>3388</v>
      </c>
      <c r="J5" s="3503"/>
      <c r="K5" s="854"/>
      <c r="L5" s="2134"/>
      <c r="M5" s="2135"/>
      <c r="N5" s="2135"/>
      <c r="O5" s="2135"/>
      <c r="P5" s="3380"/>
      <c r="Q5" s="3381"/>
      <c r="R5" s="3386"/>
      <c r="S5" s="3387"/>
      <c r="T5" s="3386"/>
      <c r="U5" s="3387"/>
      <c r="V5" s="3371"/>
      <c r="W5" s="3371"/>
      <c r="X5" s="1568"/>
      <c r="Y5" s="3386"/>
      <c r="Z5" s="3387"/>
      <c r="AA5" s="3374"/>
      <c r="AB5" s="3374"/>
      <c r="AC5" s="3374"/>
    </row>
    <row r="6" spans="1:29" ht="15.75" customHeight="1" thickBot="1">
      <c r="A6" s="517"/>
      <c r="B6" s="518"/>
      <c r="C6" s="3390" t="s">
        <v>2934</v>
      </c>
      <c r="D6" s="3391"/>
      <c r="E6" s="3488" t="s">
        <v>3366</v>
      </c>
      <c r="F6" s="3409"/>
      <c r="G6" s="3486" t="s">
        <v>3387</v>
      </c>
      <c r="H6" s="3391"/>
      <c r="I6" s="3500" t="s">
        <v>3389</v>
      </c>
      <c r="J6" s="3501"/>
      <c r="K6" s="854" t="s">
        <v>528</v>
      </c>
      <c r="L6" s="2134"/>
      <c r="M6" s="2135"/>
      <c r="N6" s="2135"/>
      <c r="O6" s="2135"/>
      <c r="P6" s="3382"/>
      <c r="Q6" s="3383"/>
      <c r="R6" s="3386"/>
      <c r="S6" s="3387"/>
      <c r="T6" s="3388"/>
      <c r="U6" s="3389"/>
      <c r="V6" s="3371"/>
      <c r="W6" s="3371"/>
      <c r="X6" s="1568"/>
      <c r="Y6" s="3388"/>
      <c r="Z6" s="3389"/>
      <c r="AA6" s="3375"/>
      <c r="AB6" s="3375"/>
      <c r="AC6" s="3375"/>
    </row>
    <row r="7" spans="1:29" s="1220" customFormat="1" ht="15.75" thickBot="1">
      <c r="A7" s="2889"/>
      <c r="B7" s="2896" t="s">
        <v>529</v>
      </c>
      <c r="C7" s="519">
        <f>'数据-取费表'!B2</f>
        <v>43490</v>
      </c>
      <c r="D7" s="520">
        <v>100</v>
      </c>
      <c r="E7" s="521">
        <v>43466</v>
      </c>
      <c r="F7" s="522">
        <f>SUMIF(58:58,YEAR(E7)&amp;"-"&amp;MONTH(E7),59:59)</f>
        <v>100</v>
      </c>
      <c r="G7" s="521">
        <v>43466</v>
      </c>
      <c r="H7" s="520">
        <f>SUMIF(58:58,YEAR(G7)&amp;"-"&amp;MONTH(G7),59:59)</f>
        <v>100</v>
      </c>
      <c r="I7" s="521">
        <v>43466</v>
      </c>
      <c r="J7" s="520">
        <f>SUMIF(58:58,YEAR(I7)&amp;"-"&amp;MONTH(I7),59:59)</f>
        <v>100</v>
      </c>
      <c r="K7" s="855"/>
      <c r="L7" s="2136"/>
      <c r="M7" s="2137"/>
      <c r="N7" s="2137"/>
      <c r="O7" s="2137"/>
      <c r="P7" s="3401" t="s">
        <v>530</v>
      </c>
      <c r="Q7" s="3403"/>
      <c r="R7" s="1569" t="s">
        <v>13</v>
      </c>
      <c r="S7" s="1570">
        <f t="shared" ref="S7:S15" si="0">F7</f>
        <v>100</v>
      </c>
      <c r="T7" s="1569" t="s">
        <v>13</v>
      </c>
      <c r="U7" s="1570">
        <f t="shared" ref="U7:U15" si="1">H7</f>
        <v>100</v>
      </c>
      <c r="V7" s="1569" t="s">
        <v>13</v>
      </c>
      <c r="W7" s="1570">
        <f t="shared" ref="W7:W15" si="2">J7</f>
        <v>100</v>
      </c>
      <c r="X7" s="1571"/>
      <c r="Y7" s="3401" t="s">
        <v>530</v>
      </c>
      <c r="Z7" s="3402"/>
      <c r="AA7" s="1572">
        <f>D7/F7</f>
        <v>1</v>
      </c>
      <c r="AB7" s="1572">
        <f>D7/H7</f>
        <v>1</v>
      </c>
      <c r="AC7" s="1572">
        <f>D7/J7</f>
        <v>1</v>
      </c>
    </row>
    <row r="8" spans="1:29" s="1220" customFormat="1" ht="15.75" thickBot="1">
      <c r="A8" s="2890"/>
      <c r="B8" s="2897" t="s">
        <v>531</v>
      </c>
      <c r="C8" s="525" t="s">
        <v>576</v>
      </c>
      <c r="D8" s="520">
        <v>100</v>
      </c>
      <c r="E8" s="856" t="s">
        <v>3025</v>
      </c>
      <c r="F8" s="522">
        <f>SUMIF(61:61,E8,62:62)-SUMIF(61:61,C8,62:62)+100</f>
        <v>100</v>
      </c>
      <c r="G8" s="856" t="s">
        <v>3025</v>
      </c>
      <c r="H8" s="520">
        <f>SUMIF(61:61,G8,62:62)-SUMIF(61:61,C8,62:62)+100</f>
        <v>100</v>
      </c>
      <c r="I8" s="856" t="s">
        <v>3025</v>
      </c>
      <c r="J8" s="520">
        <f>SUMIF(61:61,I8,62:62)-SUMIF(61:61,C8,62:62)+100</f>
        <v>100</v>
      </c>
      <c r="K8" s="855"/>
      <c r="L8" s="2136"/>
      <c r="M8" s="2137"/>
      <c r="N8" s="2137"/>
      <c r="O8" s="2137"/>
      <c r="P8" s="3401" t="s">
        <v>533</v>
      </c>
      <c r="Q8" s="3402"/>
      <c r="R8" s="1569" t="s">
        <v>13</v>
      </c>
      <c r="S8" s="1570">
        <f t="shared" si="0"/>
        <v>100</v>
      </c>
      <c r="T8" s="1569" t="s">
        <v>13</v>
      </c>
      <c r="U8" s="1570">
        <f t="shared" si="1"/>
        <v>100</v>
      </c>
      <c r="V8" s="1569" t="s">
        <v>13</v>
      </c>
      <c r="W8" s="1570">
        <f t="shared" si="2"/>
        <v>100</v>
      </c>
      <c r="X8" s="1571"/>
      <c r="Y8" s="3401" t="s">
        <v>533</v>
      </c>
      <c r="Z8" s="3402"/>
      <c r="AA8" s="1572">
        <f t="shared" ref="AA8:AA46" si="3">D8/F8</f>
        <v>1</v>
      </c>
      <c r="AB8" s="1572">
        <f t="shared" ref="AB8:AB46" si="4">D8/H8</f>
        <v>1</v>
      </c>
      <c r="AC8" s="1572">
        <f t="shared" ref="AC8:AC46" si="5">D8/J8</f>
        <v>1</v>
      </c>
    </row>
    <row r="9" spans="1:29" s="1220" customFormat="1" ht="15">
      <c r="A9" s="2891"/>
      <c r="B9" s="2898" t="s">
        <v>2757</v>
      </c>
      <c r="C9" s="3187" t="s">
        <v>3367</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370"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892"/>
      <c r="B10" s="2897" t="s">
        <v>2758</v>
      </c>
      <c r="C10" s="861" t="s">
        <v>3368</v>
      </c>
      <c r="D10" s="255">
        <v>100</v>
      </c>
      <c r="E10" s="862" t="s">
        <v>3368</v>
      </c>
      <c r="F10" s="863">
        <f>SUMIF(65:65,E10,66:66)-SUMIF(65:65,C10,66:66)+100</f>
        <v>100</v>
      </c>
      <c r="G10" s="862" t="s">
        <v>3368</v>
      </c>
      <c r="H10" s="255">
        <f>SUMIF(65:65,G10,66:66)-SUMIF(65:65,C10,66:66)+100</f>
        <v>100</v>
      </c>
      <c r="I10" s="862" t="s">
        <v>3368</v>
      </c>
      <c r="J10" s="255">
        <f>SUMIF(65:65,I10,66:66)-SUMIF(65:65,C10,66:66)+100</f>
        <v>100</v>
      </c>
      <c r="K10" s="864">
        <v>1</v>
      </c>
      <c r="L10" s="2139"/>
      <c r="M10" s="2179"/>
      <c r="N10" s="2179"/>
      <c r="O10" s="2140"/>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3"/>
      <c r="B11" s="2897" t="s">
        <v>2759</v>
      </c>
      <c r="C11" s="533">
        <v>2.5</v>
      </c>
      <c r="D11" s="255">
        <v>100</v>
      </c>
      <c r="E11" s="534">
        <v>2.5</v>
      </c>
      <c r="F11" s="863">
        <f>LOOKUP(E11,68:68,69:69)-LOOKUP(C11,68:68,69:69)+100</f>
        <v>100</v>
      </c>
      <c r="G11" s="534">
        <v>2.5</v>
      </c>
      <c r="H11" s="255">
        <f>LOOKUP(G11,68:68,69:69)-LOOKUP(C11,68:68,69:69)+100</f>
        <v>100</v>
      </c>
      <c r="I11" s="534">
        <v>3</v>
      </c>
      <c r="J11" s="255">
        <f>LOOKUP(I11,68:68,69:69)-LOOKUP(C11,68:68,69:69)+100</f>
        <v>97</v>
      </c>
      <c r="K11" s="864">
        <v>3</v>
      </c>
      <c r="L11" s="2141"/>
      <c r="M11" s="2135"/>
      <c r="N11" s="2135"/>
      <c r="O11" s="2142"/>
      <c r="P11" s="3370"/>
      <c r="Q11" s="1151" t="str">
        <f t="shared" si="6"/>
        <v>容积率</v>
      </c>
      <c r="R11" s="1569" t="s">
        <v>11</v>
      </c>
      <c r="S11" s="1570">
        <f t="shared" si="0"/>
        <v>100</v>
      </c>
      <c r="T11" s="1569" t="s">
        <v>11</v>
      </c>
      <c r="U11" s="1570">
        <f t="shared" si="1"/>
        <v>100</v>
      </c>
      <c r="V11" s="1569" t="s">
        <v>11</v>
      </c>
      <c r="W11" s="1570">
        <f t="shared" si="2"/>
        <v>97</v>
      </c>
      <c r="X11" s="1571"/>
      <c r="Y11" s="3316"/>
      <c r="Z11" s="1150" t="str">
        <f t="shared" si="7"/>
        <v>容积率</v>
      </c>
      <c r="AA11" s="1572">
        <f t="shared" si="3"/>
        <v>1</v>
      </c>
      <c r="AB11" s="1572">
        <f t="shared" si="4"/>
        <v>1</v>
      </c>
      <c r="AC11" s="1572">
        <f t="shared" si="5"/>
        <v>1.0309278350515463</v>
      </c>
    </row>
    <row r="12" spans="1:29" s="1220" customFormat="1" ht="15">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0"/>
      <c r="Q12" s="1151">
        <f t="shared" si="6"/>
        <v>111</v>
      </c>
      <c r="R12" s="1569" t="s">
        <v>11</v>
      </c>
      <c r="S12" s="1570">
        <f t="shared" si="0"/>
        <v>100</v>
      </c>
      <c r="T12" s="1569" t="s">
        <v>11</v>
      </c>
      <c r="U12" s="1570">
        <f t="shared" si="1"/>
        <v>100</v>
      </c>
      <c r="V12" s="1569" t="s">
        <v>11</v>
      </c>
      <c r="W12" s="1570">
        <f t="shared" si="2"/>
        <v>100</v>
      </c>
      <c r="X12" s="1571"/>
      <c r="Y12" s="3316"/>
      <c r="Z12" s="1150">
        <f t="shared" si="7"/>
        <v>111</v>
      </c>
      <c r="AA12" s="1572">
        <f>D12/F12</f>
        <v>1</v>
      </c>
      <c r="AB12" s="1572">
        <f>D12/H12</f>
        <v>1</v>
      </c>
      <c r="AC12" s="1572">
        <f>D12/J12</f>
        <v>1</v>
      </c>
    </row>
    <row r="13" spans="1:29" ht="15">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0"/>
      <c r="Q13" s="1151">
        <f t="shared" si="6"/>
        <v>111</v>
      </c>
      <c r="R13" s="1569" t="s">
        <v>11</v>
      </c>
      <c r="S13" s="1570">
        <f t="shared" si="0"/>
        <v>100</v>
      </c>
      <c r="T13" s="1569" t="s">
        <v>11</v>
      </c>
      <c r="U13" s="1570">
        <f t="shared" si="1"/>
        <v>100</v>
      </c>
      <c r="V13" s="1569" t="s">
        <v>11</v>
      </c>
      <c r="W13" s="1570">
        <f t="shared" si="2"/>
        <v>100</v>
      </c>
      <c r="X13" s="1571"/>
      <c r="Y13" s="3316"/>
      <c r="Z13" s="1150">
        <f t="shared" si="7"/>
        <v>111</v>
      </c>
      <c r="AA13" s="1572">
        <f t="shared" si="3"/>
        <v>1</v>
      </c>
      <c r="AB13" s="1572">
        <f t="shared" si="4"/>
        <v>1</v>
      </c>
      <c r="AC13" s="1572">
        <f t="shared" si="5"/>
        <v>1</v>
      </c>
    </row>
    <row r="14" spans="1:29" ht="15.75"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0"/>
      <c r="Q14" s="1151">
        <f t="shared" si="6"/>
        <v>111</v>
      </c>
      <c r="R14" s="1569" t="s">
        <v>11</v>
      </c>
      <c r="S14" s="1570">
        <f t="shared" si="0"/>
        <v>100</v>
      </c>
      <c r="T14" s="1569" t="s">
        <v>11</v>
      </c>
      <c r="U14" s="1570">
        <f t="shared" si="1"/>
        <v>100</v>
      </c>
      <c r="V14" s="1569" t="s">
        <v>11</v>
      </c>
      <c r="W14" s="1570">
        <f t="shared" si="2"/>
        <v>100</v>
      </c>
      <c r="X14" s="1571"/>
      <c r="Y14" s="3316"/>
      <c r="Z14" s="1150">
        <f t="shared" si="7"/>
        <v>111</v>
      </c>
      <c r="AA14" s="1572">
        <f t="shared" si="3"/>
        <v>1</v>
      </c>
      <c r="AB14" s="1572">
        <f t="shared" si="4"/>
        <v>1</v>
      </c>
      <c r="AC14" s="1572">
        <f t="shared" si="5"/>
        <v>1</v>
      </c>
    </row>
    <row r="15" spans="1:29" ht="99.75">
      <c r="A15" s="2887"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0"/>
      <c r="H15" s="549">
        <f>SUMIF(76:76,G16,77:77)-SUMIF(76:76,C16,77:77)+100</f>
        <v>100</v>
      </c>
      <c r="I15" s="550"/>
      <c r="J15" s="549">
        <f>SUMIF(76:76,I16,77:77)-SUMIF(76:76,C16,77:77)+100</f>
        <v>100</v>
      </c>
      <c r="K15" s="868">
        <v>3</v>
      </c>
      <c r="L15" s="2143"/>
      <c r="M15" s="2135"/>
      <c r="N15" s="2135"/>
      <c r="O15" s="2142"/>
      <c r="P15" s="3404" t="s">
        <v>540</v>
      </c>
      <c r="Q15" s="1573" t="str">
        <f t="shared" si="6"/>
        <v>居住社区成熟度</v>
      </c>
      <c r="R15" s="1574" t="s">
        <v>11</v>
      </c>
      <c r="S15" s="1575">
        <f t="shared" si="0"/>
        <v>100</v>
      </c>
      <c r="T15" s="1574" t="s">
        <v>11</v>
      </c>
      <c r="U15" s="1575">
        <f t="shared" si="1"/>
        <v>100</v>
      </c>
      <c r="V15" s="1574" t="s">
        <v>11</v>
      </c>
      <c r="W15" s="1575">
        <f t="shared" si="2"/>
        <v>100</v>
      </c>
      <c r="X15" s="1568"/>
      <c r="Y15" s="3404" t="s">
        <v>540</v>
      </c>
      <c r="Z15" s="1576" t="str">
        <f t="shared" si="7"/>
        <v>居住社区成熟度</v>
      </c>
      <c r="AA15" s="1577">
        <f t="shared" si="3"/>
        <v>1</v>
      </c>
      <c r="AB15" s="1577">
        <f t="shared" si="4"/>
        <v>1</v>
      </c>
      <c r="AC15" s="1577">
        <f t="shared" si="5"/>
        <v>1</v>
      </c>
    </row>
    <row r="16" spans="1:29" ht="15">
      <c r="A16" s="532"/>
      <c r="B16" s="869"/>
      <c r="C16" s="576" t="s">
        <v>3338</v>
      </c>
      <c r="D16" s="555"/>
      <c r="E16" s="556" t="s">
        <v>3338</v>
      </c>
      <c r="F16" s="557"/>
      <c r="G16" s="556" t="s">
        <v>3338</v>
      </c>
      <c r="H16" s="559"/>
      <c r="I16" s="556" t="s">
        <v>3338</v>
      </c>
      <c r="J16" s="555"/>
      <c r="K16" s="870"/>
      <c r="L16" s="2143"/>
      <c r="M16" s="2135"/>
      <c r="N16" s="2135"/>
      <c r="O16" s="2142"/>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2"/>
      <c r="H17" s="565">
        <f>SUMIF(78:78,G18,79:79)-SUMIF(78:78,C18,79:79)+100</f>
        <v>100</v>
      </c>
      <c r="I17" s="562"/>
      <c r="J17" s="565">
        <f>SUMIF(78:78,I18,79:79)-SUMIF(78:78,C18,79:79)+100</f>
        <v>97</v>
      </c>
      <c r="K17" s="868">
        <v>3</v>
      </c>
      <c r="L17" s="2143"/>
      <c r="M17" s="2135"/>
      <c r="N17" s="2135"/>
      <c r="O17" s="2142"/>
      <c r="P17" s="3405"/>
      <c r="Q17" s="1573" t="str">
        <f>B17</f>
        <v>交通便捷度</v>
      </c>
      <c r="R17" s="1574" t="s">
        <v>11</v>
      </c>
      <c r="S17" s="1575">
        <f>F17</f>
        <v>100</v>
      </c>
      <c r="T17" s="1574" t="s">
        <v>11</v>
      </c>
      <c r="U17" s="1575">
        <f>H17</f>
        <v>100</v>
      </c>
      <c r="V17" s="1574" t="s">
        <v>11</v>
      </c>
      <c r="W17" s="1575">
        <f>J17</f>
        <v>97</v>
      </c>
      <c r="X17" s="1568"/>
      <c r="Y17" s="3405"/>
      <c r="Z17" s="1576" t="str">
        <f>Q17</f>
        <v>交通便捷度</v>
      </c>
      <c r="AA17" s="1577">
        <f t="shared" si="3"/>
        <v>1</v>
      </c>
      <c r="AB17" s="1577">
        <f t="shared" si="4"/>
        <v>1</v>
      </c>
      <c r="AC17" s="1577">
        <f t="shared" si="5"/>
        <v>1.0309278350515463</v>
      </c>
    </row>
    <row r="18" spans="1:29" ht="15">
      <c r="A18" s="532"/>
      <c r="B18" s="595"/>
      <c r="C18" s="873" t="s">
        <v>3337</v>
      </c>
      <c r="D18" s="559"/>
      <c r="E18" s="568" t="s">
        <v>3337</v>
      </c>
      <c r="F18" s="563"/>
      <c r="G18" s="568" t="s">
        <v>3337</v>
      </c>
      <c r="H18" s="555"/>
      <c r="I18" s="568" t="s">
        <v>3338</v>
      </c>
      <c r="J18" s="555"/>
      <c r="K18" s="870"/>
      <c r="L18" s="2143"/>
      <c r="M18" s="2135"/>
      <c r="N18" s="2135"/>
      <c r="O18" s="2142"/>
      <c r="P18" s="3405"/>
      <c r="Q18" s="1573"/>
      <c r="R18" s="1574"/>
      <c r="S18" s="1575"/>
      <c r="T18" s="1574"/>
      <c r="U18" s="1575"/>
      <c r="V18" s="1574"/>
      <c r="W18" s="1575"/>
      <c r="X18" s="1568"/>
      <c r="Y18" s="3405"/>
      <c r="Z18" s="1576"/>
      <c r="AA18" s="1577">
        <v>1</v>
      </c>
      <c r="AB18" s="1577">
        <v>1</v>
      </c>
      <c r="AC18" s="1577">
        <v>1</v>
      </c>
    </row>
    <row r="19" spans="1:29" ht="42.75">
      <c r="A19" s="532"/>
      <c r="B19" s="2578" t="s">
        <v>2547</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3</v>
      </c>
      <c r="L19" s="2143"/>
      <c r="M19" s="2135"/>
      <c r="N19" s="2135"/>
      <c r="O19" s="2142"/>
      <c r="P19" s="3405"/>
      <c r="Q19" s="1573" t="str">
        <f>B19</f>
        <v>公共配套设施</v>
      </c>
      <c r="R19" s="1574" t="s">
        <v>11</v>
      </c>
      <c r="S19" s="1575">
        <f>F19</f>
        <v>100</v>
      </c>
      <c r="T19" s="1574" t="s">
        <v>11</v>
      </c>
      <c r="U19" s="1575">
        <f>H19</f>
        <v>100</v>
      </c>
      <c r="V19" s="1574" t="s">
        <v>11</v>
      </c>
      <c r="W19" s="1575">
        <f>J19</f>
        <v>100</v>
      </c>
      <c r="X19" s="1568"/>
      <c r="Y19" s="3405"/>
      <c r="Z19" s="1576" t="str">
        <f>Q19</f>
        <v>公共配套设施</v>
      </c>
      <c r="AA19" s="1577">
        <f t="shared" si="3"/>
        <v>1</v>
      </c>
      <c r="AB19" s="1577">
        <f t="shared" si="4"/>
        <v>1</v>
      </c>
      <c r="AC19" s="1577">
        <f t="shared" si="5"/>
        <v>1</v>
      </c>
    </row>
    <row r="20" spans="1:29" ht="15">
      <c r="A20" s="532"/>
      <c r="B20" s="595"/>
      <c r="C20" s="576" t="str">
        <f>'比较法-住宅、综合'!C30</f>
        <v>较好</v>
      </c>
      <c r="D20" s="555"/>
      <c r="E20" s="556" t="s">
        <v>3337</v>
      </c>
      <c r="F20" s="557"/>
      <c r="G20" s="556" t="s">
        <v>3337</v>
      </c>
      <c r="H20" s="555"/>
      <c r="I20" s="556" t="s">
        <v>3337</v>
      </c>
      <c r="J20" s="555"/>
      <c r="K20" s="870"/>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3"/>
      <c r="M21" s="2135"/>
      <c r="N21" s="2135"/>
      <c r="O21" s="2142"/>
      <c r="P21" s="3405"/>
      <c r="Q21" s="2557" t="str">
        <f>B21</f>
        <v>基础设施水平</v>
      </c>
      <c r="R21" s="1574" t="s">
        <v>11</v>
      </c>
      <c r="S21" s="1575">
        <f>F21</f>
        <v>100</v>
      </c>
      <c r="T21" s="1574" t="s">
        <v>11</v>
      </c>
      <c r="U21" s="1575">
        <f>H21</f>
        <v>100</v>
      </c>
      <c r="V21" s="1574" t="s">
        <v>11</v>
      </c>
      <c r="W21" s="1575">
        <f>J21</f>
        <v>100</v>
      </c>
      <c r="X21" s="2559"/>
      <c r="Y21" s="3405"/>
      <c r="Z21" s="2558" t="str">
        <f>Q21</f>
        <v>基础设施水平</v>
      </c>
      <c r="AA21" s="1577">
        <f t="shared" ref="AA21" si="8">D21/F21</f>
        <v>1</v>
      </c>
      <c r="AB21" s="1577">
        <f t="shared" ref="AB21" si="9">D21/H21</f>
        <v>1</v>
      </c>
      <c r="AC21" s="1577">
        <f t="shared" ref="AC21" si="10">D21/J21</f>
        <v>1</v>
      </c>
    </row>
    <row r="22" spans="1:29" ht="15">
      <c r="A22" s="532"/>
      <c r="B22" s="922"/>
      <c r="C22" s="873" t="str">
        <f>'比较法-住宅、综合'!C32</f>
        <v>六通</v>
      </c>
      <c r="D22" s="555"/>
      <c r="E22" s="576" t="s">
        <v>3354</v>
      </c>
      <c r="F22" s="557"/>
      <c r="G22" s="576" t="s">
        <v>3354</v>
      </c>
      <c r="H22" s="555"/>
      <c r="I22" s="576" t="s">
        <v>3354</v>
      </c>
      <c r="J22" s="555"/>
      <c r="K22" s="2577"/>
      <c r="L22" s="2143"/>
      <c r="M22" s="2135"/>
      <c r="N22" s="2135"/>
      <c r="O22" s="2142"/>
      <c r="P22" s="3405"/>
      <c r="Q22" s="2557"/>
      <c r="R22" s="1574"/>
      <c r="S22" s="1575"/>
      <c r="T22" s="1574"/>
      <c r="U22" s="1575"/>
      <c r="V22" s="1574"/>
      <c r="W22" s="1575"/>
      <c r="X22" s="2559"/>
      <c r="Y22" s="3405"/>
      <c r="Z22" s="2558"/>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2"/>
      <c r="H23" s="559">
        <f>SUMIF(84:84,G24,85:85)-SUMIF(84:84,C24,85:85)+100</f>
        <v>100</v>
      </c>
      <c r="I23" s="562"/>
      <c r="J23" s="559">
        <f>SUMIF(84:84,I24,85:85)-SUMIF(84:84,C24,85:85)+100</f>
        <v>100</v>
      </c>
      <c r="K23" s="868">
        <v>3</v>
      </c>
      <c r="L23" s="2143"/>
      <c r="M23" s="2135"/>
      <c r="N23" s="2135"/>
      <c r="O23" s="2142"/>
      <c r="P23" s="3405"/>
      <c r="Q23" s="1573" t="str">
        <f>B23</f>
        <v>自然及人文环境</v>
      </c>
      <c r="R23" s="1574" t="s">
        <v>11</v>
      </c>
      <c r="S23" s="1575">
        <f>F23</f>
        <v>100</v>
      </c>
      <c r="T23" s="1574" t="s">
        <v>11</v>
      </c>
      <c r="U23" s="1575">
        <f>H23</f>
        <v>100</v>
      </c>
      <c r="V23" s="1574" t="s">
        <v>11</v>
      </c>
      <c r="W23" s="1575">
        <f>J23</f>
        <v>100</v>
      </c>
      <c r="X23" s="1568"/>
      <c r="Y23" s="3405"/>
      <c r="Z23" s="1576" t="str">
        <f>Q23</f>
        <v>自然及人文环境</v>
      </c>
      <c r="AA23" s="1577">
        <f t="shared" si="3"/>
        <v>1</v>
      </c>
      <c r="AB23" s="1577">
        <f t="shared" si="4"/>
        <v>1</v>
      </c>
      <c r="AC23" s="1577">
        <f t="shared" si="5"/>
        <v>1</v>
      </c>
    </row>
    <row r="24" spans="1:29" ht="15">
      <c r="A24" s="532"/>
      <c r="B24" s="595"/>
      <c r="C24" s="576" t="str">
        <f>'比较法-住宅、综合'!C28</f>
        <v>一般</v>
      </c>
      <c r="D24" s="555"/>
      <c r="E24" s="556" t="s">
        <v>3338</v>
      </c>
      <c r="F24" s="557"/>
      <c r="G24" s="556" t="s">
        <v>3338</v>
      </c>
      <c r="H24" s="555"/>
      <c r="I24" s="556" t="s">
        <v>3338</v>
      </c>
      <c r="J24" s="555"/>
      <c r="K24" s="870"/>
      <c r="L24" s="2143"/>
      <c r="M24" s="2135"/>
      <c r="N24" s="2135"/>
      <c r="O24" s="2142"/>
      <c r="P24" s="3405"/>
      <c r="Q24" s="1573"/>
      <c r="R24" s="1574"/>
      <c r="S24" s="1575"/>
      <c r="T24" s="1574"/>
      <c r="U24" s="1575"/>
      <c r="V24" s="1574"/>
      <c r="W24" s="1575"/>
      <c r="X24" s="1568"/>
      <c r="Y24" s="3405"/>
      <c r="Z24" s="1576"/>
      <c r="AA24" s="1577">
        <v>1</v>
      </c>
      <c r="AB24" s="1577">
        <v>1</v>
      </c>
      <c r="AC24" s="1577">
        <v>1</v>
      </c>
    </row>
    <row r="25" spans="1:29" ht="15">
      <c r="A25" s="532"/>
      <c r="B25" s="1896" t="s">
        <v>2257</v>
      </c>
      <c r="C25" s="574"/>
      <c r="D25" s="540">
        <v>100</v>
      </c>
      <c r="E25" s="874"/>
      <c r="F25" s="575">
        <f>SUMIF(86:86,E25,87:87)-SUMIF(86:86,C25,87:87)+100</f>
        <v>100</v>
      </c>
      <c r="G25" s="874"/>
      <c r="H25" s="540">
        <f>SUMIF(86:86,G25,87:87)-SUMIF(86:86,C25,87:87)+100</f>
        <v>100</v>
      </c>
      <c r="I25" s="874"/>
      <c r="J25" s="540">
        <f>SUMIF(86:86,I25,87:87)-SUMIF(86:86,C25,87:87)+100</f>
        <v>100</v>
      </c>
      <c r="K25" s="864"/>
      <c r="L25" s="2143"/>
      <c r="M25" s="2135"/>
      <c r="N25" s="2135"/>
      <c r="O25" s="2142"/>
      <c r="P25" s="3405"/>
      <c r="Q25" s="1573" t="str">
        <f t="shared" ref="Q25:Q46" si="11">B25</f>
        <v>楼层-1</v>
      </c>
      <c r="R25" s="1574" t="s">
        <v>11</v>
      </c>
      <c r="S25" s="1575">
        <f>F25</f>
        <v>100</v>
      </c>
      <c r="T25" s="1574" t="s">
        <v>11</v>
      </c>
      <c r="U25" s="1575">
        <f>H25</f>
        <v>100</v>
      </c>
      <c r="V25" s="1574" t="s">
        <v>11</v>
      </c>
      <c r="W25" s="1575">
        <f>J25</f>
        <v>100</v>
      </c>
      <c r="X25" s="1568"/>
      <c r="Y25" s="340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5"/>
      <c r="Q26" s="1573" t="str">
        <f t="shared" si="11"/>
        <v>朝向</v>
      </c>
      <c r="R26" s="1574" t="s">
        <v>11</v>
      </c>
      <c r="S26" s="1575">
        <f>F26</f>
        <v>100</v>
      </c>
      <c r="T26" s="1574" t="s">
        <v>11</v>
      </c>
      <c r="U26" s="1575">
        <f>H26</f>
        <v>100</v>
      </c>
      <c r="V26" s="1574" t="s">
        <v>11</v>
      </c>
      <c r="W26" s="1575">
        <f>J26</f>
        <v>100</v>
      </c>
      <c r="X26" s="1568"/>
      <c r="Y26" s="340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5"/>
      <c r="Q27" s="1151" t="str">
        <f t="shared" si="11"/>
        <v>道路级别</v>
      </c>
      <c r="R27" s="1569" t="s">
        <v>11</v>
      </c>
      <c r="S27" s="1570">
        <f>F27</f>
        <v>100</v>
      </c>
      <c r="T27" s="1569" t="s">
        <v>11</v>
      </c>
      <c r="U27" s="1570">
        <f>H27</f>
        <v>100</v>
      </c>
      <c r="V27" s="1569" t="s">
        <v>11</v>
      </c>
      <c r="W27" s="1570">
        <f>J27</f>
        <v>100</v>
      </c>
      <c r="X27" s="1571"/>
      <c r="Y27" s="340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5"/>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5"/>
      <c r="Q29" s="1573">
        <f t="shared" si="11"/>
        <v>111</v>
      </c>
      <c r="R29" s="1574" t="s">
        <v>11</v>
      </c>
      <c r="S29" s="1575">
        <f t="shared" si="12"/>
        <v>100</v>
      </c>
      <c r="T29" s="1574" t="s">
        <v>11</v>
      </c>
      <c r="U29" s="1575">
        <f t="shared" si="13"/>
        <v>100</v>
      </c>
      <c r="V29" s="1574" t="s">
        <v>11</v>
      </c>
      <c r="W29" s="1575">
        <f t="shared" si="14"/>
        <v>100</v>
      </c>
      <c r="X29" s="1568"/>
      <c r="Y29" s="340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5"/>
      <c r="Q30" s="1573">
        <f t="shared" si="11"/>
        <v>111</v>
      </c>
      <c r="R30" s="1574" t="s">
        <v>11</v>
      </c>
      <c r="S30" s="1575">
        <f t="shared" si="12"/>
        <v>100</v>
      </c>
      <c r="T30" s="1574" t="s">
        <v>11</v>
      </c>
      <c r="U30" s="1575">
        <f t="shared" si="13"/>
        <v>100</v>
      </c>
      <c r="V30" s="1574" t="s">
        <v>11</v>
      </c>
      <c r="W30" s="1575">
        <f t="shared" si="14"/>
        <v>100</v>
      </c>
      <c r="X30" s="1568"/>
      <c r="Y30" s="340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5"/>
      <c r="Q31" s="1573">
        <f t="shared" si="11"/>
        <v>111</v>
      </c>
      <c r="R31" s="1574" t="s">
        <v>11</v>
      </c>
      <c r="S31" s="1575">
        <f t="shared" si="12"/>
        <v>100</v>
      </c>
      <c r="T31" s="1574" t="s">
        <v>11</v>
      </c>
      <c r="U31" s="1575">
        <f t="shared" si="13"/>
        <v>100</v>
      </c>
      <c r="V31" s="1574" t="s">
        <v>11</v>
      </c>
      <c r="W31" s="1575">
        <f t="shared" si="14"/>
        <v>100</v>
      </c>
      <c r="X31" s="1568"/>
      <c r="Y31" s="3405"/>
      <c r="Z31" s="1576">
        <f t="shared" si="15"/>
        <v>111</v>
      </c>
      <c r="AA31" s="1577">
        <f t="shared" si="3"/>
        <v>1</v>
      </c>
      <c r="AB31" s="1577">
        <f t="shared" si="4"/>
        <v>1</v>
      </c>
      <c r="AC31" s="1577">
        <f t="shared" si="5"/>
        <v>1</v>
      </c>
    </row>
    <row r="32" spans="1:29" ht="15">
      <c r="A32" s="2884" t="s">
        <v>2756</v>
      </c>
      <c r="B32" s="172" t="s">
        <v>725</v>
      </c>
      <c r="C32" s="878" t="s">
        <v>3369</v>
      </c>
      <c r="D32" s="597">
        <v>100</v>
      </c>
      <c r="E32" s="878" t="s">
        <v>3369</v>
      </c>
      <c r="F32" s="575">
        <f>SUMIF(100:100,E32,101:101)-SUMIF(100:100,C32,101:101)+100</f>
        <v>100</v>
      </c>
      <c r="G32" s="878" t="s">
        <v>3369</v>
      </c>
      <c r="H32" s="597">
        <f>SUMIF(100:100,G32,101:101)-SUMIF(100:100,C32,101:101)+100</f>
        <v>100</v>
      </c>
      <c r="I32" s="879" t="s">
        <v>3369</v>
      </c>
      <c r="J32" s="540">
        <f>SUMIF(100:100,I32,101:101)-SUMIF(100:100,C32,101:101)+100</f>
        <v>100</v>
      </c>
      <c r="K32" s="864">
        <v>5</v>
      </c>
      <c r="L32" s="2143"/>
      <c r="M32" s="2135"/>
      <c r="N32" s="2135"/>
      <c r="O32" s="2142"/>
      <c r="P32" s="3406" t="s">
        <v>550</v>
      </c>
      <c r="Q32" s="1573" t="str">
        <f t="shared" si="11"/>
        <v>建筑类型</v>
      </c>
      <c r="R32" s="1574" t="s">
        <v>11</v>
      </c>
      <c r="S32" s="1575">
        <f t="shared" si="12"/>
        <v>100</v>
      </c>
      <c r="T32" s="1574" t="s">
        <v>11</v>
      </c>
      <c r="U32" s="1575">
        <f t="shared" si="13"/>
        <v>100</v>
      </c>
      <c r="V32" s="1574" t="s">
        <v>11</v>
      </c>
      <c r="W32" s="1575">
        <f t="shared" si="14"/>
        <v>100</v>
      </c>
      <c r="X32" s="1568"/>
      <c r="Y32" s="3407" t="s">
        <v>550</v>
      </c>
      <c r="Z32" s="1576" t="str">
        <f t="shared" si="15"/>
        <v>建筑类型</v>
      </c>
      <c r="AA32" s="1577">
        <f t="shared" si="3"/>
        <v>1</v>
      </c>
      <c r="AB32" s="1577">
        <f t="shared" si="4"/>
        <v>1</v>
      </c>
      <c r="AC32" s="1577">
        <f t="shared" si="5"/>
        <v>1</v>
      </c>
    </row>
    <row r="33" spans="1:29" s="1339" customFormat="1" ht="15">
      <c r="A33" s="603"/>
      <c r="B33" s="527" t="s">
        <v>726</v>
      </c>
      <c r="C33" s="880">
        <f>'数据-汇总表'!E3</f>
        <v>183566.61000000002</v>
      </c>
      <c r="D33" s="255">
        <v>100</v>
      </c>
      <c r="E33" s="880">
        <v>177964.97</v>
      </c>
      <c r="F33" s="863">
        <f>LOOKUP(E33,103:103,104:104)-LOOKUP(C33,103:103,104:104)+100</f>
        <v>100</v>
      </c>
      <c r="G33" s="880">
        <v>169000</v>
      </c>
      <c r="H33" s="255">
        <f>LOOKUP(G33,103:103,104:104)-LOOKUP(C33,103:103,104:104)+100</f>
        <v>100</v>
      </c>
      <c r="I33" s="534">
        <v>83662</v>
      </c>
      <c r="J33" s="255">
        <f>LOOKUP(I33,103:103,104:104)-LOOKUP(C33,103:103,104:104)+100</f>
        <v>98</v>
      </c>
      <c r="K33" s="865"/>
      <c r="L33" s="2141"/>
      <c r="M33" s="2172"/>
      <c r="N33" s="2172"/>
      <c r="O33" s="2144"/>
      <c r="P33" s="3407"/>
      <c r="Q33" s="1606" t="str">
        <f t="shared" si="11"/>
        <v>项目建筑规模</v>
      </c>
      <c r="R33" s="1578" t="s">
        <v>11</v>
      </c>
      <c r="S33" s="1579">
        <f t="shared" si="12"/>
        <v>100</v>
      </c>
      <c r="T33" s="1578" t="s">
        <v>11</v>
      </c>
      <c r="U33" s="1579">
        <f t="shared" si="13"/>
        <v>100</v>
      </c>
      <c r="V33" s="1578" t="s">
        <v>11</v>
      </c>
      <c r="W33" s="1579">
        <f t="shared" si="14"/>
        <v>98</v>
      </c>
      <c r="X33" s="1580"/>
      <c r="Y33" s="3407"/>
      <c r="Z33" s="1581" t="str">
        <f t="shared" si="15"/>
        <v>项目建筑规模</v>
      </c>
      <c r="AA33" s="1577">
        <f t="shared" si="3"/>
        <v>1</v>
      </c>
      <c r="AB33" s="1577">
        <f t="shared" si="4"/>
        <v>1</v>
      </c>
      <c r="AC33" s="1577">
        <f t="shared" si="5"/>
        <v>1.0204081632653061</v>
      </c>
    </row>
    <row r="34" spans="1:29" ht="15">
      <c r="A34" s="594"/>
      <c r="B34" s="527" t="s">
        <v>727</v>
      </c>
      <c r="C34" s="881" t="s">
        <v>3028</v>
      </c>
      <c r="D34" s="540">
        <v>100</v>
      </c>
      <c r="E34" s="881" t="s">
        <v>3028</v>
      </c>
      <c r="F34" s="575">
        <f>SUMIF(105:105,E34,106:106)-SUMIF(105:105,C34,106:106)+100</f>
        <v>100</v>
      </c>
      <c r="G34" s="881" t="s">
        <v>3028</v>
      </c>
      <c r="H34" s="540">
        <f>SUMIF(105:105,G34,106:106)-SUMIF(105:105,C34,106:106)+100</f>
        <v>100</v>
      </c>
      <c r="I34" s="881" t="s">
        <v>3028</v>
      </c>
      <c r="J34" s="540">
        <f>SUMIF(105:105,I34,106:106)-SUMIF(105:105,C34,106:106)+100</f>
        <v>100</v>
      </c>
      <c r="K34" s="864">
        <v>5</v>
      </c>
      <c r="L34" s="2143"/>
      <c r="M34" s="2135"/>
      <c r="N34" s="2135"/>
      <c r="O34" s="2142"/>
      <c r="P34" s="3407"/>
      <c r="Q34" s="1573" t="str">
        <f t="shared" si="11"/>
        <v>建筑结构</v>
      </c>
      <c r="R34" s="1574" t="s">
        <v>11</v>
      </c>
      <c r="S34" s="1575">
        <f t="shared" si="12"/>
        <v>100</v>
      </c>
      <c r="T34" s="1574" t="s">
        <v>11</v>
      </c>
      <c r="U34" s="1575">
        <f t="shared" si="13"/>
        <v>100</v>
      </c>
      <c r="V34" s="1574" t="s">
        <v>11</v>
      </c>
      <c r="W34" s="1575">
        <f t="shared" si="14"/>
        <v>100</v>
      </c>
      <c r="X34" s="1568"/>
      <c r="Y34" s="3407"/>
      <c r="Z34" s="1576" t="str">
        <f t="shared" si="15"/>
        <v>建筑结构</v>
      </c>
      <c r="AA34" s="1577">
        <f t="shared" si="3"/>
        <v>1</v>
      </c>
      <c r="AB34" s="1577">
        <f t="shared" si="4"/>
        <v>1</v>
      </c>
      <c r="AC34" s="1577">
        <f t="shared" si="5"/>
        <v>1</v>
      </c>
    </row>
    <row r="35" spans="1:29" ht="15">
      <c r="A35" s="594"/>
      <c r="B35" s="527" t="s">
        <v>728</v>
      </c>
      <c r="C35" s="599" t="s">
        <v>3373</v>
      </c>
      <c r="D35" s="540">
        <v>100</v>
      </c>
      <c r="E35" s="599" t="s">
        <v>3373</v>
      </c>
      <c r="F35" s="575">
        <f>SUMIF(107:107,E35,108:108)-SUMIF(107:107,C35,108:108)+100</f>
        <v>100</v>
      </c>
      <c r="G35" s="599" t="s">
        <v>3373</v>
      </c>
      <c r="H35" s="540">
        <f>SUMIF(107:107,G35,108:108)-SUMIF(107:107,C35,108:108)+100</f>
        <v>100</v>
      </c>
      <c r="I35" s="599" t="s">
        <v>3373</v>
      </c>
      <c r="J35" s="540">
        <f>SUMIF(107:107,I35,108:108)-SUMIF(107:107,C35,108:108)+100</f>
        <v>100</v>
      </c>
      <c r="K35" s="864">
        <v>5</v>
      </c>
      <c r="L35" s="2143"/>
      <c r="M35" s="2135"/>
      <c r="N35" s="2135"/>
      <c r="O35" s="2142"/>
      <c r="P35" s="3407"/>
      <c r="Q35" s="1573" t="str">
        <f t="shared" si="11"/>
        <v>建筑品质</v>
      </c>
      <c r="R35" s="1574" t="s">
        <v>11</v>
      </c>
      <c r="S35" s="1575">
        <f t="shared" si="12"/>
        <v>100</v>
      </c>
      <c r="T35" s="1574" t="s">
        <v>11</v>
      </c>
      <c r="U35" s="1575">
        <f t="shared" si="13"/>
        <v>100</v>
      </c>
      <c r="V35" s="1574" t="s">
        <v>11</v>
      </c>
      <c r="W35" s="1575">
        <f t="shared" si="14"/>
        <v>100</v>
      </c>
      <c r="X35" s="1568"/>
      <c r="Y35" s="3407"/>
      <c r="Z35" s="1576" t="str">
        <f t="shared" si="15"/>
        <v>建筑品质</v>
      </c>
      <c r="AA35" s="1577">
        <f t="shared" si="3"/>
        <v>1</v>
      </c>
      <c r="AB35" s="1577">
        <f t="shared" si="4"/>
        <v>1</v>
      </c>
      <c r="AC35" s="1577">
        <f t="shared" si="5"/>
        <v>1</v>
      </c>
    </row>
    <row r="36" spans="1:29" ht="15">
      <c r="A36" s="594"/>
      <c r="B36" s="527" t="s">
        <v>729</v>
      </c>
      <c r="C36" s="599" t="s">
        <v>3376</v>
      </c>
      <c r="D36" s="540">
        <v>100</v>
      </c>
      <c r="E36" s="599" t="s">
        <v>3376</v>
      </c>
      <c r="F36" s="575">
        <f>SUMIF(109:109,E36,110:110)-SUMIF(109:109,C36,110:110)+100</f>
        <v>100</v>
      </c>
      <c r="G36" s="599" t="s">
        <v>3376</v>
      </c>
      <c r="H36" s="540">
        <f>SUMIF(109:109,G36,110:110)-SUMIF(109:109,C36,110:110)+100</f>
        <v>100</v>
      </c>
      <c r="I36" s="599" t="s">
        <v>3376</v>
      </c>
      <c r="J36" s="540">
        <f>SUMIF(109:109,I36,110:110)-SUMIF(109:109,C36,110:110)+100</f>
        <v>100</v>
      </c>
      <c r="K36" s="864">
        <v>2</v>
      </c>
      <c r="L36" s="2143"/>
      <c r="M36" s="2135"/>
      <c r="N36" s="2135"/>
      <c r="O36" s="2142"/>
      <c r="P36" s="3407"/>
      <c r="Q36" s="1573" t="str">
        <f t="shared" si="11"/>
        <v>公共部分装修</v>
      </c>
      <c r="R36" s="1574" t="s">
        <v>11</v>
      </c>
      <c r="S36" s="1575">
        <f t="shared" si="12"/>
        <v>100</v>
      </c>
      <c r="T36" s="1574" t="s">
        <v>11</v>
      </c>
      <c r="U36" s="1575">
        <f t="shared" si="13"/>
        <v>100</v>
      </c>
      <c r="V36" s="1574" t="s">
        <v>11</v>
      </c>
      <c r="W36" s="1575">
        <f t="shared" si="14"/>
        <v>100</v>
      </c>
      <c r="X36" s="1568"/>
      <c r="Y36" s="3407"/>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6"/>
      <c r="M37" s="2137"/>
      <c r="N37" s="2137"/>
      <c r="O37" s="2138"/>
      <c r="P37" s="3407"/>
      <c r="Q37" s="1151" t="str">
        <f t="shared" si="11"/>
        <v>成新度</v>
      </c>
      <c r="R37" s="1569" t="s">
        <v>11</v>
      </c>
      <c r="S37" s="1570">
        <f t="shared" si="12"/>
        <v>100</v>
      </c>
      <c r="T37" s="1569" t="s">
        <v>11</v>
      </c>
      <c r="U37" s="1570">
        <f t="shared" si="13"/>
        <v>100</v>
      </c>
      <c r="V37" s="1569" t="s">
        <v>11</v>
      </c>
      <c r="W37" s="1570">
        <f t="shared" si="14"/>
        <v>100</v>
      </c>
      <c r="X37" s="1571"/>
      <c r="Y37" s="3407"/>
      <c r="Z37" s="1150" t="str">
        <f t="shared" si="15"/>
        <v>成新度</v>
      </c>
      <c r="AA37" s="1572">
        <f t="shared" si="3"/>
        <v>1</v>
      </c>
      <c r="AB37" s="1572">
        <f t="shared" si="4"/>
        <v>1</v>
      </c>
      <c r="AC37" s="1572">
        <f t="shared" si="5"/>
        <v>1</v>
      </c>
    </row>
    <row r="38" spans="1:29" ht="15">
      <c r="A38" s="594"/>
      <c r="B38" s="3196" t="s">
        <v>731</v>
      </c>
      <c r="C38" s="3197" t="s">
        <v>3379</v>
      </c>
      <c r="D38" s="3198">
        <v>100</v>
      </c>
      <c r="E38" s="3197" t="s">
        <v>3379</v>
      </c>
      <c r="F38" s="3199">
        <f>SUMIF(114:114,E38,115:115)-SUMIF(114:114,C38,115:115)+100</f>
        <v>100</v>
      </c>
      <c r="G38" s="3197" t="s">
        <v>3379</v>
      </c>
      <c r="H38" s="3198">
        <f>SUMIF(114:114,G38,115:115)-SUMIF(114:114,C38,115:115)+100</f>
        <v>100</v>
      </c>
      <c r="I38" s="3197" t="s">
        <v>3379</v>
      </c>
      <c r="J38" s="3198">
        <f>SUMIF(114:114,I38,115:115)-SUMIF(114:114,C38,115:115)+100</f>
        <v>100</v>
      </c>
      <c r="K38" s="3200">
        <v>3</v>
      </c>
      <c r="L38" s="2143"/>
      <c r="M38" s="2135"/>
      <c r="N38" s="2135"/>
      <c r="O38" s="2142"/>
      <c r="P38" s="3407" t="s">
        <v>550</v>
      </c>
      <c r="Q38" s="1573" t="str">
        <f t="shared" si="11"/>
        <v>物业管理</v>
      </c>
      <c r="R38" s="1574" t="s">
        <v>11</v>
      </c>
      <c r="S38" s="1575">
        <f t="shared" si="12"/>
        <v>100</v>
      </c>
      <c r="T38" s="1574" t="s">
        <v>11</v>
      </c>
      <c r="U38" s="1575">
        <f t="shared" si="13"/>
        <v>100</v>
      </c>
      <c r="V38" s="1574" t="s">
        <v>11</v>
      </c>
      <c r="W38" s="1575">
        <f t="shared" si="14"/>
        <v>100</v>
      </c>
      <c r="X38" s="1568"/>
      <c r="Y38" s="3407" t="s">
        <v>550</v>
      </c>
      <c r="Z38" s="1576" t="str">
        <f t="shared" si="15"/>
        <v>物业管理</v>
      </c>
      <c r="AA38" s="1577">
        <f t="shared" si="3"/>
        <v>1</v>
      </c>
      <c r="AB38" s="1577">
        <f t="shared" si="4"/>
        <v>1</v>
      </c>
      <c r="AC38" s="1577">
        <f t="shared" si="5"/>
        <v>1</v>
      </c>
    </row>
    <row r="39" spans="1:29" ht="15">
      <c r="A39" s="594"/>
      <c r="B39" s="1896" t="s">
        <v>2565</v>
      </c>
      <c r="C39" s="599" t="s">
        <v>3354</v>
      </c>
      <c r="D39" s="540">
        <v>100</v>
      </c>
      <c r="E39" s="599" t="s">
        <v>3354</v>
      </c>
      <c r="F39" s="575">
        <f>SUMIF(116:116,E39,117:117)-SUMIF(116:116,C39,117:117)+100</f>
        <v>100</v>
      </c>
      <c r="G39" s="599" t="s">
        <v>3354</v>
      </c>
      <c r="H39" s="540">
        <f>SUMIF(116:116,G39,117:117)-SUMIF(116:116,C39,117:117)+100</f>
        <v>100</v>
      </c>
      <c r="I39" s="599" t="s">
        <v>3354</v>
      </c>
      <c r="J39" s="540">
        <f>SUMIF(116:116,I39,117:117)-SUMIF(116:116,C39,117:117)+100</f>
        <v>100</v>
      </c>
      <c r="K39" s="864">
        <v>1</v>
      </c>
      <c r="L39" s="2143"/>
      <c r="M39" s="2135"/>
      <c r="N39" s="2135"/>
      <c r="O39" s="2142"/>
      <c r="P39" s="3407"/>
      <c r="Q39" s="1573" t="str">
        <f t="shared" si="11"/>
        <v>市政基础设施</v>
      </c>
      <c r="R39" s="1574" t="s">
        <v>11</v>
      </c>
      <c r="S39" s="1575">
        <f t="shared" si="12"/>
        <v>100</v>
      </c>
      <c r="T39" s="1574" t="s">
        <v>11</v>
      </c>
      <c r="U39" s="1575">
        <f t="shared" si="13"/>
        <v>100</v>
      </c>
      <c r="V39" s="1574" t="s">
        <v>11</v>
      </c>
      <c r="W39" s="1575">
        <f t="shared" si="14"/>
        <v>100</v>
      </c>
      <c r="X39" s="1568"/>
      <c r="Y39" s="3407"/>
      <c r="Z39" s="1576" t="str">
        <f t="shared" si="15"/>
        <v>市政基础设施</v>
      </c>
      <c r="AA39" s="1577">
        <f t="shared" si="3"/>
        <v>1</v>
      </c>
      <c r="AB39" s="1577">
        <f t="shared" si="4"/>
        <v>1</v>
      </c>
      <c r="AC39" s="1577">
        <f t="shared" si="5"/>
        <v>1</v>
      </c>
    </row>
    <row r="40" spans="1:29" ht="15">
      <c r="A40" s="594"/>
      <c r="B40" s="527" t="s">
        <v>732</v>
      </c>
      <c r="C40" s="599" t="s">
        <v>3371</v>
      </c>
      <c r="D40" s="540">
        <v>100</v>
      </c>
      <c r="E40" s="599" t="s">
        <v>3371</v>
      </c>
      <c r="F40" s="575">
        <f>SUMIF(118:118,E40,119:119)-SUMIF(118:118,C40,119:119)+100</f>
        <v>100</v>
      </c>
      <c r="G40" s="599" t="s">
        <v>3371</v>
      </c>
      <c r="H40" s="540">
        <f>SUMIF(118:118,G40,119:119)-SUMIF(118:118,C40,119:119)+100</f>
        <v>100</v>
      </c>
      <c r="I40" s="599" t="s">
        <v>3371</v>
      </c>
      <c r="J40" s="540">
        <f>SUMIF(118:118,I40,119:119)-SUMIF(118:118,C40,119:119)+100</f>
        <v>100</v>
      </c>
      <c r="K40" s="864">
        <v>3</v>
      </c>
      <c r="L40" s="2143"/>
      <c r="M40" s="2135"/>
      <c r="N40" s="2135"/>
      <c r="O40" s="2142"/>
      <c r="P40" s="3407"/>
      <c r="Q40" s="1573" t="str">
        <f t="shared" si="11"/>
        <v>房型</v>
      </c>
      <c r="R40" s="1574" t="s">
        <v>11</v>
      </c>
      <c r="S40" s="1575">
        <f t="shared" si="12"/>
        <v>100</v>
      </c>
      <c r="T40" s="1574" t="s">
        <v>11</v>
      </c>
      <c r="U40" s="1575">
        <f t="shared" si="13"/>
        <v>100</v>
      </c>
      <c r="V40" s="1574" t="s">
        <v>11</v>
      </c>
      <c r="W40" s="1575">
        <f t="shared" si="14"/>
        <v>100</v>
      </c>
      <c r="X40" s="1568"/>
      <c r="Y40" s="3407"/>
      <c r="Z40" s="1576" t="str">
        <f t="shared" si="15"/>
        <v>房型</v>
      </c>
      <c r="AA40" s="1577">
        <f t="shared" si="3"/>
        <v>1</v>
      </c>
      <c r="AB40" s="1577">
        <f t="shared" si="4"/>
        <v>1</v>
      </c>
      <c r="AC40" s="1577">
        <f t="shared" si="5"/>
        <v>1</v>
      </c>
    </row>
    <row r="41" spans="1:29" s="1339" customFormat="1" ht="28.5">
      <c r="A41" s="603"/>
      <c r="B41" s="527" t="s">
        <v>733</v>
      </c>
      <c r="C41" s="880" t="s">
        <v>3394</v>
      </c>
      <c r="D41" s="255">
        <v>100</v>
      </c>
      <c r="E41" s="880" t="s">
        <v>3395</v>
      </c>
      <c r="F41" s="863">
        <f>SUMIF(120:120,E41,121:121)-SUMIF(120:120,C41,121:121)+100</f>
        <v>97</v>
      </c>
      <c r="G41" s="880" t="s">
        <v>3396</v>
      </c>
      <c r="H41" s="255">
        <f>SUMIF(120:120,G41,121:121)-SUMIF(120:120,C41,121:121)+100</f>
        <v>97</v>
      </c>
      <c r="I41" s="880">
        <v>160</v>
      </c>
      <c r="J41" s="540">
        <f>SUMIF(120:120,I41,121:121)-SUMIF(120:120,C41,121:121)+100</f>
        <v>97</v>
      </c>
      <c r="K41" s="865"/>
      <c r="L41" s="2141"/>
      <c r="M41" s="2172"/>
      <c r="N41" s="2172"/>
      <c r="O41" s="2144"/>
      <c r="P41" s="3407"/>
      <c r="Q41" s="1606" t="str">
        <f t="shared" si="11"/>
        <v>单套/主力户型建筑面积</v>
      </c>
      <c r="R41" s="1578" t="s">
        <v>11</v>
      </c>
      <c r="S41" s="1579">
        <f t="shared" si="12"/>
        <v>97</v>
      </c>
      <c r="T41" s="1578" t="s">
        <v>11</v>
      </c>
      <c r="U41" s="1579">
        <f t="shared" si="13"/>
        <v>97</v>
      </c>
      <c r="V41" s="1578" t="s">
        <v>11</v>
      </c>
      <c r="W41" s="1579">
        <f t="shared" si="14"/>
        <v>97</v>
      </c>
      <c r="X41" s="1580"/>
      <c r="Y41" s="3407"/>
      <c r="Z41" s="1581" t="str">
        <f t="shared" si="15"/>
        <v>单套/主力户型建筑面积</v>
      </c>
      <c r="AA41" s="1577">
        <f t="shared" si="3"/>
        <v>1.0309278350515463</v>
      </c>
      <c r="AB41" s="1577">
        <f t="shared" si="4"/>
        <v>1.0309278350515463</v>
      </c>
      <c r="AC41" s="1577">
        <f t="shared" si="5"/>
        <v>1.0309278350515463</v>
      </c>
    </row>
    <row r="42" spans="1:29" ht="15.75" thickBot="1">
      <c r="A42" s="594"/>
      <c r="B42" s="527" t="s">
        <v>734</v>
      </c>
      <c r="C42" s="599" t="s">
        <v>3376</v>
      </c>
      <c r="D42" s="540">
        <v>100</v>
      </c>
      <c r="E42" s="599" t="s">
        <v>3376</v>
      </c>
      <c r="F42" s="575">
        <f>SUMIF(122:122,E42,123:123)-SUMIF(122:122,C42,123:123)+100</f>
        <v>100</v>
      </c>
      <c r="G42" s="599" t="s">
        <v>3376</v>
      </c>
      <c r="H42" s="540">
        <f>SUMIF(122:122,G42,123:123)-SUMIF(122:122,C42,123:123)+100</f>
        <v>100</v>
      </c>
      <c r="I42" s="599" t="s">
        <v>3376</v>
      </c>
      <c r="J42" s="540">
        <f>SUMIF(122:122,I42,123:123)-SUMIF(122:122,C42,123:123)+100</f>
        <v>100</v>
      </c>
      <c r="K42" s="864">
        <v>3</v>
      </c>
      <c r="L42" s="2143"/>
      <c r="M42" s="2135"/>
      <c r="N42" s="2135"/>
      <c r="O42" s="2142"/>
      <c r="P42" s="3407"/>
      <c r="Q42" s="1573" t="str">
        <f t="shared" si="11"/>
        <v>内部装修</v>
      </c>
      <c r="R42" s="1574" t="s">
        <v>11</v>
      </c>
      <c r="S42" s="1575">
        <f t="shared" si="12"/>
        <v>100</v>
      </c>
      <c r="T42" s="1574" t="s">
        <v>11</v>
      </c>
      <c r="U42" s="1575">
        <f t="shared" si="13"/>
        <v>100</v>
      </c>
      <c r="V42" s="1574" t="s">
        <v>11</v>
      </c>
      <c r="W42" s="1575">
        <f t="shared" si="14"/>
        <v>100</v>
      </c>
      <c r="X42" s="1568"/>
      <c r="Y42" s="3407"/>
      <c r="Z42" s="1576" t="str">
        <f t="shared" si="15"/>
        <v>内部装修</v>
      </c>
      <c r="AA42" s="1577">
        <f t="shared" si="3"/>
        <v>1</v>
      </c>
      <c r="AB42" s="1577">
        <f t="shared" si="4"/>
        <v>1</v>
      </c>
      <c r="AC42" s="1577">
        <f t="shared" si="5"/>
        <v>1</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7"/>
      <c r="Q43" s="1573" t="str">
        <f t="shared" si="11"/>
        <v>内部装修维护情况</v>
      </c>
      <c r="R43" s="1574" t="s">
        <v>11</v>
      </c>
      <c r="S43" s="1575">
        <f t="shared" si="12"/>
        <v>100</v>
      </c>
      <c r="T43" s="1574" t="s">
        <v>11</v>
      </c>
      <c r="U43" s="1575">
        <f t="shared" si="13"/>
        <v>100</v>
      </c>
      <c r="V43" s="1574" t="s">
        <v>11</v>
      </c>
      <c r="W43" s="1575">
        <f t="shared" si="14"/>
        <v>100</v>
      </c>
      <c r="X43" s="1568"/>
      <c r="Y43" s="3407"/>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7"/>
      <c r="Q44" s="1151">
        <f t="shared" si="11"/>
        <v>111</v>
      </c>
      <c r="R44" s="1569" t="s">
        <v>11</v>
      </c>
      <c r="S44" s="1570">
        <f t="shared" si="12"/>
        <v>100</v>
      </c>
      <c r="T44" s="1569" t="s">
        <v>11</v>
      </c>
      <c r="U44" s="1570">
        <f t="shared" si="13"/>
        <v>100</v>
      </c>
      <c r="V44" s="1569" t="s">
        <v>11</v>
      </c>
      <c r="W44" s="1570">
        <f t="shared" si="14"/>
        <v>100</v>
      </c>
      <c r="X44" s="1571"/>
      <c r="Y44" s="3407"/>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7"/>
      <c r="Q45" s="1573">
        <f t="shared" si="11"/>
        <v>111</v>
      </c>
      <c r="R45" s="1574" t="s">
        <v>11</v>
      </c>
      <c r="S45" s="1575">
        <f t="shared" si="12"/>
        <v>100</v>
      </c>
      <c r="T45" s="1574" t="s">
        <v>11</v>
      </c>
      <c r="U45" s="1575">
        <f t="shared" si="13"/>
        <v>100</v>
      </c>
      <c r="V45" s="1574" t="s">
        <v>11</v>
      </c>
      <c r="W45" s="1575">
        <f t="shared" si="14"/>
        <v>100</v>
      </c>
      <c r="X45" s="1568"/>
      <c r="Y45" s="3407"/>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85"/>
      <c r="Q46" s="1573">
        <f t="shared" si="11"/>
        <v>111</v>
      </c>
      <c r="R46" s="1574" t="s">
        <v>10</v>
      </c>
      <c r="S46" s="1575">
        <f t="shared" si="12"/>
        <v>100</v>
      </c>
      <c r="T46" s="1574" t="s">
        <v>10</v>
      </c>
      <c r="U46" s="1575">
        <f t="shared" si="13"/>
        <v>100</v>
      </c>
      <c r="V46" s="1574" t="s">
        <v>10</v>
      </c>
      <c r="W46" s="1575">
        <f t="shared" si="14"/>
        <v>100</v>
      </c>
      <c r="X46" s="1568"/>
      <c r="Y46" s="3485"/>
      <c r="Z46" s="1576">
        <f t="shared" si="15"/>
        <v>111</v>
      </c>
      <c r="AA46" s="1577">
        <f t="shared" si="3"/>
        <v>1</v>
      </c>
      <c r="AB46" s="1577">
        <f t="shared" si="4"/>
        <v>1</v>
      </c>
      <c r="AC46" s="1577">
        <f t="shared" si="5"/>
        <v>1</v>
      </c>
    </row>
    <row r="47" spans="1:29" ht="15">
      <c r="A47" s="607" t="s">
        <v>736</v>
      </c>
      <c r="B47" s="887"/>
      <c r="C47" s="2605" t="s">
        <v>9</v>
      </c>
      <c r="D47" s="2606"/>
      <c r="E47" s="2607">
        <v>38000</v>
      </c>
      <c r="F47" s="2608"/>
      <c r="G47" s="2609">
        <v>38000</v>
      </c>
      <c r="H47" s="2610"/>
      <c r="I47" s="2607">
        <v>35000</v>
      </c>
      <c r="J47" s="2610"/>
      <c r="K47" s="1607"/>
      <c r="L47" s="2145"/>
      <c r="M47" s="2146"/>
      <c r="N47" s="2135"/>
      <c r="O47" s="2146"/>
      <c r="P47" s="3370" t="str">
        <f>A47</f>
        <v>成交单价（元/平方米）</v>
      </c>
      <c r="Q47" s="3370"/>
      <c r="R47" s="3484">
        <f>E47</f>
        <v>38000</v>
      </c>
      <c r="S47" s="3484"/>
      <c r="T47" s="3484">
        <f>G47</f>
        <v>38000</v>
      </c>
      <c r="U47" s="3484"/>
      <c r="V47" s="3484">
        <f>I47</f>
        <v>35000</v>
      </c>
      <c r="W47" s="3484"/>
      <c r="X47" s="1560"/>
      <c r="Y47" s="1582"/>
      <c r="Z47" s="1560"/>
      <c r="AA47" s="1560"/>
      <c r="AB47" s="1560"/>
      <c r="AC47" s="1560"/>
    </row>
    <row r="48" spans="1:29" ht="15.75" thickBot="1">
      <c r="A48" s="615" t="s">
        <v>2761</v>
      </c>
      <c r="B48" s="888"/>
      <c r="C48" s="2611">
        <f>R49</f>
        <v>39161</v>
      </c>
      <c r="D48" s="2612"/>
      <c r="E48" s="2613">
        <f>R48</f>
        <v>39175</v>
      </c>
      <c r="F48" s="2613"/>
      <c r="G48" s="2611">
        <f>T48</f>
        <v>39175</v>
      </c>
      <c r="H48" s="2612"/>
      <c r="I48" s="2613">
        <f>V48</f>
        <v>39132</v>
      </c>
      <c r="J48" s="2612"/>
      <c r="K48" s="1608"/>
      <c r="L48" s="2145"/>
      <c r="M48" s="2146"/>
      <c r="N48" s="2146"/>
      <c r="O48" s="2146"/>
      <c r="P48" s="3370" t="str">
        <f>A48</f>
        <v>比较价格（元/平方米）</v>
      </c>
      <c r="Q48" s="3370"/>
      <c r="R48" s="3484">
        <f>IF(F1="售价",ROUND(PRODUCT(R47,AA7:AA46),0),ROUND(PRODUCT(R47,AA7:AA46),1))</f>
        <v>39175</v>
      </c>
      <c r="S48" s="3484"/>
      <c r="T48" s="3484">
        <f>IF(F1="售价",ROUND(PRODUCT(T47,AB7:AB46),0),ROUND(PRODUCT(T47,AB7:AB46),1))</f>
        <v>39175</v>
      </c>
      <c r="U48" s="3484"/>
      <c r="V48" s="3484">
        <f>IF(F1="售价",ROUND(PRODUCT(V47,AC7:AC46),0),ROUND(PRODUCT(V47,AC7:AC46),1))</f>
        <v>39132</v>
      </c>
      <c r="W48" s="3484"/>
      <c r="X48" s="1560"/>
      <c r="Y48" s="1560"/>
      <c r="Z48" s="1560"/>
      <c r="AA48" s="1560"/>
      <c r="AB48" s="1560"/>
      <c r="AC48" s="1560"/>
    </row>
    <row r="49" spans="1:29" ht="15.75" thickBot="1">
      <c r="A49" s="621" t="s">
        <v>2936</v>
      </c>
      <c r="B49" s="622"/>
      <c r="C49" s="2614">
        <f>R49</f>
        <v>39161</v>
      </c>
      <c r="D49" s="2614"/>
      <c r="E49" s="2614"/>
      <c r="F49" s="2614"/>
      <c r="G49" s="2614"/>
      <c r="H49" s="2614"/>
      <c r="I49" s="2614"/>
      <c r="J49" s="2614"/>
      <c r="K49" s="1609"/>
      <c r="L49" s="2145"/>
      <c r="M49" s="2146"/>
      <c r="N49" s="2146"/>
      <c r="O49" s="2146"/>
      <c r="P49" s="3367" t="str">
        <f>A49</f>
        <v>估价对象XX用房的比较价格（楼面单价，元/平方米）</v>
      </c>
      <c r="Q49" s="3368"/>
      <c r="R49" s="3483">
        <f>IF(F1="售价",ROUND(AVERAGE(R48:V48),0),ROUND(AVERAGE(R48:V48),1))</f>
        <v>39161</v>
      </c>
      <c r="S49" s="3483"/>
      <c r="T49" s="3483"/>
      <c r="U49" s="3483"/>
      <c r="V49" s="3483"/>
      <c r="W49" s="348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3.0921052631578849E-2</v>
      </c>
      <c r="F52" s="627" t="str">
        <f>IF(OR(E52&gt;=0.3,E52&lt;=-0.3),"超过30%","")</f>
        <v/>
      </c>
      <c r="G52" s="626">
        <f>IF(G47&lt;G48,G48/G47-1,G47/G48-1)</f>
        <v>3.0921052631578849E-2</v>
      </c>
      <c r="H52" s="627" t="str">
        <f>IF(OR(G52&gt;=0.3,G52&lt;=-0.3),"超过30%","")</f>
        <v/>
      </c>
      <c r="I52" s="626">
        <f>IF(I47&lt;I48,I48/I47-1,I47/I48-1)</f>
        <v>0.11805714285714286</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v>
      </c>
      <c r="F53" s="627" t="str">
        <f>IF(OR(E53&gt;=0.2,E53&lt;=-0.2),"超过20%","")</f>
        <v/>
      </c>
      <c r="G53" s="626">
        <f>IF(G48&lt;I48,I48/G48-1,G48/I48-1)</f>
        <v>1.0988449350914919E-3</v>
      </c>
      <c r="H53" s="627" t="str">
        <f>IF(OR(G53&gt;=0.2,G53&lt;=-0.2),"超过20%","")</f>
        <v/>
      </c>
      <c r="I53" s="626">
        <f>IF(I48&lt;E48,E48/I48-1,I48/E48-1)</f>
        <v>1.0988449350914919E-3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v>
      </c>
      <c r="F54" s="627" t="str">
        <f>IF(OR(E54&gt;=0.3,E54&lt;=-0.3),"超过30%","")</f>
        <v/>
      </c>
      <c r="G54" s="626">
        <f>IF(G47&lt;I47,I47/G47-1,G47/I47-1)</f>
        <v>8.5714285714285632E-2</v>
      </c>
      <c r="H54" s="627" t="str">
        <f>IF(OR(G54&gt;=0.3,G54&lt;=-0.3),"超过30%","")</f>
        <v/>
      </c>
      <c r="I54" s="626">
        <f>IF(I47&lt;E47,E47/I47-1,I47/E47-1)</f>
        <v>8.5714285714285632E-2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2（含）-2.5</v>
      </c>
      <c r="D67" s="682" t="str">
        <f t="shared" ref="D67:L67" si="18">D68&amp;"（含）"&amp;"-"&amp;E68</f>
        <v>2.5（含）-3</v>
      </c>
      <c r="E67" s="682" t="str">
        <f t="shared" si="18"/>
        <v>3（含）-3.5</v>
      </c>
      <c r="F67" s="682" t="str">
        <f t="shared" si="18"/>
        <v>3.5（含）-4</v>
      </c>
      <c r="G67" s="682" t="str">
        <f t="shared" si="18"/>
        <v>4（含）-4.5</v>
      </c>
      <c r="H67" s="682" t="str">
        <f t="shared" si="18"/>
        <v>4.5（含）-5</v>
      </c>
      <c r="I67" s="682" t="str">
        <f t="shared" si="18"/>
        <v>5（含）-5.5</v>
      </c>
      <c r="J67" s="682" t="str">
        <f t="shared" si="18"/>
        <v>5.5（含）-6</v>
      </c>
      <c r="K67" s="682" t="str">
        <f t="shared" si="18"/>
        <v>6（含）-6.5</v>
      </c>
      <c r="L67" s="682" t="str">
        <f t="shared" si="18"/>
        <v>6.5（含）-7</v>
      </c>
      <c r="M67" s="555" t="str">
        <f>M68&amp;"（含）"&amp;"-"&amp;P68</f>
        <v>7（含）-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2</v>
      </c>
      <c r="D68" s="541">
        <v>2.5</v>
      </c>
      <c r="E68" s="541">
        <v>3</v>
      </c>
      <c r="F68" s="541">
        <v>3.5</v>
      </c>
      <c r="G68" s="541">
        <v>4</v>
      </c>
      <c r="H68" s="541">
        <v>4.5</v>
      </c>
      <c r="I68" s="541">
        <v>5</v>
      </c>
      <c r="J68" s="541">
        <v>5.5</v>
      </c>
      <c r="K68" s="541">
        <v>6</v>
      </c>
      <c r="L68" s="541">
        <v>6.5</v>
      </c>
      <c r="M68" s="541">
        <v>7</v>
      </c>
      <c r="N68" s="541">
        <v>7.5</v>
      </c>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97</v>
      </c>
      <c r="E85" s="679">
        <f>D85-$K23</f>
        <v>94</v>
      </c>
      <c r="F85" s="679">
        <f>E85-$K23</f>
        <v>91</v>
      </c>
      <c r="G85" s="679">
        <f>F85-$K23</f>
        <v>88</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5" t="s">
        <v>3370</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600000(含)-700000</v>
      </c>
      <c r="J102" s="708" t="str">
        <f t="shared" si="23"/>
        <v>700000(含)-800000</v>
      </c>
      <c r="K102" s="708" t="str">
        <f t="shared" si="23"/>
        <v>800000(含)-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100000</v>
      </c>
      <c r="E103" s="730">
        <v>200000</v>
      </c>
      <c r="F103" s="730">
        <v>300000</v>
      </c>
      <c r="G103" s="730">
        <v>400000</v>
      </c>
      <c r="H103" s="730">
        <v>500000</v>
      </c>
      <c r="I103" s="730">
        <v>600000</v>
      </c>
      <c r="J103" s="730">
        <v>700000</v>
      </c>
      <c r="K103" s="730">
        <v>800000</v>
      </c>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102</v>
      </c>
      <c r="E104" s="692">
        <v>104</v>
      </c>
      <c r="F104" s="671">
        <v>106</v>
      </c>
      <c r="G104" s="692">
        <v>108</v>
      </c>
      <c r="H104" s="671">
        <v>110</v>
      </c>
      <c r="I104" s="692">
        <v>112</v>
      </c>
      <c r="J104" s="671">
        <v>114</v>
      </c>
      <c r="K104" s="692">
        <v>116</v>
      </c>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3385</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84" t="s">
        <v>3372</v>
      </c>
      <c r="D107" s="3184" t="s">
        <v>3374</v>
      </c>
      <c r="E107" s="3184" t="s">
        <v>3375</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86" t="s">
        <v>3377</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86" t="s">
        <v>3380</v>
      </c>
      <c r="D114" s="3186" t="s">
        <v>3378</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186" t="s">
        <v>3381</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3184" t="s">
        <v>3384</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97</v>
      </c>
      <c r="E119" s="679">
        <f t="shared" si="28"/>
        <v>94</v>
      </c>
      <c r="F119" s="679">
        <f t="shared" si="28"/>
        <v>91</v>
      </c>
      <c r="G119" s="679">
        <f t="shared" si="28"/>
        <v>88</v>
      </c>
      <c r="H119" s="679">
        <f t="shared" si="28"/>
        <v>85</v>
      </c>
      <c r="I119" s="679">
        <f t="shared" si="28"/>
        <v>82</v>
      </c>
      <c r="J119" s="679">
        <f t="shared" si="28"/>
        <v>79</v>
      </c>
      <c r="K119" s="679">
        <f t="shared" si="28"/>
        <v>76</v>
      </c>
      <c r="L119" s="679">
        <f t="shared" si="28"/>
        <v>73</v>
      </c>
      <c r="M119" s="679">
        <f t="shared" si="28"/>
        <v>70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t="str">
        <f>C41</f>
        <v>200-270</v>
      </c>
      <c r="D120" s="688" t="str">
        <f>E41</f>
        <v>128-146</v>
      </c>
      <c r="E120" s="688" t="str">
        <f>G41</f>
        <v>91-117</v>
      </c>
      <c r="F120" s="688">
        <f>I41</f>
        <v>160</v>
      </c>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v>100</v>
      </c>
      <c r="D121" s="671">
        <v>97</v>
      </c>
      <c r="E121" s="671">
        <v>97</v>
      </c>
      <c r="F121" s="671">
        <v>97</v>
      </c>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3382</v>
      </c>
      <c r="D122" s="3186" t="s">
        <v>3383</v>
      </c>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8"/>
      <c r="E1" s="506"/>
      <c r="F1" s="2784"/>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6" t="s">
        <v>522</v>
      </c>
      <c r="D4" s="3377"/>
      <c r="E4" s="3410" t="s">
        <v>523</v>
      </c>
      <c r="F4" s="3411"/>
      <c r="G4" s="3376" t="s">
        <v>524</v>
      </c>
      <c r="H4" s="3377"/>
      <c r="I4" s="3376" t="s">
        <v>525</v>
      </c>
      <c r="J4" s="3377"/>
      <c r="K4" s="514" t="s">
        <v>526</v>
      </c>
      <c r="L4" s="2134"/>
      <c r="M4" s="2135"/>
      <c r="N4" s="2135"/>
      <c r="O4" s="2135"/>
      <c r="P4" s="3378" t="s">
        <v>527</v>
      </c>
      <c r="Q4" s="3379"/>
      <c r="R4" s="3384" t="s">
        <v>523</v>
      </c>
      <c r="S4" s="3385"/>
      <c r="T4" s="3384" t="s">
        <v>524</v>
      </c>
      <c r="U4" s="3385"/>
      <c r="V4" s="3371" t="s">
        <v>525</v>
      </c>
      <c r="W4" s="3371"/>
      <c r="X4" s="1568"/>
      <c r="Y4" s="3384" t="s">
        <v>527</v>
      </c>
      <c r="Z4" s="3385"/>
      <c r="AA4" s="3373" t="s">
        <v>523</v>
      </c>
      <c r="AB4" s="3371" t="s">
        <v>524</v>
      </c>
      <c r="AC4" s="3373" t="s">
        <v>525</v>
      </c>
    </row>
    <row r="5" spans="1:29" ht="15">
      <c r="A5" s="515"/>
      <c r="B5" s="516"/>
      <c r="C5" s="3392" t="s">
        <v>2930</v>
      </c>
      <c r="D5" s="3393"/>
      <c r="E5" s="3412" t="s">
        <v>2931</v>
      </c>
      <c r="F5" s="3413"/>
      <c r="G5" s="3392" t="s">
        <v>2932</v>
      </c>
      <c r="H5" s="3393"/>
      <c r="I5" s="3392" t="s">
        <v>2933</v>
      </c>
      <c r="J5" s="3393"/>
      <c r="K5" s="514"/>
      <c r="L5" s="2134"/>
      <c r="M5" s="2135"/>
      <c r="N5" s="2135"/>
      <c r="O5" s="2135"/>
      <c r="P5" s="3380"/>
      <c r="Q5" s="3381"/>
      <c r="R5" s="3386"/>
      <c r="S5" s="3387"/>
      <c r="T5" s="3386"/>
      <c r="U5" s="3387"/>
      <c r="V5" s="3371"/>
      <c r="W5" s="3371"/>
      <c r="X5" s="1568"/>
      <c r="Y5" s="3386"/>
      <c r="Z5" s="3387"/>
      <c r="AA5" s="3374"/>
      <c r="AB5" s="3371"/>
      <c r="AC5" s="3374"/>
    </row>
    <row r="6" spans="1:29" ht="15.75" thickBot="1">
      <c r="A6" s="517"/>
      <c r="B6" s="518"/>
      <c r="C6" s="3390" t="s">
        <v>2934</v>
      </c>
      <c r="D6" s="3391"/>
      <c r="E6" s="3408" t="s">
        <v>2934</v>
      </c>
      <c r="F6" s="3409"/>
      <c r="G6" s="3390" t="s">
        <v>2934</v>
      </c>
      <c r="H6" s="3391"/>
      <c r="I6" s="3390" t="s">
        <v>2934</v>
      </c>
      <c r="J6" s="3391"/>
      <c r="K6" s="514" t="s">
        <v>528</v>
      </c>
      <c r="L6" s="2134"/>
      <c r="M6" s="2135"/>
      <c r="N6" s="2135"/>
      <c r="O6" s="2135"/>
      <c r="P6" s="3382"/>
      <c r="Q6" s="3383"/>
      <c r="R6" s="3386"/>
      <c r="S6" s="3387"/>
      <c r="T6" s="3388"/>
      <c r="U6" s="3389"/>
      <c r="V6" s="3371"/>
      <c r="W6" s="3371"/>
      <c r="X6" s="1568"/>
      <c r="Y6" s="3388"/>
      <c r="Z6" s="3389"/>
      <c r="AA6" s="3375"/>
      <c r="AB6" s="3371"/>
      <c r="AC6" s="3375"/>
    </row>
    <row r="7" spans="1:29" s="1220" customFormat="1" ht="15.75" thickBot="1">
      <c r="A7" s="2889"/>
      <c r="B7" s="2896" t="s">
        <v>529</v>
      </c>
      <c r="C7" s="519">
        <f>'数据-取费表'!B2</f>
        <v>43490</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01" t="s">
        <v>530</v>
      </c>
      <c r="Q7" s="3403"/>
      <c r="R7" s="1569" t="s">
        <v>8</v>
      </c>
      <c r="S7" s="1570">
        <f t="shared" ref="S7:S15" si="0">F7</f>
        <v>0</v>
      </c>
      <c r="T7" s="1569" t="s">
        <v>8</v>
      </c>
      <c r="U7" s="1570">
        <f t="shared" ref="U7:U15" si="1">H7</f>
        <v>0</v>
      </c>
      <c r="V7" s="1569" t="s">
        <v>8</v>
      </c>
      <c r="W7" s="1570">
        <f t="shared" ref="W7:W15" si="2">J7</f>
        <v>0</v>
      </c>
      <c r="X7" s="1571"/>
      <c r="Y7" s="3401" t="s">
        <v>530</v>
      </c>
      <c r="Z7" s="3402"/>
      <c r="AA7" s="1572" t="e">
        <f>D7/F7</f>
        <v>#DIV/0!</v>
      </c>
      <c r="AB7" s="1572" t="e">
        <f>D7/H7</f>
        <v>#DIV/0!</v>
      </c>
      <c r="AC7" s="1572" t="e">
        <f>D7/J7</f>
        <v>#DIV/0!</v>
      </c>
    </row>
    <row r="8" spans="1:29" s="1220"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01" t="s">
        <v>533</v>
      </c>
      <c r="Q8" s="3402"/>
      <c r="R8" s="1569" t="s">
        <v>8</v>
      </c>
      <c r="S8" s="1570">
        <f t="shared" si="0"/>
        <v>0</v>
      </c>
      <c r="T8" s="1569" t="s">
        <v>8</v>
      </c>
      <c r="U8" s="1570">
        <f t="shared" si="1"/>
        <v>0</v>
      </c>
      <c r="V8" s="1569" t="s">
        <v>8</v>
      </c>
      <c r="W8" s="1570">
        <f t="shared" si="2"/>
        <v>0</v>
      </c>
      <c r="X8" s="1571"/>
      <c r="Y8" s="3401" t="s">
        <v>533</v>
      </c>
      <c r="Z8" s="3402"/>
      <c r="AA8" s="1572" t="e">
        <f t="shared" ref="AA8:AA46" si="3">D8/F8</f>
        <v>#DIV/0!</v>
      </c>
      <c r="AB8" s="1572" t="e">
        <f t="shared" ref="AB8:AB46" si="4">D8/H8</f>
        <v>#DIV/0!</v>
      </c>
      <c r="AC8" s="1572" t="e">
        <f t="shared" ref="AC8:AC46" si="5">D8/J8</f>
        <v>#DIV/0!</v>
      </c>
    </row>
    <row r="9" spans="1:29" s="1220" customFormat="1" ht="15">
      <c r="A9" s="2891"/>
      <c r="B9" s="2898"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70"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892"/>
      <c r="B10" s="2897"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3"/>
      <c r="B11" s="2897"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70"/>
      <c r="Q11" s="1151" t="str">
        <f t="shared" si="6"/>
        <v>容积率</v>
      </c>
      <c r="R11" s="1569" t="s">
        <v>8</v>
      </c>
      <c r="S11" s="1570" t="e">
        <f t="shared" si="0"/>
        <v>#N/A</v>
      </c>
      <c r="T11" s="1569" t="s">
        <v>8</v>
      </c>
      <c r="U11" s="1570" t="e">
        <f t="shared" si="1"/>
        <v>#N/A</v>
      </c>
      <c r="V11" s="1569" t="s">
        <v>8</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70"/>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
      <c r="A13" s="2894"/>
      <c r="B13" s="2900">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70"/>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15.75" thickBot="1">
      <c r="A14" s="2895"/>
      <c r="B14" s="2901">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70"/>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 t="shared" si="3"/>
        <v>1</v>
      </c>
      <c r="AB14" s="1572">
        <f t="shared" si="4"/>
        <v>1</v>
      </c>
      <c r="AC14" s="1572">
        <f t="shared" si="5"/>
        <v>1</v>
      </c>
    </row>
    <row r="15" spans="1:29" ht="71.25">
      <c r="A15" s="2887"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04" t="s">
        <v>540</v>
      </c>
      <c r="Q15" s="1573" t="str">
        <f t="shared" si="6"/>
        <v>商业繁华度</v>
      </c>
      <c r="R15" s="1574" t="s">
        <v>8</v>
      </c>
      <c r="S15" s="1575">
        <f t="shared" si="0"/>
        <v>100</v>
      </c>
      <c r="T15" s="1574" t="s">
        <v>8</v>
      </c>
      <c r="U15" s="1575">
        <f t="shared" si="1"/>
        <v>100</v>
      </c>
      <c r="V15" s="1574" t="s">
        <v>8</v>
      </c>
      <c r="W15" s="1575">
        <f t="shared" si="2"/>
        <v>100</v>
      </c>
      <c r="X15" s="1568"/>
      <c r="Y15" s="340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5"/>
      <c r="Q18" s="1573"/>
      <c r="R18" s="1574"/>
      <c r="S18" s="1575"/>
      <c r="T18" s="1574"/>
      <c r="U18" s="1575"/>
      <c r="V18" s="1574"/>
      <c r="W18" s="1575"/>
      <c r="X18" s="1568"/>
      <c r="Y18" s="3405"/>
      <c r="Z18" s="1576"/>
      <c r="AA18" s="1577">
        <v>1</v>
      </c>
      <c r="AB18" s="1577">
        <v>1</v>
      </c>
      <c r="AC18" s="1577">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5"/>
      <c r="Q21" s="2557" t="str">
        <f>B21</f>
        <v>基础设施水平</v>
      </c>
      <c r="R21" s="1574" t="s">
        <v>8</v>
      </c>
      <c r="S21" s="1575">
        <f>F21</f>
        <v>100</v>
      </c>
      <c r="T21" s="1574" t="s">
        <v>8</v>
      </c>
      <c r="U21" s="1575">
        <f>H21</f>
        <v>100</v>
      </c>
      <c r="V21" s="1574" t="s">
        <v>8</v>
      </c>
      <c r="W21" s="1575">
        <f>J21</f>
        <v>100</v>
      </c>
      <c r="X21" s="2559"/>
      <c r="Y21" s="3405"/>
      <c r="Z21" s="255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0"/>
      <c r="L22" s="2143"/>
      <c r="M22" s="2135"/>
      <c r="N22" s="2135"/>
      <c r="O22" s="2142"/>
      <c r="P22" s="3405"/>
      <c r="Q22" s="2557"/>
      <c r="R22" s="1574"/>
      <c r="S22" s="1575"/>
      <c r="T22" s="1574"/>
      <c r="U22" s="1575"/>
      <c r="V22" s="1574"/>
      <c r="W22" s="1575"/>
      <c r="X22" s="2559"/>
      <c r="Y22" s="3405"/>
      <c r="Z22" s="2558"/>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5"/>
      <c r="Q23" s="1573" t="str">
        <f>B23</f>
        <v>自然及人文环境</v>
      </c>
      <c r="R23" s="1574" t="s">
        <v>8</v>
      </c>
      <c r="S23" s="1575">
        <f>F23</f>
        <v>100</v>
      </c>
      <c r="T23" s="1574" t="s">
        <v>8</v>
      </c>
      <c r="U23" s="1575">
        <f>H23</f>
        <v>100</v>
      </c>
      <c r="V23" s="1574" t="s">
        <v>8</v>
      </c>
      <c r="W23" s="1575">
        <f>J23</f>
        <v>100</v>
      </c>
      <c r="X23" s="1568"/>
      <c r="Y23" s="340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05"/>
      <c r="Q24" s="1573"/>
      <c r="R24" s="1574"/>
      <c r="S24" s="1575"/>
      <c r="T24" s="1574"/>
      <c r="U24" s="1575"/>
      <c r="V24" s="1574"/>
      <c r="W24" s="1575"/>
      <c r="X24" s="1568"/>
      <c r="Y24" s="340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5"/>
      <c r="Q25" s="1573" t="str">
        <f t="shared" ref="Q25:Q46" si="11">B25</f>
        <v>临街状况</v>
      </c>
      <c r="R25" s="1574" t="s">
        <v>8</v>
      </c>
      <c r="S25" s="1575">
        <f>F25</f>
        <v>100</v>
      </c>
      <c r="T25" s="1574" t="s">
        <v>8</v>
      </c>
      <c r="U25" s="1575">
        <f>H25</f>
        <v>100</v>
      </c>
      <c r="V25" s="1574" t="s">
        <v>8</v>
      </c>
      <c r="W25" s="1575">
        <f>J25</f>
        <v>100</v>
      </c>
      <c r="X25" s="1568"/>
      <c r="Y25" s="340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5"/>
      <c r="Q26" s="1573" t="str">
        <f t="shared" si="11"/>
        <v>平面位置/可视性</v>
      </c>
      <c r="R26" s="1574" t="s">
        <v>8</v>
      </c>
      <c r="S26" s="1575">
        <f>F26</f>
        <v>100</v>
      </c>
      <c r="T26" s="1574" t="s">
        <v>8</v>
      </c>
      <c r="U26" s="1575">
        <f>H26</f>
        <v>100</v>
      </c>
      <c r="V26" s="1574" t="s">
        <v>8</v>
      </c>
      <c r="W26" s="1575">
        <f>J26</f>
        <v>100</v>
      </c>
      <c r="X26" s="1568"/>
      <c r="Y26" s="340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5"/>
      <c r="Q27" s="1151" t="str">
        <f t="shared" si="11"/>
        <v>人流量</v>
      </c>
      <c r="R27" s="1569" t="s">
        <v>8</v>
      </c>
      <c r="S27" s="1570">
        <f>F27</f>
        <v>100</v>
      </c>
      <c r="T27" s="1569" t="s">
        <v>8</v>
      </c>
      <c r="U27" s="1570">
        <f>H27</f>
        <v>100</v>
      </c>
      <c r="V27" s="1569" t="s">
        <v>8</v>
      </c>
      <c r="W27" s="1570">
        <f>J27</f>
        <v>100</v>
      </c>
      <c r="X27" s="1571"/>
      <c r="Y27" s="340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5"/>
      <c r="Q29" s="1573">
        <f t="shared" si="11"/>
        <v>111</v>
      </c>
      <c r="R29" s="1574" t="s">
        <v>8</v>
      </c>
      <c r="S29" s="1575">
        <f t="shared" si="12"/>
        <v>100</v>
      </c>
      <c r="T29" s="1574" t="s">
        <v>8</v>
      </c>
      <c r="U29" s="1575">
        <f t="shared" si="13"/>
        <v>100</v>
      </c>
      <c r="V29" s="1574" t="s">
        <v>8</v>
      </c>
      <c r="W29" s="1575">
        <f t="shared" si="14"/>
        <v>100</v>
      </c>
      <c r="X29" s="1568"/>
      <c r="Y29" s="340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5"/>
      <c r="Q30" s="1573">
        <f t="shared" si="11"/>
        <v>111</v>
      </c>
      <c r="R30" s="1574" t="s">
        <v>8</v>
      </c>
      <c r="S30" s="1575">
        <f t="shared" si="12"/>
        <v>100</v>
      </c>
      <c r="T30" s="1574" t="s">
        <v>8</v>
      </c>
      <c r="U30" s="1575">
        <f t="shared" si="13"/>
        <v>100</v>
      </c>
      <c r="V30" s="1574" t="s">
        <v>8</v>
      </c>
      <c r="W30" s="1575">
        <f t="shared" si="14"/>
        <v>100</v>
      </c>
      <c r="X30" s="1568"/>
      <c r="Y30" s="340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5"/>
      <c r="Q31" s="1573">
        <f t="shared" si="11"/>
        <v>111</v>
      </c>
      <c r="R31" s="1574" t="s">
        <v>8</v>
      </c>
      <c r="S31" s="1575">
        <f t="shared" si="12"/>
        <v>100</v>
      </c>
      <c r="T31" s="1574" t="s">
        <v>8</v>
      </c>
      <c r="U31" s="1575">
        <f t="shared" si="13"/>
        <v>100</v>
      </c>
      <c r="V31" s="1574" t="s">
        <v>8</v>
      </c>
      <c r="W31" s="1575">
        <f t="shared" si="14"/>
        <v>100</v>
      </c>
      <c r="X31" s="1568"/>
      <c r="Y31" s="3405"/>
      <c r="Z31" s="1576">
        <f t="shared" si="15"/>
        <v>111</v>
      </c>
      <c r="AA31" s="1577">
        <f t="shared" si="3"/>
        <v>1</v>
      </c>
      <c r="AB31" s="1577">
        <f t="shared" si="4"/>
        <v>1</v>
      </c>
      <c r="AC31" s="1577">
        <f t="shared" si="5"/>
        <v>1</v>
      </c>
    </row>
    <row r="32" spans="1:29" ht="15">
      <c r="A32" s="2884"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6" t="s">
        <v>550</v>
      </c>
      <c r="Q32" s="1573" t="str">
        <f t="shared" si="11"/>
        <v>商业类型</v>
      </c>
      <c r="R32" s="1574" t="s">
        <v>8</v>
      </c>
      <c r="S32" s="1575">
        <f t="shared" si="12"/>
        <v>100</v>
      </c>
      <c r="T32" s="1574" t="s">
        <v>8</v>
      </c>
      <c r="U32" s="1575">
        <f t="shared" si="13"/>
        <v>100</v>
      </c>
      <c r="V32" s="1574" t="s">
        <v>8</v>
      </c>
      <c r="W32" s="1575">
        <f t="shared" si="14"/>
        <v>100</v>
      </c>
      <c r="X32" s="1568"/>
      <c r="Y32" s="340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7"/>
      <c r="Q33" s="1606" t="str">
        <f t="shared" si="11"/>
        <v>项目建筑规模</v>
      </c>
      <c r="R33" s="1578" t="s">
        <v>8</v>
      </c>
      <c r="S33" s="1579" t="e">
        <f t="shared" si="12"/>
        <v>#N/A</v>
      </c>
      <c r="T33" s="1578" t="s">
        <v>8</v>
      </c>
      <c r="U33" s="1579" t="e">
        <f t="shared" si="13"/>
        <v>#N/A</v>
      </c>
      <c r="V33" s="1578" t="s">
        <v>8</v>
      </c>
      <c r="W33" s="1579" t="e">
        <f t="shared" si="14"/>
        <v>#N/A</v>
      </c>
      <c r="X33" s="1580"/>
      <c r="Y33" s="340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7"/>
      <c r="Q34" s="1573" t="str">
        <f t="shared" si="11"/>
        <v>建筑结构</v>
      </c>
      <c r="R34" s="1574" t="s">
        <v>8</v>
      </c>
      <c r="S34" s="1575">
        <f t="shared" si="12"/>
        <v>100</v>
      </c>
      <c r="T34" s="1574" t="s">
        <v>8</v>
      </c>
      <c r="U34" s="1575">
        <f t="shared" si="13"/>
        <v>100</v>
      </c>
      <c r="V34" s="1574" t="s">
        <v>8</v>
      </c>
      <c r="W34" s="1575">
        <f t="shared" si="14"/>
        <v>100</v>
      </c>
      <c r="X34" s="1568"/>
      <c r="Y34" s="340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7"/>
      <c r="Q35" s="1573" t="str">
        <f t="shared" si="11"/>
        <v>公共部分装修</v>
      </c>
      <c r="R35" s="1574" t="s">
        <v>8</v>
      </c>
      <c r="S35" s="1575">
        <f t="shared" si="12"/>
        <v>100</v>
      </c>
      <c r="T35" s="1574" t="s">
        <v>8</v>
      </c>
      <c r="U35" s="1575">
        <f t="shared" si="13"/>
        <v>100</v>
      </c>
      <c r="V35" s="1574" t="s">
        <v>8</v>
      </c>
      <c r="W35" s="1575">
        <f t="shared" si="14"/>
        <v>100</v>
      </c>
      <c r="X35" s="1568"/>
      <c r="Y35" s="340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7"/>
      <c r="Q36" s="1573" t="str">
        <f t="shared" si="11"/>
        <v>成新度</v>
      </c>
      <c r="R36" s="1574" t="s">
        <v>8</v>
      </c>
      <c r="S36" s="1575" t="e">
        <f t="shared" si="12"/>
        <v>#N/A</v>
      </c>
      <c r="T36" s="1574" t="s">
        <v>8</v>
      </c>
      <c r="U36" s="1575" t="e">
        <f t="shared" si="13"/>
        <v>#N/A</v>
      </c>
      <c r="V36" s="1574" t="s">
        <v>8</v>
      </c>
      <c r="W36" s="1575" t="e">
        <f t="shared" si="14"/>
        <v>#N/A</v>
      </c>
      <c r="X36" s="1568"/>
      <c r="Y36" s="3407"/>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7"/>
      <c r="Q37" s="1151" t="str">
        <f t="shared" si="11"/>
        <v>市政基础设施</v>
      </c>
      <c r="R37" s="1569" t="s">
        <v>8</v>
      </c>
      <c r="S37" s="1570">
        <f t="shared" si="12"/>
        <v>100</v>
      </c>
      <c r="T37" s="1569" t="s">
        <v>8</v>
      </c>
      <c r="U37" s="1570">
        <f t="shared" si="13"/>
        <v>100</v>
      </c>
      <c r="V37" s="1569" t="s">
        <v>8</v>
      </c>
      <c r="W37" s="1570">
        <f t="shared" si="14"/>
        <v>100</v>
      </c>
      <c r="X37" s="1571"/>
      <c r="Y37" s="340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7" t="s">
        <v>766</v>
      </c>
      <c r="Q38" s="1573" t="str">
        <f t="shared" si="11"/>
        <v>业态</v>
      </c>
      <c r="R38" s="1574" t="s">
        <v>8</v>
      </c>
      <c r="S38" s="1575">
        <f t="shared" si="12"/>
        <v>100</v>
      </c>
      <c r="T38" s="1574" t="s">
        <v>8</v>
      </c>
      <c r="U38" s="1575">
        <f t="shared" si="13"/>
        <v>100</v>
      </c>
      <c r="V38" s="1574" t="s">
        <v>8</v>
      </c>
      <c r="W38" s="1575">
        <f t="shared" si="14"/>
        <v>100</v>
      </c>
      <c r="X38" s="1568"/>
      <c r="Y38" s="340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7"/>
      <c r="Q39" s="1573" t="str">
        <f t="shared" si="11"/>
        <v>层高</v>
      </c>
      <c r="R39" s="1574" t="s">
        <v>8</v>
      </c>
      <c r="S39" s="1575">
        <f t="shared" si="12"/>
        <v>100</v>
      </c>
      <c r="T39" s="1574" t="s">
        <v>8</v>
      </c>
      <c r="U39" s="1575">
        <f t="shared" si="13"/>
        <v>100</v>
      </c>
      <c r="V39" s="1574" t="s">
        <v>8</v>
      </c>
      <c r="W39" s="1575">
        <f t="shared" si="14"/>
        <v>100</v>
      </c>
      <c r="X39" s="1568"/>
      <c r="Y39" s="340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7"/>
      <c r="Q40" s="1573" t="str">
        <f t="shared" si="11"/>
        <v>单套建筑面积</v>
      </c>
      <c r="R40" s="1574" t="s">
        <v>8</v>
      </c>
      <c r="S40" s="1575">
        <f t="shared" si="12"/>
        <v>100</v>
      </c>
      <c r="T40" s="1574" t="s">
        <v>8</v>
      </c>
      <c r="U40" s="1575">
        <f t="shared" si="13"/>
        <v>100</v>
      </c>
      <c r="V40" s="1574" t="s">
        <v>8</v>
      </c>
      <c r="W40" s="1575">
        <f t="shared" si="14"/>
        <v>100</v>
      </c>
      <c r="X40" s="1568"/>
      <c r="Y40" s="340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7"/>
      <c r="Q41" s="1606" t="str">
        <f t="shared" si="11"/>
        <v>进深比</v>
      </c>
      <c r="R41" s="1578" t="s">
        <v>8</v>
      </c>
      <c r="S41" s="1579">
        <f t="shared" si="12"/>
        <v>100</v>
      </c>
      <c r="T41" s="1578" t="s">
        <v>8</v>
      </c>
      <c r="U41" s="1579">
        <f t="shared" si="13"/>
        <v>100</v>
      </c>
      <c r="V41" s="1578" t="s">
        <v>8</v>
      </c>
      <c r="W41" s="1579">
        <f t="shared" si="14"/>
        <v>100</v>
      </c>
      <c r="X41" s="1580"/>
      <c r="Y41" s="340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7"/>
      <c r="Q42" s="1573" t="str">
        <f t="shared" si="11"/>
        <v>内部装修</v>
      </c>
      <c r="R42" s="1574" t="s">
        <v>8</v>
      </c>
      <c r="S42" s="1575">
        <f t="shared" si="12"/>
        <v>100</v>
      </c>
      <c r="T42" s="1574" t="s">
        <v>8</v>
      </c>
      <c r="U42" s="1575">
        <f t="shared" si="13"/>
        <v>100</v>
      </c>
      <c r="V42" s="1574" t="s">
        <v>8</v>
      </c>
      <c r="W42" s="1575">
        <f t="shared" si="14"/>
        <v>100</v>
      </c>
      <c r="X42" s="1568"/>
      <c r="Y42" s="340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7"/>
      <c r="Q43" s="1573" t="str">
        <f t="shared" si="11"/>
        <v>内部装修维护情况</v>
      </c>
      <c r="R43" s="1574" t="s">
        <v>8</v>
      </c>
      <c r="S43" s="1575">
        <f t="shared" si="12"/>
        <v>100</v>
      </c>
      <c r="T43" s="1574" t="s">
        <v>8</v>
      </c>
      <c r="U43" s="1575">
        <f t="shared" si="13"/>
        <v>100</v>
      </c>
      <c r="V43" s="1574" t="s">
        <v>8</v>
      </c>
      <c r="W43" s="1575">
        <f t="shared" si="14"/>
        <v>100</v>
      </c>
      <c r="X43" s="1568"/>
      <c r="Y43" s="340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7"/>
      <c r="Q44" s="1151">
        <f t="shared" si="11"/>
        <v>111</v>
      </c>
      <c r="R44" s="1569" t="s">
        <v>8</v>
      </c>
      <c r="S44" s="1570">
        <f t="shared" si="12"/>
        <v>100</v>
      </c>
      <c r="T44" s="1569" t="s">
        <v>8</v>
      </c>
      <c r="U44" s="1570">
        <f t="shared" si="13"/>
        <v>100</v>
      </c>
      <c r="V44" s="1569" t="s">
        <v>8</v>
      </c>
      <c r="W44" s="1570">
        <f t="shared" si="14"/>
        <v>100</v>
      </c>
      <c r="X44" s="1571"/>
      <c r="Y44" s="340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7"/>
      <c r="Q45" s="1573">
        <f t="shared" si="11"/>
        <v>111</v>
      </c>
      <c r="R45" s="1574" t="s">
        <v>8</v>
      </c>
      <c r="S45" s="1575">
        <f t="shared" si="12"/>
        <v>100</v>
      </c>
      <c r="T45" s="1574" t="s">
        <v>8</v>
      </c>
      <c r="U45" s="1575">
        <f t="shared" si="13"/>
        <v>100</v>
      </c>
      <c r="V45" s="1574" t="s">
        <v>8</v>
      </c>
      <c r="W45" s="1575">
        <f t="shared" si="14"/>
        <v>100</v>
      </c>
      <c r="X45" s="1568"/>
      <c r="Y45" s="340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85"/>
      <c r="Q46" s="1573">
        <f t="shared" si="11"/>
        <v>111</v>
      </c>
      <c r="R46" s="1574" t="s">
        <v>8</v>
      </c>
      <c r="S46" s="1575">
        <f t="shared" si="12"/>
        <v>100</v>
      </c>
      <c r="T46" s="1574" t="s">
        <v>8</v>
      </c>
      <c r="U46" s="1575">
        <f t="shared" si="13"/>
        <v>100</v>
      </c>
      <c r="V46" s="1574" t="s">
        <v>8</v>
      </c>
      <c r="W46" s="1575">
        <f t="shared" si="14"/>
        <v>100</v>
      </c>
      <c r="X46" s="1568"/>
      <c r="Y46" s="3485"/>
      <c r="Z46" s="1576">
        <f t="shared" si="15"/>
        <v>111</v>
      </c>
      <c r="AA46" s="1577">
        <f t="shared" si="3"/>
        <v>1</v>
      </c>
      <c r="AB46" s="1577">
        <f t="shared" si="4"/>
        <v>1</v>
      </c>
      <c r="AC46" s="1577">
        <f t="shared" si="5"/>
        <v>1</v>
      </c>
    </row>
    <row r="47" spans="1:29" ht="15">
      <c r="A47" s="607" t="s">
        <v>736</v>
      </c>
      <c r="B47" s="887"/>
      <c r="C47" s="2605" t="s">
        <v>1</v>
      </c>
      <c r="D47" s="2606"/>
      <c r="E47" s="2607"/>
      <c r="F47" s="2608"/>
      <c r="G47" s="2609"/>
      <c r="H47" s="2610"/>
      <c r="I47" s="2607"/>
      <c r="J47" s="2610"/>
      <c r="K47" s="1612"/>
      <c r="L47" s="2145"/>
      <c r="M47" s="2146"/>
      <c r="N47" s="2135"/>
      <c r="O47" s="2146"/>
      <c r="P47" s="3370" t="str">
        <f>A47</f>
        <v>成交单价（元/平方米）</v>
      </c>
      <c r="Q47" s="3370"/>
      <c r="R47" s="3484">
        <f>E47</f>
        <v>0</v>
      </c>
      <c r="S47" s="3484"/>
      <c r="T47" s="3484">
        <f>G47</f>
        <v>0</v>
      </c>
      <c r="U47" s="3484"/>
      <c r="V47" s="3484">
        <f>I47</f>
        <v>0</v>
      </c>
      <c r="W47" s="3484"/>
      <c r="X47" s="1560"/>
      <c r="Y47" s="1582"/>
      <c r="Z47" s="1560"/>
      <c r="AA47" s="1560"/>
      <c r="AB47" s="1560"/>
      <c r="AC47" s="1560"/>
    </row>
    <row r="48" spans="1:29" ht="15.75" thickBot="1">
      <c r="A48" s="615" t="s">
        <v>2761</v>
      </c>
      <c r="B48" s="888"/>
      <c r="C48" s="2611" t="e">
        <f>R49</f>
        <v>#DIV/0!</v>
      </c>
      <c r="D48" s="2612"/>
      <c r="E48" s="2613" t="e">
        <f>R48</f>
        <v>#DIV/0!</v>
      </c>
      <c r="F48" s="2613"/>
      <c r="G48" s="2611" t="e">
        <f>T48</f>
        <v>#DIV/0!</v>
      </c>
      <c r="H48" s="2612"/>
      <c r="I48" s="2613" t="e">
        <f>V48</f>
        <v>#DIV/0!</v>
      </c>
      <c r="J48" s="2612"/>
      <c r="K48" s="1613"/>
      <c r="L48" s="2145"/>
      <c r="M48" s="2146"/>
      <c r="N48" s="2135"/>
      <c r="O48" s="2146"/>
      <c r="P48" s="3370" t="str">
        <f>A48</f>
        <v>比较价格（元/平方米）</v>
      </c>
      <c r="Q48" s="3370"/>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60"/>
      <c r="Y48" s="1560"/>
      <c r="Z48" s="1560"/>
      <c r="AA48" s="1560"/>
      <c r="AB48" s="1560"/>
      <c r="AC48" s="1560"/>
    </row>
    <row r="49" spans="1:29" ht="15.75" thickBot="1">
      <c r="A49" s="621" t="s">
        <v>2936</v>
      </c>
      <c r="B49" s="622"/>
      <c r="C49" s="2614" t="e">
        <f>R49</f>
        <v>#DIV/0!</v>
      </c>
      <c r="D49" s="2614"/>
      <c r="E49" s="2614"/>
      <c r="F49" s="2614"/>
      <c r="G49" s="2614"/>
      <c r="H49" s="2614"/>
      <c r="I49" s="2614"/>
      <c r="J49" s="2614"/>
      <c r="K49" s="1614"/>
      <c r="L49" s="2145"/>
      <c r="M49" s="2146"/>
      <c r="N49" s="2135"/>
      <c r="O49" s="2146"/>
      <c r="P49" s="3367" t="str">
        <f>A49</f>
        <v>估价对象XX用房的比较价格（楼面单价，元/平方米）</v>
      </c>
      <c r="Q49" s="3368"/>
      <c r="R49" s="3483" t="e">
        <f>IF(F1="售价",ROUND(AVERAGE(R48:V48),0),ROUND(AVERAGE(R48:V48),1))</f>
        <v>#DIV/0!</v>
      </c>
      <c r="S49" s="3483"/>
      <c r="T49" s="3483"/>
      <c r="U49" s="3483"/>
      <c r="V49" s="3483"/>
      <c r="W49" s="348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4"/>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6" t="s">
        <v>522</v>
      </c>
      <c r="D4" s="3377"/>
      <c r="E4" s="3410" t="s">
        <v>523</v>
      </c>
      <c r="F4" s="3411"/>
      <c r="G4" s="3376" t="s">
        <v>524</v>
      </c>
      <c r="H4" s="3377"/>
      <c r="I4" s="3376" t="s">
        <v>525</v>
      </c>
      <c r="J4" s="3377"/>
      <c r="K4" s="514" t="s">
        <v>526</v>
      </c>
      <c r="L4" s="2134"/>
      <c r="M4" s="2135"/>
      <c r="N4" s="2135"/>
      <c r="O4" s="2135"/>
      <c r="P4" s="3491" t="s">
        <v>527</v>
      </c>
      <c r="Q4" s="3379"/>
      <c r="R4" s="3384" t="s">
        <v>523</v>
      </c>
      <c r="S4" s="3385"/>
      <c r="T4" s="3384" t="s">
        <v>524</v>
      </c>
      <c r="U4" s="3385"/>
      <c r="V4" s="3371" t="s">
        <v>525</v>
      </c>
      <c r="W4" s="3371"/>
      <c r="X4" s="1568"/>
      <c r="Y4" s="3384" t="s">
        <v>527</v>
      </c>
      <c r="Z4" s="3385"/>
      <c r="AA4" s="3373" t="s">
        <v>523</v>
      </c>
      <c r="AB4" s="3373" t="s">
        <v>524</v>
      </c>
      <c r="AC4" s="3373" t="s">
        <v>525</v>
      </c>
    </row>
    <row r="5" spans="1:29" ht="15">
      <c r="A5" s="515"/>
      <c r="B5" s="516"/>
      <c r="C5" s="3392" t="s">
        <v>2930</v>
      </c>
      <c r="D5" s="3393"/>
      <c r="E5" s="3412" t="s">
        <v>2931</v>
      </c>
      <c r="F5" s="3413"/>
      <c r="G5" s="3392" t="s">
        <v>2932</v>
      </c>
      <c r="H5" s="3393"/>
      <c r="I5" s="3392" t="s">
        <v>2933</v>
      </c>
      <c r="J5" s="3393"/>
      <c r="K5" s="514"/>
      <c r="L5" s="2134"/>
      <c r="M5" s="2135"/>
      <c r="N5" s="2135"/>
      <c r="O5" s="2135"/>
      <c r="P5" s="3492"/>
      <c r="Q5" s="3381"/>
      <c r="R5" s="3386"/>
      <c r="S5" s="3387"/>
      <c r="T5" s="3386"/>
      <c r="U5" s="3387"/>
      <c r="V5" s="3371"/>
      <c r="W5" s="3371"/>
      <c r="X5" s="1568"/>
      <c r="Y5" s="3386"/>
      <c r="Z5" s="3387"/>
      <c r="AA5" s="3374"/>
      <c r="AB5" s="3374"/>
      <c r="AC5" s="3374"/>
    </row>
    <row r="6" spans="1:29" ht="15.75" thickBot="1">
      <c r="A6" s="517"/>
      <c r="B6" s="518"/>
      <c r="C6" s="3390" t="s">
        <v>2934</v>
      </c>
      <c r="D6" s="3391"/>
      <c r="E6" s="3408" t="s">
        <v>2934</v>
      </c>
      <c r="F6" s="3409"/>
      <c r="G6" s="3390" t="s">
        <v>2934</v>
      </c>
      <c r="H6" s="3391"/>
      <c r="I6" s="3390" t="s">
        <v>2934</v>
      </c>
      <c r="J6" s="3391"/>
      <c r="K6" s="514" t="s">
        <v>528</v>
      </c>
      <c r="L6" s="2134"/>
      <c r="M6" s="2135"/>
      <c r="N6" s="2135"/>
      <c r="O6" s="2135"/>
      <c r="P6" s="3493"/>
      <c r="Q6" s="3383"/>
      <c r="R6" s="3386"/>
      <c r="S6" s="3387"/>
      <c r="T6" s="3388"/>
      <c r="U6" s="3389"/>
      <c r="V6" s="3371"/>
      <c r="W6" s="3371"/>
      <c r="X6" s="1568"/>
      <c r="Y6" s="3388"/>
      <c r="Z6" s="3389"/>
      <c r="AA6" s="3375"/>
      <c r="AB6" s="3375"/>
      <c r="AC6" s="3375"/>
    </row>
    <row r="7" spans="1:29" s="1220" customFormat="1" ht="15.75" thickBot="1">
      <c r="A7" s="2889"/>
      <c r="B7" s="2896" t="s">
        <v>529</v>
      </c>
      <c r="C7" s="519">
        <f>'数据-取费表'!B2</f>
        <v>43490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03" t="s">
        <v>530</v>
      </c>
      <c r="Q7" s="3403"/>
      <c r="R7" s="1569" t="s">
        <v>8</v>
      </c>
      <c r="S7" s="1570">
        <f t="shared" ref="S7:S15" si="0">F7</f>
        <v>0</v>
      </c>
      <c r="T7" s="1569" t="s">
        <v>8</v>
      </c>
      <c r="U7" s="1570">
        <f t="shared" ref="U7:U15" si="1">H7</f>
        <v>0</v>
      </c>
      <c r="V7" s="1569" t="s">
        <v>8</v>
      </c>
      <c r="W7" s="1570">
        <f t="shared" ref="W7:W15" si="2">J7</f>
        <v>0</v>
      </c>
      <c r="X7" s="1571"/>
      <c r="Y7" s="3401" t="s">
        <v>530</v>
      </c>
      <c r="Z7" s="3402"/>
      <c r="AA7" s="1572" t="e">
        <f>D7/F7</f>
        <v>#DIV/0!</v>
      </c>
      <c r="AB7" s="1572" t="e">
        <f>D7/H7</f>
        <v>#DIV/0!</v>
      </c>
      <c r="AC7" s="1572" t="e">
        <f>D7/J7</f>
        <v>#DIV/0!</v>
      </c>
    </row>
    <row r="8" spans="1:29" s="1220"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03" t="s">
        <v>533</v>
      </c>
      <c r="Q8" s="3402"/>
      <c r="R8" s="1569" t="s">
        <v>8</v>
      </c>
      <c r="S8" s="1570">
        <f t="shared" si="0"/>
        <v>0</v>
      </c>
      <c r="T8" s="1569" t="s">
        <v>8</v>
      </c>
      <c r="U8" s="1570">
        <f t="shared" si="1"/>
        <v>0</v>
      </c>
      <c r="V8" s="1569" t="s">
        <v>8</v>
      </c>
      <c r="W8" s="1570">
        <f t="shared" si="2"/>
        <v>0</v>
      </c>
      <c r="X8" s="1571"/>
      <c r="Y8" s="3401" t="s">
        <v>533</v>
      </c>
      <c r="Z8" s="3402"/>
      <c r="AA8" s="1572" t="e">
        <f t="shared" ref="AA8:AA47" si="3">D8/F8</f>
        <v>#DIV/0!</v>
      </c>
      <c r="AB8" s="1572" t="e">
        <f t="shared" ref="AB8:AB47" si="4">D8/H8</f>
        <v>#DIV/0!</v>
      </c>
      <c r="AC8" s="1572" t="e">
        <f t="shared" ref="AC8:AC47" si="5">D8/J8</f>
        <v>#DIV/0!</v>
      </c>
    </row>
    <row r="9" spans="1:29" s="1220" customFormat="1" ht="15">
      <c r="A9" s="2891"/>
      <c r="B9" s="2898"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70"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892"/>
      <c r="B10" s="2897"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3"/>
      <c r="B11" s="2897"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70"/>
      <c r="Q11" s="1151" t="str">
        <f t="shared" si="6"/>
        <v>容积率</v>
      </c>
      <c r="R11" s="1569" t="s">
        <v>8</v>
      </c>
      <c r="S11" s="1570" t="e">
        <f t="shared" si="0"/>
        <v>#N/A</v>
      </c>
      <c r="T11" s="1569" t="s">
        <v>8</v>
      </c>
      <c r="U11" s="1570" t="e">
        <f t="shared" si="1"/>
        <v>#N/A</v>
      </c>
      <c r="V11" s="1569" t="s">
        <v>8</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70"/>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
      <c r="A13" s="2894"/>
      <c r="B13" s="2900">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70"/>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15.75" thickBot="1">
      <c r="A14" s="2895"/>
      <c r="B14" s="2901">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70"/>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 t="shared" si="3"/>
        <v>1</v>
      </c>
      <c r="AB14" s="1572">
        <f t="shared" si="4"/>
        <v>1</v>
      </c>
      <c r="AC14" s="1572">
        <f t="shared" si="5"/>
        <v>1</v>
      </c>
    </row>
    <row r="15" spans="1:29" ht="71.25">
      <c r="A15" s="2887"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04" t="s">
        <v>540</v>
      </c>
      <c r="Q15" s="1573" t="str">
        <f t="shared" si="6"/>
        <v>办公集聚程度</v>
      </c>
      <c r="R15" s="1574" t="s">
        <v>8</v>
      </c>
      <c r="S15" s="1575">
        <f t="shared" si="0"/>
        <v>100</v>
      </c>
      <c r="T15" s="1574" t="s">
        <v>8</v>
      </c>
      <c r="U15" s="1575">
        <f t="shared" si="1"/>
        <v>100</v>
      </c>
      <c r="V15" s="1574" t="s">
        <v>8</v>
      </c>
      <c r="W15" s="1575">
        <f t="shared" si="2"/>
        <v>100</v>
      </c>
      <c r="X15" s="1568"/>
      <c r="Y15" s="340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05"/>
      <c r="Q16" s="1573"/>
      <c r="R16" s="1574"/>
      <c r="S16" s="1575"/>
      <c r="T16" s="1574"/>
      <c r="U16" s="1575"/>
      <c r="V16" s="1574"/>
      <c r="W16" s="1575"/>
      <c r="X16" s="1568"/>
      <c r="Y16" s="340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05"/>
      <c r="Q18" s="1573"/>
      <c r="R18" s="1574"/>
      <c r="S18" s="1575"/>
      <c r="T18" s="1574"/>
      <c r="U18" s="1575"/>
      <c r="V18" s="1574"/>
      <c r="W18" s="1575"/>
      <c r="X18" s="1568"/>
      <c r="Y18" s="3405"/>
      <c r="Z18" s="1576"/>
      <c r="AA18" s="1577">
        <v>1</v>
      </c>
      <c r="AB18" s="1577">
        <v>1</v>
      </c>
      <c r="AC18" s="1577">
        <v>1</v>
      </c>
    </row>
    <row r="19" spans="1:29" ht="42.75">
      <c r="A19" s="532"/>
      <c r="B19" s="2581"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05"/>
      <c r="Q20" s="1573"/>
      <c r="R20" s="1574"/>
      <c r="S20" s="1575"/>
      <c r="T20" s="1574"/>
      <c r="U20" s="1575"/>
      <c r="V20" s="1574"/>
      <c r="W20" s="1575"/>
      <c r="X20" s="1568"/>
      <c r="Y20" s="3405"/>
      <c r="Z20" s="1576"/>
      <c r="AA20" s="1577">
        <v>1</v>
      </c>
      <c r="AB20" s="1577">
        <v>1</v>
      </c>
      <c r="AC20" s="1577">
        <v>1</v>
      </c>
    </row>
    <row r="21" spans="1:29" ht="28.5">
      <c r="A21" s="532"/>
      <c r="B21" s="2569"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5"/>
      <c r="Q21" s="2557" t="str">
        <f>B21</f>
        <v>基础设施水平</v>
      </c>
      <c r="R21" s="1574" t="s">
        <v>8</v>
      </c>
      <c r="S21" s="1575">
        <f>F21</f>
        <v>100</v>
      </c>
      <c r="T21" s="1574" t="s">
        <v>8</v>
      </c>
      <c r="U21" s="1575">
        <f>H21</f>
        <v>100</v>
      </c>
      <c r="V21" s="1574" t="s">
        <v>8</v>
      </c>
      <c r="W21" s="1575">
        <f>J21</f>
        <v>100</v>
      </c>
      <c r="X21" s="2559"/>
      <c r="Y21" s="3405"/>
      <c r="Z21" s="2558"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0"/>
      <c r="L22" s="2143"/>
      <c r="M22" s="2135"/>
      <c r="N22" s="2135"/>
      <c r="O22" s="2135"/>
      <c r="P22" s="3405"/>
      <c r="Q22" s="2557"/>
      <c r="R22" s="1574"/>
      <c r="S22" s="1575"/>
      <c r="T22" s="1574"/>
      <c r="U22" s="1575"/>
      <c r="V22" s="1574"/>
      <c r="W22" s="1575"/>
      <c r="X22" s="2559"/>
      <c r="Y22" s="3405"/>
      <c r="Z22" s="2558"/>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5"/>
      <c r="Q23" s="1573" t="str">
        <f>B23</f>
        <v>环境质量</v>
      </c>
      <c r="R23" s="1574" t="s">
        <v>8</v>
      </c>
      <c r="S23" s="1575">
        <f>F23</f>
        <v>100</v>
      </c>
      <c r="T23" s="1574" t="s">
        <v>8</v>
      </c>
      <c r="U23" s="1575">
        <f>H23</f>
        <v>100</v>
      </c>
      <c r="V23" s="1574" t="s">
        <v>8</v>
      </c>
      <c r="W23" s="1575">
        <f>J23</f>
        <v>100</v>
      </c>
      <c r="X23" s="1568"/>
      <c r="Y23" s="340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05"/>
      <c r="Q24" s="1573"/>
      <c r="R24" s="1574"/>
      <c r="S24" s="1575"/>
      <c r="T24" s="1574"/>
      <c r="U24" s="1575"/>
      <c r="V24" s="1574"/>
      <c r="W24" s="1575"/>
      <c r="X24" s="1568"/>
      <c r="Y24" s="340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5"/>
      <c r="Q25" s="1573" t="str">
        <f>B25</f>
        <v>毗邻道路的类型与等级</v>
      </c>
      <c r="R25" s="1574" t="s">
        <v>8</v>
      </c>
      <c r="S25" s="1575">
        <f>F25</f>
        <v>100</v>
      </c>
      <c r="T25" s="1574" t="s">
        <v>8</v>
      </c>
      <c r="U25" s="1575">
        <f>H25</f>
        <v>100</v>
      </c>
      <c r="V25" s="1574" t="s">
        <v>8</v>
      </c>
      <c r="W25" s="1575">
        <f>J25</f>
        <v>100</v>
      </c>
      <c r="X25" s="1568"/>
      <c r="Y25" s="340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05"/>
      <c r="Q26" s="1573"/>
      <c r="R26" s="1574"/>
      <c r="S26" s="1575"/>
      <c r="T26" s="1574"/>
      <c r="U26" s="1575"/>
      <c r="V26" s="1574"/>
      <c r="W26" s="1575"/>
      <c r="X26" s="1568"/>
      <c r="Y26" s="340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5"/>
      <c r="Q27" s="1573" t="str">
        <f t="shared" ref="Q27:Q47" si="11">B27</f>
        <v>楼层</v>
      </c>
      <c r="R27" s="1574" t="s">
        <v>8</v>
      </c>
      <c r="S27" s="1575">
        <f>F27</f>
        <v>100</v>
      </c>
      <c r="T27" s="1574" t="s">
        <v>8</v>
      </c>
      <c r="U27" s="1575">
        <f>H27</f>
        <v>100</v>
      </c>
      <c r="V27" s="1574" t="s">
        <v>8</v>
      </c>
      <c r="W27" s="1575">
        <f>J27</f>
        <v>100</v>
      </c>
      <c r="X27" s="1568"/>
      <c r="Y27" s="340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5"/>
      <c r="Q28" s="1151" t="str">
        <f t="shared" si="11"/>
        <v>朝向</v>
      </c>
      <c r="R28" s="1569" t="s">
        <v>8</v>
      </c>
      <c r="S28" s="1570">
        <f>F28</f>
        <v>100</v>
      </c>
      <c r="T28" s="1569" t="s">
        <v>8</v>
      </c>
      <c r="U28" s="1570">
        <f>H28</f>
        <v>100</v>
      </c>
      <c r="V28" s="1569" t="s">
        <v>8</v>
      </c>
      <c r="W28" s="1570">
        <f>J28</f>
        <v>100</v>
      </c>
      <c r="X28" s="1571"/>
      <c r="Y28" s="340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5"/>
      <c r="Q29" s="1573">
        <f t="shared" si="11"/>
        <v>111</v>
      </c>
      <c r="R29" s="1574" t="s">
        <v>8</v>
      </c>
      <c r="S29" s="1575">
        <f t="shared" ref="S29:S47" si="12">F29</f>
        <v>100</v>
      </c>
      <c r="T29" s="1574" t="s">
        <v>8</v>
      </c>
      <c r="U29" s="1575">
        <f t="shared" ref="U29:U47" si="13">H29</f>
        <v>100</v>
      </c>
      <c r="V29" s="1574" t="s">
        <v>8</v>
      </c>
      <c r="W29" s="1575">
        <f t="shared" ref="W29:W47" si="14">J29</f>
        <v>100</v>
      </c>
      <c r="X29" s="1568"/>
      <c r="Y29" s="340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5"/>
      <c r="Q30" s="1573">
        <f t="shared" si="11"/>
        <v>111</v>
      </c>
      <c r="R30" s="1574" t="s">
        <v>8</v>
      </c>
      <c r="S30" s="1575">
        <f t="shared" si="12"/>
        <v>100</v>
      </c>
      <c r="T30" s="1574" t="s">
        <v>8</v>
      </c>
      <c r="U30" s="1575">
        <f t="shared" si="13"/>
        <v>100</v>
      </c>
      <c r="V30" s="1574" t="s">
        <v>8</v>
      </c>
      <c r="W30" s="1575">
        <f t="shared" si="14"/>
        <v>100</v>
      </c>
      <c r="X30" s="1568"/>
      <c r="Y30" s="340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5"/>
      <c r="Q31" s="1573">
        <f t="shared" si="11"/>
        <v>111</v>
      </c>
      <c r="R31" s="1574" t="s">
        <v>8</v>
      </c>
      <c r="S31" s="1575">
        <f t="shared" si="12"/>
        <v>100</v>
      </c>
      <c r="T31" s="1574" t="s">
        <v>8</v>
      </c>
      <c r="U31" s="1575">
        <f t="shared" si="13"/>
        <v>100</v>
      </c>
      <c r="V31" s="1574" t="s">
        <v>8</v>
      </c>
      <c r="W31" s="1575">
        <f t="shared" si="14"/>
        <v>100</v>
      </c>
      <c r="X31" s="1568"/>
      <c r="Y31" s="340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5"/>
      <c r="Q32" s="1573">
        <f t="shared" si="11"/>
        <v>111</v>
      </c>
      <c r="R32" s="1574" t="s">
        <v>8</v>
      </c>
      <c r="S32" s="1575">
        <f t="shared" si="12"/>
        <v>100</v>
      </c>
      <c r="T32" s="1574" t="s">
        <v>8</v>
      </c>
      <c r="U32" s="1575">
        <f t="shared" si="13"/>
        <v>100</v>
      </c>
      <c r="V32" s="1574" t="s">
        <v>8</v>
      </c>
      <c r="W32" s="1575">
        <f t="shared" si="14"/>
        <v>100</v>
      </c>
      <c r="X32" s="1568"/>
      <c r="Y32" s="3405"/>
      <c r="Z32" s="1576">
        <f t="shared" si="15"/>
        <v>111</v>
      </c>
      <c r="AA32" s="1577">
        <f t="shared" si="3"/>
        <v>1</v>
      </c>
      <c r="AB32" s="1577">
        <f t="shared" si="4"/>
        <v>1</v>
      </c>
      <c r="AC32" s="1577">
        <f t="shared" si="5"/>
        <v>1</v>
      </c>
    </row>
    <row r="33" spans="1:29" ht="15">
      <c r="A33" s="2884"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6" t="s">
        <v>550</v>
      </c>
      <c r="Q33" s="1573" t="str">
        <f t="shared" si="11"/>
        <v>建筑类型</v>
      </c>
      <c r="R33" s="1574" t="s">
        <v>8</v>
      </c>
      <c r="S33" s="1575">
        <f t="shared" si="12"/>
        <v>100</v>
      </c>
      <c r="T33" s="1574" t="s">
        <v>8</v>
      </c>
      <c r="U33" s="1575">
        <f t="shared" si="13"/>
        <v>100</v>
      </c>
      <c r="V33" s="1574" t="s">
        <v>8</v>
      </c>
      <c r="W33" s="1575">
        <f t="shared" si="14"/>
        <v>100</v>
      </c>
      <c r="X33" s="1568"/>
      <c r="Y33" s="340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7"/>
      <c r="Q34" s="1606" t="str">
        <f t="shared" si="11"/>
        <v>项目建筑规模</v>
      </c>
      <c r="R34" s="1578" t="s">
        <v>8</v>
      </c>
      <c r="S34" s="1579" t="e">
        <f t="shared" si="12"/>
        <v>#N/A</v>
      </c>
      <c r="T34" s="1578" t="s">
        <v>8</v>
      </c>
      <c r="U34" s="1579" t="e">
        <f t="shared" si="13"/>
        <v>#N/A</v>
      </c>
      <c r="V34" s="1578" t="s">
        <v>8</v>
      </c>
      <c r="W34" s="1579" t="e">
        <f t="shared" si="14"/>
        <v>#N/A</v>
      </c>
      <c r="X34" s="1580"/>
      <c r="Y34" s="340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7"/>
      <c r="Q35" s="1573" t="str">
        <f t="shared" si="11"/>
        <v>建筑结构</v>
      </c>
      <c r="R35" s="1574" t="s">
        <v>8</v>
      </c>
      <c r="S35" s="1575">
        <f t="shared" si="12"/>
        <v>100</v>
      </c>
      <c r="T35" s="1574" t="s">
        <v>8</v>
      </c>
      <c r="U35" s="1575">
        <f t="shared" si="13"/>
        <v>100</v>
      </c>
      <c r="V35" s="1574" t="s">
        <v>8</v>
      </c>
      <c r="W35" s="1575">
        <f t="shared" si="14"/>
        <v>100</v>
      </c>
      <c r="X35" s="1568"/>
      <c r="Y35" s="340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7"/>
      <c r="Q36" s="1573" t="str">
        <f t="shared" si="11"/>
        <v>公共部分装修</v>
      </c>
      <c r="R36" s="1574" t="s">
        <v>8</v>
      </c>
      <c r="S36" s="1575">
        <f t="shared" si="12"/>
        <v>100</v>
      </c>
      <c r="T36" s="1574" t="s">
        <v>8</v>
      </c>
      <c r="U36" s="1575">
        <f t="shared" si="13"/>
        <v>100</v>
      </c>
      <c r="V36" s="1574" t="s">
        <v>8</v>
      </c>
      <c r="W36" s="1575">
        <f t="shared" si="14"/>
        <v>100</v>
      </c>
      <c r="X36" s="1568"/>
      <c r="Y36" s="340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7"/>
      <c r="Q37" s="1573" t="str">
        <f t="shared" si="11"/>
        <v>成新度</v>
      </c>
      <c r="R37" s="1574" t="s">
        <v>8</v>
      </c>
      <c r="S37" s="1575" t="e">
        <f t="shared" si="12"/>
        <v>#N/A</v>
      </c>
      <c r="T37" s="1574" t="s">
        <v>8</v>
      </c>
      <c r="U37" s="1575" t="e">
        <f t="shared" si="13"/>
        <v>#N/A</v>
      </c>
      <c r="V37" s="1574" t="s">
        <v>8</v>
      </c>
      <c r="W37" s="1575" t="e">
        <f t="shared" si="14"/>
        <v>#N/A</v>
      </c>
      <c r="X37" s="1568"/>
      <c r="Y37" s="340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7"/>
      <c r="Q38" s="1151" t="str">
        <f t="shared" si="11"/>
        <v>写字楼等级</v>
      </c>
      <c r="R38" s="1569" t="s">
        <v>8</v>
      </c>
      <c r="S38" s="1570">
        <f t="shared" si="12"/>
        <v>100</v>
      </c>
      <c r="T38" s="1569" t="s">
        <v>8</v>
      </c>
      <c r="U38" s="1570">
        <f t="shared" si="13"/>
        <v>100</v>
      </c>
      <c r="V38" s="1569" t="s">
        <v>8</v>
      </c>
      <c r="W38" s="1570">
        <f t="shared" si="14"/>
        <v>100</v>
      </c>
      <c r="X38" s="1571"/>
      <c r="Y38" s="340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7" t="s">
        <v>550</v>
      </c>
      <c r="Q39" s="1573" t="str">
        <f t="shared" si="11"/>
        <v>物业管理</v>
      </c>
      <c r="R39" s="1574" t="s">
        <v>8</v>
      </c>
      <c r="S39" s="1575">
        <f t="shared" si="12"/>
        <v>100</v>
      </c>
      <c r="T39" s="1574" t="s">
        <v>8</v>
      </c>
      <c r="U39" s="1575">
        <f t="shared" si="13"/>
        <v>100</v>
      </c>
      <c r="V39" s="1574" t="s">
        <v>8</v>
      </c>
      <c r="W39" s="1575">
        <f t="shared" si="14"/>
        <v>100</v>
      </c>
      <c r="X39" s="1568"/>
      <c r="Y39" s="3407"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7"/>
      <c r="Q40" s="1573" t="str">
        <f t="shared" si="11"/>
        <v>市政基础设施</v>
      </c>
      <c r="R40" s="1574" t="s">
        <v>8</v>
      </c>
      <c r="S40" s="1575">
        <f t="shared" si="12"/>
        <v>100</v>
      </c>
      <c r="T40" s="1574" t="s">
        <v>8</v>
      </c>
      <c r="U40" s="1575">
        <f t="shared" si="13"/>
        <v>100</v>
      </c>
      <c r="V40" s="1574" t="s">
        <v>8</v>
      </c>
      <c r="W40" s="1575">
        <f t="shared" si="14"/>
        <v>100</v>
      </c>
      <c r="X40" s="1568"/>
      <c r="Y40" s="340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7"/>
      <c r="Q41" s="1573" t="str">
        <f t="shared" si="11"/>
        <v>层高</v>
      </c>
      <c r="R41" s="1574" t="s">
        <v>8</v>
      </c>
      <c r="S41" s="1575">
        <f t="shared" si="12"/>
        <v>100</v>
      </c>
      <c r="T41" s="1574" t="s">
        <v>8</v>
      </c>
      <c r="U41" s="1575">
        <f t="shared" si="13"/>
        <v>100</v>
      </c>
      <c r="V41" s="1574" t="s">
        <v>8</v>
      </c>
      <c r="W41" s="1575">
        <f t="shared" si="14"/>
        <v>100</v>
      </c>
      <c r="X41" s="1568"/>
      <c r="Y41" s="340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7"/>
      <c r="Q42" s="1606" t="str">
        <f t="shared" si="11"/>
        <v>单套建筑面积</v>
      </c>
      <c r="R42" s="1578" t="s">
        <v>8</v>
      </c>
      <c r="S42" s="1579">
        <f t="shared" si="12"/>
        <v>100</v>
      </c>
      <c r="T42" s="1578" t="s">
        <v>8</v>
      </c>
      <c r="U42" s="1579">
        <f t="shared" si="13"/>
        <v>100</v>
      </c>
      <c r="V42" s="1578" t="s">
        <v>8</v>
      </c>
      <c r="W42" s="1579">
        <f t="shared" si="14"/>
        <v>100</v>
      </c>
      <c r="X42" s="1580"/>
      <c r="Y42" s="340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7"/>
      <c r="Q43" s="1573" t="str">
        <f t="shared" si="11"/>
        <v>内部装修</v>
      </c>
      <c r="R43" s="1574" t="s">
        <v>8</v>
      </c>
      <c r="S43" s="1575">
        <f t="shared" si="12"/>
        <v>100</v>
      </c>
      <c r="T43" s="1574" t="s">
        <v>8</v>
      </c>
      <c r="U43" s="1575">
        <f t="shared" si="13"/>
        <v>100</v>
      </c>
      <c r="V43" s="1574" t="s">
        <v>8</v>
      </c>
      <c r="W43" s="1575">
        <f t="shared" si="14"/>
        <v>100</v>
      </c>
      <c r="X43" s="1568"/>
      <c r="Y43" s="340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7"/>
      <c r="Q44" s="1573" t="str">
        <f t="shared" si="11"/>
        <v>内部装修维护情况</v>
      </c>
      <c r="R44" s="1574" t="s">
        <v>8</v>
      </c>
      <c r="S44" s="1575">
        <f t="shared" si="12"/>
        <v>100</v>
      </c>
      <c r="T44" s="1574" t="s">
        <v>8</v>
      </c>
      <c r="U44" s="1575">
        <f t="shared" si="13"/>
        <v>100</v>
      </c>
      <c r="V44" s="1574" t="s">
        <v>8</v>
      </c>
      <c r="W44" s="1575">
        <f t="shared" si="14"/>
        <v>100</v>
      </c>
      <c r="X44" s="1568"/>
      <c r="Y44" s="340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7"/>
      <c r="Q45" s="1151">
        <f t="shared" si="11"/>
        <v>111</v>
      </c>
      <c r="R45" s="1569" t="s">
        <v>8</v>
      </c>
      <c r="S45" s="1570">
        <f t="shared" si="12"/>
        <v>100</v>
      </c>
      <c r="T45" s="1569" t="s">
        <v>8</v>
      </c>
      <c r="U45" s="1570">
        <f t="shared" si="13"/>
        <v>100</v>
      </c>
      <c r="V45" s="1569" t="s">
        <v>8</v>
      </c>
      <c r="W45" s="1570">
        <f t="shared" si="14"/>
        <v>100</v>
      </c>
      <c r="X45" s="1571"/>
      <c r="Y45" s="340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7"/>
      <c r="Q46" s="1573">
        <f t="shared" si="11"/>
        <v>111</v>
      </c>
      <c r="R46" s="1574" t="s">
        <v>8</v>
      </c>
      <c r="S46" s="1575">
        <f t="shared" si="12"/>
        <v>100</v>
      </c>
      <c r="T46" s="1574" t="s">
        <v>8</v>
      </c>
      <c r="U46" s="1575">
        <f t="shared" si="13"/>
        <v>100</v>
      </c>
      <c r="V46" s="1574" t="s">
        <v>8</v>
      </c>
      <c r="W46" s="1575">
        <f t="shared" si="14"/>
        <v>100</v>
      </c>
      <c r="X46" s="1568"/>
      <c r="Y46" s="340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85"/>
      <c r="Q47" s="1573">
        <f t="shared" si="11"/>
        <v>111</v>
      </c>
      <c r="R47" s="1574" t="s">
        <v>8</v>
      </c>
      <c r="S47" s="1575">
        <f t="shared" si="12"/>
        <v>100</v>
      </c>
      <c r="T47" s="1574" t="s">
        <v>8</v>
      </c>
      <c r="U47" s="1575">
        <f t="shared" si="13"/>
        <v>100</v>
      </c>
      <c r="V47" s="1574" t="s">
        <v>8</v>
      </c>
      <c r="W47" s="1575">
        <f t="shared" si="14"/>
        <v>100</v>
      </c>
      <c r="X47" s="1568"/>
      <c r="Y47" s="3485"/>
      <c r="Z47" s="1576">
        <f t="shared" si="15"/>
        <v>111</v>
      </c>
      <c r="AA47" s="1577">
        <f t="shared" si="3"/>
        <v>1</v>
      </c>
      <c r="AB47" s="1577">
        <f t="shared" si="4"/>
        <v>1</v>
      </c>
      <c r="AC47" s="1577">
        <f t="shared" si="5"/>
        <v>1</v>
      </c>
    </row>
    <row r="48" spans="1:29" ht="15">
      <c r="A48" s="607" t="s">
        <v>736</v>
      </c>
      <c r="B48" s="887"/>
      <c r="C48" s="2605" t="s">
        <v>1</v>
      </c>
      <c r="D48" s="2606"/>
      <c r="E48" s="2607"/>
      <c r="F48" s="2608"/>
      <c r="G48" s="2609"/>
      <c r="H48" s="2610"/>
      <c r="I48" s="2607"/>
      <c r="J48" s="2610"/>
      <c r="K48" s="1612"/>
      <c r="L48" s="2145"/>
      <c r="M48" s="2135"/>
      <c r="N48" s="2135"/>
      <c r="O48" s="2135"/>
      <c r="P48" s="3368" t="str">
        <f>A48</f>
        <v>成交单价（元/平方米）</v>
      </c>
      <c r="Q48" s="3370"/>
      <c r="R48" s="3484">
        <f>E48</f>
        <v>0</v>
      </c>
      <c r="S48" s="3484"/>
      <c r="T48" s="3484">
        <f>G48</f>
        <v>0</v>
      </c>
      <c r="U48" s="3484"/>
      <c r="V48" s="3484">
        <f>I48</f>
        <v>0</v>
      </c>
      <c r="W48" s="3484"/>
      <c r="X48" s="1560"/>
      <c r="Y48" s="1582"/>
      <c r="Z48" s="1560"/>
      <c r="AA48" s="1560"/>
      <c r="AB48" s="1560"/>
      <c r="AC48" s="1560"/>
    </row>
    <row r="49" spans="1:29" ht="15.75" thickBot="1">
      <c r="A49" s="615" t="s">
        <v>2761</v>
      </c>
      <c r="B49" s="888"/>
      <c r="C49" s="2611" t="e">
        <f>R50</f>
        <v>#DIV/0!</v>
      </c>
      <c r="D49" s="2612"/>
      <c r="E49" s="2613" t="e">
        <f>R49</f>
        <v>#DIV/0!</v>
      </c>
      <c r="F49" s="2613"/>
      <c r="G49" s="2611" t="e">
        <f>T49</f>
        <v>#DIV/0!</v>
      </c>
      <c r="H49" s="2612"/>
      <c r="I49" s="2613" t="e">
        <f>V49</f>
        <v>#DIV/0!</v>
      </c>
      <c r="J49" s="2612"/>
      <c r="K49" s="1613"/>
      <c r="L49" s="2145"/>
      <c r="M49" s="2135"/>
      <c r="N49" s="2135"/>
      <c r="O49" s="2135"/>
      <c r="P49" s="3368" t="str">
        <f>A49</f>
        <v>比较价格（元/平方米）</v>
      </c>
      <c r="Q49" s="3370"/>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60"/>
      <c r="Y49" s="1560"/>
      <c r="Z49" s="1560"/>
      <c r="AA49" s="1560"/>
      <c r="AB49" s="1560"/>
      <c r="AC49" s="1560"/>
    </row>
    <row r="50" spans="1:29" ht="15.75" thickBot="1">
      <c r="A50" s="621" t="s">
        <v>2936</v>
      </c>
      <c r="B50" s="622"/>
      <c r="C50" s="2614" t="e">
        <f>R50</f>
        <v>#DIV/0!</v>
      </c>
      <c r="D50" s="2614"/>
      <c r="E50" s="2614"/>
      <c r="F50" s="2614"/>
      <c r="G50" s="2614"/>
      <c r="H50" s="2614"/>
      <c r="I50" s="2614"/>
      <c r="J50" s="2614"/>
      <c r="K50" s="1614"/>
      <c r="L50" s="2145"/>
      <c r="M50" s="2135"/>
      <c r="N50" s="2135"/>
      <c r="O50" s="2135"/>
      <c r="P50" s="3490" t="str">
        <f>A50</f>
        <v>估价对象XX用房的比较价格（楼面单价，元/平方米）</v>
      </c>
      <c r="Q50" s="3368"/>
      <c r="R50" s="3483" t="e">
        <f>IF(F1="售价",ROUND(AVERAGE(R49:V49),0),ROUND(AVERAGE(R49:V49),1))</f>
        <v>#DIV/0!</v>
      </c>
      <c r="S50" s="3483"/>
      <c r="T50" s="3483"/>
      <c r="U50" s="3483"/>
      <c r="V50" s="3483"/>
      <c r="W50" s="348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5" t="s">
        <v>2559</v>
      </c>
      <c r="C83" s="2576" t="s">
        <v>2560</v>
      </c>
      <c r="D83" s="2576" t="s">
        <v>2561</v>
      </c>
      <c r="E83" s="2576" t="s">
        <v>2562</v>
      </c>
      <c r="F83" s="2576" t="s">
        <v>2563</v>
      </c>
      <c r="G83" s="2576" t="s">
        <v>2564</v>
      </c>
      <c r="H83" s="674"/>
      <c r="I83" s="674"/>
      <c r="J83" s="674"/>
      <c r="K83" s="674"/>
      <c r="L83" s="674"/>
      <c r="M83" s="2579"/>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4"/>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6" t="s">
        <v>522</v>
      </c>
      <c r="D4" s="3377"/>
      <c r="E4" s="3410" t="s">
        <v>523</v>
      </c>
      <c r="F4" s="3411"/>
      <c r="G4" s="3376" t="s">
        <v>524</v>
      </c>
      <c r="H4" s="3377"/>
      <c r="I4" s="3376" t="s">
        <v>525</v>
      </c>
      <c r="J4" s="3377"/>
      <c r="K4" s="514" t="s">
        <v>526</v>
      </c>
      <c r="L4" s="2134"/>
      <c r="M4" s="2135"/>
      <c r="N4" s="2135"/>
      <c r="O4" s="2135"/>
      <c r="P4" s="3378" t="s">
        <v>527</v>
      </c>
      <c r="Q4" s="3379"/>
      <c r="R4" s="3384" t="s">
        <v>523</v>
      </c>
      <c r="S4" s="3385"/>
      <c r="T4" s="3384" t="s">
        <v>524</v>
      </c>
      <c r="U4" s="3385"/>
      <c r="V4" s="3371" t="s">
        <v>525</v>
      </c>
      <c r="W4" s="3371"/>
      <c r="X4" s="1568"/>
      <c r="Y4" s="3384" t="s">
        <v>527</v>
      </c>
      <c r="Z4" s="3385"/>
      <c r="AA4" s="3373" t="s">
        <v>523</v>
      </c>
      <c r="AB4" s="3374" t="s">
        <v>524</v>
      </c>
      <c r="AC4" s="3373" t="s">
        <v>525</v>
      </c>
    </row>
    <row r="5" spans="1:29" ht="15">
      <c r="A5" s="515"/>
      <c r="B5" s="516"/>
      <c r="C5" s="3392" t="s">
        <v>2930</v>
      </c>
      <c r="D5" s="3393"/>
      <c r="E5" s="3412" t="s">
        <v>2931</v>
      </c>
      <c r="F5" s="3413"/>
      <c r="G5" s="3392" t="s">
        <v>2932</v>
      </c>
      <c r="H5" s="3393"/>
      <c r="I5" s="3392" t="s">
        <v>2933</v>
      </c>
      <c r="J5" s="3393"/>
      <c r="K5" s="514"/>
      <c r="L5" s="2134"/>
      <c r="M5" s="2135"/>
      <c r="N5" s="2135"/>
      <c r="O5" s="2135"/>
      <c r="P5" s="3380"/>
      <c r="Q5" s="3381"/>
      <c r="R5" s="3386"/>
      <c r="S5" s="3387"/>
      <c r="T5" s="3386"/>
      <c r="U5" s="3387"/>
      <c r="V5" s="3371"/>
      <c r="W5" s="3371"/>
      <c r="X5" s="1568"/>
      <c r="Y5" s="3386"/>
      <c r="Z5" s="3387"/>
      <c r="AA5" s="3374"/>
      <c r="AB5" s="3374"/>
      <c r="AC5" s="3374"/>
    </row>
    <row r="6" spans="1:29" ht="15.75" thickBot="1">
      <c r="A6" s="517"/>
      <c r="B6" s="518"/>
      <c r="C6" s="3390" t="s">
        <v>2934</v>
      </c>
      <c r="D6" s="3391"/>
      <c r="E6" s="3408" t="s">
        <v>2934</v>
      </c>
      <c r="F6" s="3409"/>
      <c r="G6" s="3390" t="s">
        <v>2934</v>
      </c>
      <c r="H6" s="3391"/>
      <c r="I6" s="3390" t="s">
        <v>2934</v>
      </c>
      <c r="J6" s="3391"/>
      <c r="K6" s="514" t="s">
        <v>528</v>
      </c>
      <c r="L6" s="2134"/>
      <c r="M6" s="2135"/>
      <c r="N6" s="2135"/>
      <c r="O6" s="2135"/>
      <c r="P6" s="3382"/>
      <c r="Q6" s="3383"/>
      <c r="R6" s="3386"/>
      <c r="S6" s="3387"/>
      <c r="T6" s="3388"/>
      <c r="U6" s="3389"/>
      <c r="V6" s="3371"/>
      <c r="W6" s="3371"/>
      <c r="X6" s="1568"/>
      <c r="Y6" s="3388"/>
      <c r="Z6" s="3389"/>
      <c r="AA6" s="3375"/>
      <c r="AB6" s="3375"/>
      <c r="AC6" s="3375"/>
    </row>
    <row r="7" spans="1:29" s="1220" customFormat="1" ht="15.75" thickBot="1">
      <c r="A7" s="2889"/>
      <c r="B7" s="2896" t="s">
        <v>529</v>
      </c>
      <c r="C7" s="519">
        <f>'数据-取费表'!B2</f>
        <v>43490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01" t="s">
        <v>530</v>
      </c>
      <c r="Q7" s="3403"/>
      <c r="R7" s="1569" t="s">
        <v>8</v>
      </c>
      <c r="S7" s="1570">
        <f t="shared" ref="S7:S15" si="0">F7</f>
        <v>0</v>
      </c>
      <c r="T7" s="1569" t="s">
        <v>8</v>
      </c>
      <c r="U7" s="1570">
        <f t="shared" ref="U7:U15" si="1">H7</f>
        <v>0</v>
      </c>
      <c r="V7" s="1569" t="s">
        <v>8</v>
      </c>
      <c r="W7" s="1570">
        <f t="shared" ref="W7:W15" si="2">J7</f>
        <v>0</v>
      </c>
      <c r="X7" s="1571"/>
      <c r="Y7" s="3401" t="s">
        <v>530</v>
      </c>
      <c r="Z7" s="3402"/>
      <c r="AA7" s="1572" t="e">
        <f>D7/F7</f>
        <v>#DIV/0!</v>
      </c>
      <c r="AB7" s="1572" t="e">
        <f>D7/H7</f>
        <v>#DIV/0!</v>
      </c>
      <c r="AC7" s="1572" t="e">
        <f>D7/J7</f>
        <v>#DIV/0!</v>
      </c>
    </row>
    <row r="8" spans="1:29" s="1220"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01" t="s">
        <v>533</v>
      </c>
      <c r="Q8" s="3402"/>
      <c r="R8" s="1569" t="s">
        <v>8</v>
      </c>
      <c r="S8" s="1570">
        <f t="shared" si="0"/>
        <v>0</v>
      </c>
      <c r="T8" s="1569" t="s">
        <v>8</v>
      </c>
      <c r="U8" s="1570">
        <f t="shared" si="1"/>
        <v>0</v>
      </c>
      <c r="V8" s="1569" t="s">
        <v>8</v>
      </c>
      <c r="W8" s="1570">
        <f t="shared" si="2"/>
        <v>0</v>
      </c>
      <c r="X8" s="1571"/>
      <c r="Y8" s="3401" t="s">
        <v>533</v>
      </c>
      <c r="Z8" s="3402"/>
      <c r="AA8" s="1572" t="e">
        <f t="shared" ref="AA8:AA40" si="3">D8/F8</f>
        <v>#DIV/0!</v>
      </c>
      <c r="AB8" s="1572" t="e">
        <f t="shared" ref="AB8:AB40" si="4">D8/H8</f>
        <v>#DIV/0!</v>
      </c>
      <c r="AC8" s="1572" t="e">
        <f t="shared" ref="AC8:AC40" si="5">D8/J8</f>
        <v>#DIV/0!</v>
      </c>
    </row>
    <row r="9" spans="1:29" s="1220" customFormat="1" ht="15">
      <c r="A9" s="2891"/>
      <c r="B9" s="2898"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0"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892"/>
      <c r="B10" s="2897"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3"/>
      <c r="B11" s="2897"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0"/>
      <c r="Q11" s="1151" t="str">
        <f t="shared" si="6"/>
        <v>容积率</v>
      </c>
      <c r="R11" s="1569" t="s">
        <v>8</v>
      </c>
      <c r="S11" s="1570" t="e">
        <f t="shared" si="0"/>
        <v>#N/A</v>
      </c>
      <c r="T11" s="1569" t="s">
        <v>8</v>
      </c>
      <c r="U11" s="1570" t="e">
        <f t="shared" si="1"/>
        <v>#N/A</v>
      </c>
      <c r="V11" s="1569" t="s">
        <v>8</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70"/>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
      <c r="A13" s="2894"/>
      <c r="B13" s="2900">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70"/>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15.75" thickBot="1">
      <c r="A14" s="2895"/>
      <c r="B14" s="2901">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70"/>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 t="shared" si="3"/>
        <v>1</v>
      </c>
      <c r="AB14" s="1572">
        <f t="shared" si="4"/>
        <v>1</v>
      </c>
      <c r="AC14" s="1572">
        <f t="shared" si="5"/>
        <v>1</v>
      </c>
    </row>
    <row r="15" spans="1:29" ht="57">
      <c r="A15" s="2887"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04" t="s">
        <v>540</v>
      </c>
      <c r="Q15" s="1573" t="str">
        <f t="shared" si="6"/>
        <v>产业集聚程度</v>
      </c>
      <c r="R15" s="1574" t="s">
        <v>8</v>
      </c>
      <c r="S15" s="1575">
        <f t="shared" si="0"/>
        <v>100</v>
      </c>
      <c r="T15" s="1574" t="s">
        <v>8</v>
      </c>
      <c r="U15" s="1575">
        <f t="shared" si="1"/>
        <v>100</v>
      </c>
      <c r="V15" s="1574" t="s">
        <v>8</v>
      </c>
      <c r="W15" s="1575">
        <f t="shared" si="2"/>
        <v>100</v>
      </c>
      <c r="X15" s="1568"/>
      <c r="Y15" s="340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5"/>
      <c r="Q18" s="1573"/>
      <c r="R18" s="1574"/>
      <c r="S18" s="1575"/>
      <c r="T18" s="1574"/>
      <c r="U18" s="1575"/>
      <c r="V18" s="1574"/>
      <c r="W18" s="1575"/>
      <c r="X18" s="1568"/>
      <c r="Y18" s="3405"/>
      <c r="Z18" s="1576"/>
      <c r="AA18" s="1577">
        <v>1</v>
      </c>
      <c r="AB18" s="1577">
        <v>1</v>
      </c>
      <c r="AC18" s="1577">
        <v>1</v>
      </c>
    </row>
    <row r="19" spans="1:29" ht="42.75">
      <c r="A19" s="532"/>
      <c r="B19" s="2581"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8.5">
      <c r="A21" s="532"/>
      <c r="B21" s="2569"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5"/>
      <c r="Q21" s="2557" t="str">
        <f>B21</f>
        <v>基础设施水平</v>
      </c>
      <c r="R21" s="1574" t="s">
        <v>8</v>
      </c>
      <c r="S21" s="1575">
        <f>F21</f>
        <v>100</v>
      </c>
      <c r="T21" s="1574" t="s">
        <v>8</v>
      </c>
      <c r="U21" s="1575">
        <f>H21</f>
        <v>100</v>
      </c>
      <c r="V21" s="1574" t="s">
        <v>8</v>
      </c>
      <c r="W21" s="1575">
        <f>J21</f>
        <v>100</v>
      </c>
      <c r="X21" s="2559"/>
      <c r="Y21" s="3405"/>
      <c r="Z21" s="2558"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0"/>
      <c r="L22" s="2143"/>
      <c r="M22" s="2135"/>
      <c r="N22" s="2135"/>
      <c r="O22" s="2142"/>
      <c r="P22" s="3405"/>
      <c r="Q22" s="2557"/>
      <c r="R22" s="1574"/>
      <c r="S22" s="1575"/>
      <c r="T22" s="1574"/>
      <c r="U22" s="1575"/>
      <c r="V22" s="1574"/>
      <c r="W22" s="1575"/>
      <c r="X22" s="2559"/>
      <c r="Y22" s="3405"/>
      <c r="Z22" s="2558"/>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5"/>
      <c r="Q23" s="1573" t="str">
        <f>B23</f>
        <v>环境质量</v>
      </c>
      <c r="R23" s="1574" t="s">
        <v>8</v>
      </c>
      <c r="S23" s="1575">
        <f>F23</f>
        <v>100</v>
      </c>
      <c r="T23" s="1574" t="s">
        <v>8</v>
      </c>
      <c r="U23" s="1575">
        <f>H23</f>
        <v>100</v>
      </c>
      <c r="V23" s="1574" t="s">
        <v>8</v>
      </c>
      <c r="W23" s="1575">
        <f>J23</f>
        <v>100</v>
      </c>
      <c r="X23" s="1568"/>
      <c r="Y23" s="340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05"/>
      <c r="Q24" s="1573"/>
      <c r="R24" s="1574"/>
      <c r="S24" s="1575"/>
      <c r="T24" s="1574"/>
      <c r="U24" s="1575"/>
      <c r="V24" s="1574"/>
      <c r="W24" s="1575"/>
      <c r="X24" s="1568"/>
      <c r="Y24" s="340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5"/>
      <c r="Q25" s="1573">
        <f>B25</f>
        <v>111</v>
      </c>
      <c r="R25" s="1574" t="s">
        <v>8</v>
      </c>
      <c r="S25" s="1575">
        <f>F25</f>
        <v>100</v>
      </c>
      <c r="T25" s="1574" t="s">
        <v>8</v>
      </c>
      <c r="U25" s="1575">
        <f>H25</f>
        <v>100</v>
      </c>
      <c r="V25" s="1574" t="s">
        <v>8</v>
      </c>
      <c r="W25" s="1575">
        <f>J25</f>
        <v>100</v>
      </c>
      <c r="X25" s="1568"/>
      <c r="Y25" s="340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5"/>
      <c r="Q26" s="1573">
        <f t="shared" ref="Q26:Q40" si="11">B26</f>
        <v>111</v>
      </c>
      <c r="R26" s="1574" t="s">
        <v>8</v>
      </c>
      <c r="S26" s="1575">
        <f>F26</f>
        <v>100</v>
      </c>
      <c r="T26" s="1574" t="s">
        <v>8</v>
      </c>
      <c r="U26" s="1575">
        <f>H26</f>
        <v>100</v>
      </c>
      <c r="V26" s="1574" t="s">
        <v>8</v>
      </c>
      <c r="W26" s="1575">
        <f>J26</f>
        <v>100</v>
      </c>
      <c r="X26" s="1568"/>
      <c r="Y26" s="340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5"/>
      <c r="Q27" s="1151">
        <f t="shared" si="11"/>
        <v>111</v>
      </c>
      <c r="R27" s="1569" t="s">
        <v>8</v>
      </c>
      <c r="S27" s="1570">
        <f>F27</f>
        <v>100</v>
      </c>
      <c r="T27" s="1569" t="s">
        <v>8</v>
      </c>
      <c r="U27" s="1570">
        <f>H27</f>
        <v>100</v>
      </c>
      <c r="V27" s="1569" t="s">
        <v>8</v>
      </c>
      <c r="W27" s="1570">
        <f>J27</f>
        <v>100</v>
      </c>
      <c r="X27" s="1571"/>
      <c r="Y27" s="340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5"/>
      <c r="Q28" s="1573">
        <f t="shared" si="11"/>
        <v>111</v>
      </c>
      <c r="R28" s="1574" t="s">
        <v>8</v>
      </c>
      <c r="S28" s="1575">
        <f t="shared" ref="S28:S40" si="12">F28</f>
        <v>100</v>
      </c>
      <c r="T28" s="1574" t="s">
        <v>8</v>
      </c>
      <c r="U28" s="1575">
        <f t="shared" ref="U28:U40" si="13">H28</f>
        <v>100</v>
      </c>
      <c r="V28" s="1574" t="s">
        <v>8</v>
      </c>
      <c r="W28" s="1575">
        <f t="shared" ref="W28:W40" si="14">J28</f>
        <v>100</v>
      </c>
      <c r="X28" s="1568"/>
      <c r="Y28" s="3405"/>
      <c r="Z28" s="1576">
        <f t="shared" ref="Z28:Z40" si="15">Q28</f>
        <v>111</v>
      </c>
      <c r="AA28" s="1577">
        <f t="shared" si="3"/>
        <v>1</v>
      </c>
      <c r="AB28" s="1577">
        <f t="shared" si="4"/>
        <v>1</v>
      </c>
      <c r="AC28" s="1577">
        <f t="shared" si="5"/>
        <v>1</v>
      </c>
    </row>
    <row r="29" spans="1:29" ht="15">
      <c r="A29" s="2884"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6" t="s">
        <v>550</v>
      </c>
      <c r="Q29" s="1573" t="str">
        <f t="shared" si="11"/>
        <v>建筑类型</v>
      </c>
      <c r="R29" s="1574" t="s">
        <v>8</v>
      </c>
      <c r="S29" s="1575">
        <f t="shared" si="12"/>
        <v>100</v>
      </c>
      <c r="T29" s="1574" t="s">
        <v>8</v>
      </c>
      <c r="U29" s="1575">
        <f t="shared" si="13"/>
        <v>100</v>
      </c>
      <c r="V29" s="1574" t="s">
        <v>8</v>
      </c>
      <c r="W29" s="1575">
        <f t="shared" si="14"/>
        <v>100</v>
      </c>
      <c r="X29" s="1568"/>
      <c r="Y29" s="340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7"/>
      <c r="Q30" s="1606" t="str">
        <f t="shared" si="11"/>
        <v>项目建筑规模</v>
      </c>
      <c r="R30" s="1578" t="s">
        <v>8</v>
      </c>
      <c r="S30" s="1579" t="e">
        <f t="shared" si="12"/>
        <v>#N/A</v>
      </c>
      <c r="T30" s="1578" t="s">
        <v>8</v>
      </c>
      <c r="U30" s="1579" t="e">
        <f t="shared" si="13"/>
        <v>#N/A</v>
      </c>
      <c r="V30" s="1578" t="s">
        <v>8</v>
      </c>
      <c r="W30" s="1579" t="e">
        <f t="shared" si="14"/>
        <v>#N/A</v>
      </c>
      <c r="X30" s="1580"/>
      <c r="Y30" s="340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7"/>
      <c r="Q31" s="1573" t="str">
        <f t="shared" si="11"/>
        <v>建筑结构</v>
      </c>
      <c r="R31" s="1574" t="s">
        <v>8</v>
      </c>
      <c r="S31" s="1575">
        <f t="shared" si="12"/>
        <v>100</v>
      </c>
      <c r="T31" s="1574" t="s">
        <v>8</v>
      </c>
      <c r="U31" s="1575">
        <f t="shared" si="13"/>
        <v>100</v>
      </c>
      <c r="V31" s="1574" t="s">
        <v>8</v>
      </c>
      <c r="W31" s="1575">
        <f t="shared" si="14"/>
        <v>100</v>
      </c>
      <c r="X31" s="1568"/>
      <c r="Y31" s="340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7"/>
      <c r="Q32" s="1573" t="str">
        <f t="shared" si="11"/>
        <v>公共部分装修</v>
      </c>
      <c r="R32" s="1574" t="s">
        <v>8</v>
      </c>
      <c r="S32" s="1575">
        <f t="shared" si="12"/>
        <v>100</v>
      </c>
      <c r="T32" s="1574" t="s">
        <v>8</v>
      </c>
      <c r="U32" s="1575">
        <f t="shared" si="13"/>
        <v>100</v>
      </c>
      <c r="V32" s="1574" t="s">
        <v>8</v>
      </c>
      <c r="W32" s="1575">
        <f t="shared" si="14"/>
        <v>100</v>
      </c>
      <c r="X32" s="1568"/>
      <c r="Y32" s="340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7"/>
      <c r="Q33" s="1573" t="str">
        <f t="shared" si="11"/>
        <v>成新度</v>
      </c>
      <c r="R33" s="1574" t="s">
        <v>8</v>
      </c>
      <c r="S33" s="1575" t="e">
        <f t="shared" si="12"/>
        <v>#N/A</v>
      </c>
      <c r="T33" s="1574" t="s">
        <v>8</v>
      </c>
      <c r="U33" s="1575" t="e">
        <f t="shared" si="13"/>
        <v>#N/A</v>
      </c>
      <c r="V33" s="1574" t="s">
        <v>8</v>
      </c>
      <c r="W33" s="1575" t="e">
        <f t="shared" si="14"/>
        <v>#N/A</v>
      </c>
      <c r="X33" s="1568"/>
      <c r="Y33" s="340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7"/>
      <c r="Q34" s="1151" t="str">
        <f t="shared" si="11"/>
        <v>物业管理</v>
      </c>
      <c r="R34" s="1569" t="s">
        <v>8</v>
      </c>
      <c r="S34" s="1570">
        <f t="shared" si="12"/>
        <v>100</v>
      </c>
      <c r="T34" s="1569" t="s">
        <v>8</v>
      </c>
      <c r="U34" s="1570">
        <f t="shared" si="13"/>
        <v>100</v>
      </c>
      <c r="V34" s="1569" t="s">
        <v>8</v>
      </c>
      <c r="W34" s="1570">
        <f t="shared" si="14"/>
        <v>100</v>
      </c>
      <c r="X34" s="1571"/>
      <c r="Y34" s="3407"/>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7" t="s">
        <v>550</v>
      </c>
      <c r="Q35" s="1573" t="str">
        <f t="shared" si="11"/>
        <v>市政基础设施</v>
      </c>
      <c r="R35" s="1574" t="s">
        <v>8</v>
      </c>
      <c r="S35" s="1575">
        <f t="shared" si="12"/>
        <v>100</v>
      </c>
      <c r="T35" s="1574" t="s">
        <v>8</v>
      </c>
      <c r="U35" s="1575">
        <f t="shared" si="13"/>
        <v>100</v>
      </c>
      <c r="V35" s="1574" t="s">
        <v>8</v>
      </c>
      <c r="W35" s="1575">
        <f t="shared" si="14"/>
        <v>100</v>
      </c>
      <c r="X35" s="1568"/>
      <c r="Y35" s="340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7"/>
      <c r="Q36" s="1573" t="str">
        <f t="shared" si="11"/>
        <v>内部装修</v>
      </c>
      <c r="R36" s="1574" t="s">
        <v>8</v>
      </c>
      <c r="S36" s="1575">
        <f t="shared" si="12"/>
        <v>100</v>
      </c>
      <c r="T36" s="1574" t="s">
        <v>8</v>
      </c>
      <c r="U36" s="1575">
        <f t="shared" si="13"/>
        <v>100</v>
      </c>
      <c r="V36" s="1574" t="s">
        <v>8</v>
      </c>
      <c r="W36" s="1575">
        <f t="shared" si="14"/>
        <v>100</v>
      </c>
      <c r="X36" s="1568"/>
      <c r="Y36" s="340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7"/>
      <c r="Q37" s="1573" t="str">
        <f t="shared" si="11"/>
        <v>内部装修状况</v>
      </c>
      <c r="R37" s="1574" t="s">
        <v>8</v>
      </c>
      <c r="S37" s="1575">
        <f t="shared" si="12"/>
        <v>100</v>
      </c>
      <c r="T37" s="1574" t="s">
        <v>8</v>
      </c>
      <c r="U37" s="1575">
        <f t="shared" si="13"/>
        <v>100</v>
      </c>
      <c r="V37" s="1574" t="s">
        <v>8</v>
      </c>
      <c r="W37" s="1575">
        <f t="shared" si="14"/>
        <v>100</v>
      </c>
      <c r="X37" s="1568"/>
      <c r="Y37" s="340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7"/>
      <c r="Q38" s="1606">
        <f t="shared" si="11"/>
        <v>111</v>
      </c>
      <c r="R38" s="1578" t="s">
        <v>8</v>
      </c>
      <c r="S38" s="1579">
        <f t="shared" si="12"/>
        <v>100</v>
      </c>
      <c r="T38" s="1578" t="s">
        <v>8</v>
      </c>
      <c r="U38" s="1579">
        <f t="shared" si="13"/>
        <v>100</v>
      </c>
      <c r="V38" s="1578" t="s">
        <v>8</v>
      </c>
      <c r="W38" s="1579">
        <f t="shared" si="14"/>
        <v>100</v>
      </c>
      <c r="X38" s="1580"/>
      <c r="Y38" s="340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7"/>
      <c r="Q39" s="1573">
        <f t="shared" si="11"/>
        <v>111</v>
      </c>
      <c r="R39" s="1574" t="s">
        <v>8</v>
      </c>
      <c r="S39" s="1575">
        <f t="shared" si="12"/>
        <v>100</v>
      </c>
      <c r="T39" s="1574" t="s">
        <v>8</v>
      </c>
      <c r="U39" s="1575">
        <f t="shared" si="13"/>
        <v>100</v>
      </c>
      <c r="V39" s="1574" t="s">
        <v>8</v>
      </c>
      <c r="W39" s="1575">
        <f t="shared" si="14"/>
        <v>100</v>
      </c>
      <c r="X39" s="1568"/>
      <c r="Y39" s="340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85"/>
      <c r="Q40" s="1573">
        <f t="shared" si="11"/>
        <v>111</v>
      </c>
      <c r="R40" s="1574" t="s">
        <v>8</v>
      </c>
      <c r="S40" s="1575">
        <f t="shared" si="12"/>
        <v>100</v>
      </c>
      <c r="T40" s="1574" t="s">
        <v>8</v>
      </c>
      <c r="U40" s="1575">
        <f t="shared" si="13"/>
        <v>100</v>
      </c>
      <c r="V40" s="1574" t="s">
        <v>8</v>
      </c>
      <c r="W40" s="1575">
        <f t="shared" si="14"/>
        <v>100</v>
      </c>
      <c r="X40" s="1568"/>
      <c r="Y40" s="3485"/>
      <c r="Z40" s="1576">
        <f t="shared" si="15"/>
        <v>111</v>
      </c>
      <c r="AA40" s="1577">
        <f t="shared" si="3"/>
        <v>1</v>
      </c>
      <c r="AB40" s="1577">
        <f t="shared" si="4"/>
        <v>1</v>
      </c>
      <c r="AC40" s="1577">
        <f t="shared" si="5"/>
        <v>1</v>
      </c>
    </row>
    <row r="41" spans="1:29" ht="15">
      <c r="A41" s="607" t="s">
        <v>736</v>
      </c>
      <c r="B41" s="887"/>
      <c r="C41" s="2605" t="s">
        <v>1</v>
      </c>
      <c r="D41" s="2606"/>
      <c r="E41" s="2607"/>
      <c r="F41" s="2608"/>
      <c r="G41" s="2609"/>
      <c r="H41" s="2610"/>
      <c r="I41" s="2607"/>
      <c r="J41" s="2610"/>
      <c r="K41" s="1612"/>
      <c r="L41" s="2145"/>
      <c r="M41" s="2146"/>
      <c r="N41" s="2135"/>
      <c r="O41" s="2146"/>
      <c r="P41" s="3370" t="str">
        <f>A41</f>
        <v>成交单价（元/平方米）</v>
      </c>
      <c r="Q41" s="3370"/>
      <c r="R41" s="3484">
        <f>E41</f>
        <v>0</v>
      </c>
      <c r="S41" s="3484"/>
      <c r="T41" s="3484">
        <f>G41</f>
        <v>0</v>
      </c>
      <c r="U41" s="3484"/>
      <c r="V41" s="3484">
        <f>I41</f>
        <v>0</v>
      </c>
      <c r="W41" s="3484"/>
      <c r="X41" s="1560"/>
      <c r="Y41" s="1582"/>
      <c r="Z41" s="1560"/>
      <c r="AA41" s="1560"/>
      <c r="AB41" s="1560"/>
      <c r="AC41" s="1560"/>
    </row>
    <row r="42" spans="1:29" ht="15.75" thickBot="1">
      <c r="A42" s="615" t="s">
        <v>2761</v>
      </c>
      <c r="B42" s="888"/>
      <c r="C42" s="2611" t="e">
        <f>R43</f>
        <v>#DIV/0!</v>
      </c>
      <c r="D42" s="2612"/>
      <c r="E42" s="2613" t="e">
        <f>R42</f>
        <v>#DIV/0!</v>
      </c>
      <c r="F42" s="2613"/>
      <c r="G42" s="2611" t="e">
        <f>T42</f>
        <v>#DIV/0!</v>
      </c>
      <c r="H42" s="2612"/>
      <c r="I42" s="2613" t="e">
        <f>V42</f>
        <v>#DIV/0!</v>
      </c>
      <c r="J42" s="2612"/>
      <c r="K42" s="1613"/>
      <c r="L42" s="2145"/>
      <c r="M42" s="2146"/>
      <c r="N42" s="2135"/>
      <c r="O42" s="2146"/>
      <c r="P42" s="3370" t="str">
        <f>A42</f>
        <v>比较价格（元/平方米）</v>
      </c>
      <c r="Q42" s="3370"/>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60"/>
      <c r="Y42" s="1560"/>
      <c r="Z42" s="1560"/>
      <c r="AA42" s="1560"/>
      <c r="AB42" s="1560"/>
      <c r="AC42" s="1560"/>
    </row>
    <row r="43" spans="1:29" ht="15.75" thickBot="1">
      <c r="A43" s="621" t="s">
        <v>2936</v>
      </c>
      <c r="B43" s="622"/>
      <c r="C43" s="2614" t="e">
        <f>R43</f>
        <v>#DIV/0!</v>
      </c>
      <c r="D43" s="2614"/>
      <c r="E43" s="2614"/>
      <c r="F43" s="2614"/>
      <c r="G43" s="2614"/>
      <c r="H43" s="2614"/>
      <c r="I43" s="2614"/>
      <c r="J43" s="2614"/>
      <c r="K43" s="1614"/>
      <c r="L43" s="2145"/>
      <c r="M43" s="2146"/>
      <c r="N43" s="2146"/>
      <c r="O43" s="2146"/>
      <c r="P43" s="3367" t="str">
        <f>A43</f>
        <v>估价对象XX用房的比较价格（楼面单价，元/平方米）</v>
      </c>
      <c r="Q43" s="3368"/>
      <c r="R43" s="3483" t="e">
        <f>IF(F1="售价",ROUND(AVERAGE(R42:V42),0),ROUND(AVERAGE(R42:V42),1))</f>
        <v>#DIV/0!</v>
      </c>
      <c r="S43" s="3483"/>
      <c r="T43" s="3483"/>
      <c r="U43" s="3483"/>
      <c r="V43" s="3483"/>
      <c r="W43" s="348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5" t="s">
        <v>2559</v>
      </c>
      <c r="C76" s="2576" t="s">
        <v>2560</v>
      </c>
      <c r="D76" s="2576" t="s">
        <v>2561</v>
      </c>
      <c r="E76" s="2576" t="s">
        <v>2562</v>
      </c>
      <c r="F76" s="2576" t="s">
        <v>2563</v>
      </c>
      <c r="G76" s="2576"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4"/>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6" t="s">
        <v>798</v>
      </c>
      <c r="D4" s="3377"/>
      <c r="E4" s="3376" t="s">
        <v>799</v>
      </c>
      <c r="F4" s="3377"/>
      <c r="G4" s="3376" t="s">
        <v>800</v>
      </c>
      <c r="H4" s="3377"/>
      <c r="I4" s="3376" t="s">
        <v>801</v>
      </c>
      <c r="J4" s="3377"/>
      <c r="K4" s="514" t="s">
        <v>802</v>
      </c>
      <c r="L4" s="2134"/>
      <c r="M4" s="2135"/>
      <c r="N4" s="2135"/>
      <c r="O4" s="2135"/>
      <c r="P4" s="3378" t="s">
        <v>803</v>
      </c>
      <c r="Q4" s="3379"/>
      <c r="R4" s="3384" t="s">
        <v>799</v>
      </c>
      <c r="S4" s="3385"/>
      <c r="T4" s="3384" t="s">
        <v>800</v>
      </c>
      <c r="U4" s="3385"/>
      <c r="V4" s="3371" t="s">
        <v>801</v>
      </c>
      <c r="W4" s="3371"/>
      <c r="X4" s="1568"/>
      <c r="Y4" s="3384" t="s">
        <v>803</v>
      </c>
      <c r="Z4" s="3385"/>
      <c r="AA4" s="3373" t="s">
        <v>799</v>
      </c>
      <c r="AB4" s="3374" t="s">
        <v>800</v>
      </c>
      <c r="AC4" s="3373" t="s">
        <v>801</v>
      </c>
    </row>
    <row r="5" spans="1:29" ht="15">
      <c r="A5" s="515"/>
      <c r="B5" s="516"/>
      <c r="C5" s="3392" t="s">
        <v>2930</v>
      </c>
      <c r="D5" s="3393"/>
      <c r="E5" s="3392" t="s">
        <v>2931</v>
      </c>
      <c r="F5" s="3393"/>
      <c r="G5" s="3392" t="s">
        <v>2932</v>
      </c>
      <c r="H5" s="3393"/>
      <c r="I5" s="3392" t="s">
        <v>2933</v>
      </c>
      <c r="J5" s="3393"/>
      <c r="K5" s="514"/>
      <c r="L5" s="2134"/>
      <c r="M5" s="2135"/>
      <c r="N5" s="2135"/>
      <c r="O5" s="2135"/>
      <c r="P5" s="3380"/>
      <c r="Q5" s="3381"/>
      <c r="R5" s="3386"/>
      <c r="S5" s="3387"/>
      <c r="T5" s="3386"/>
      <c r="U5" s="3387"/>
      <c r="V5" s="3371"/>
      <c r="W5" s="3371"/>
      <c r="X5" s="1568"/>
      <c r="Y5" s="3386"/>
      <c r="Z5" s="3387"/>
      <c r="AA5" s="3374"/>
      <c r="AB5" s="3374"/>
      <c r="AC5" s="3374"/>
    </row>
    <row r="6" spans="1:29" ht="15.75" thickBot="1">
      <c r="A6" s="517"/>
      <c r="B6" s="518"/>
      <c r="C6" s="3390" t="s">
        <v>2934</v>
      </c>
      <c r="D6" s="3391"/>
      <c r="E6" s="3394" t="s">
        <v>2934</v>
      </c>
      <c r="F6" s="3395"/>
      <c r="G6" s="3390" t="s">
        <v>2934</v>
      </c>
      <c r="H6" s="3391"/>
      <c r="I6" s="3390" t="s">
        <v>2934</v>
      </c>
      <c r="J6" s="3391"/>
      <c r="K6" s="514" t="s">
        <v>528</v>
      </c>
      <c r="L6" s="2134"/>
      <c r="M6" s="2135"/>
      <c r="N6" s="2135"/>
      <c r="O6" s="2135"/>
      <c r="P6" s="3382"/>
      <c r="Q6" s="3383"/>
      <c r="R6" s="3386"/>
      <c r="S6" s="3387"/>
      <c r="T6" s="3388"/>
      <c r="U6" s="3389"/>
      <c r="V6" s="3371"/>
      <c r="W6" s="3371"/>
      <c r="X6" s="1568"/>
      <c r="Y6" s="3388"/>
      <c r="Z6" s="3389"/>
      <c r="AA6" s="3375"/>
      <c r="AB6" s="3375"/>
      <c r="AC6" s="3375"/>
    </row>
    <row r="7" spans="1:29" s="1220" customFormat="1" ht="15.75" thickBot="1">
      <c r="A7" s="2889"/>
      <c r="B7" s="2896" t="s">
        <v>529</v>
      </c>
      <c r="C7" s="519">
        <f>'数据-取费表'!B2</f>
        <v>43490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01" t="s">
        <v>530</v>
      </c>
      <c r="Q7" s="3403"/>
      <c r="R7" s="1569" t="s">
        <v>8</v>
      </c>
      <c r="S7" s="1570">
        <f t="shared" ref="S7:S14" si="0">F7</f>
        <v>0</v>
      </c>
      <c r="T7" s="1569" t="s">
        <v>8</v>
      </c>
      <c r="U7" s="1570">
        <f t="shared" ref="U7:U14" si="1">H7</f>
        <v>0</v>
      </c>
      <c r="V7" s="1569" t="s">
        <v>8</v>
      </c>
      <c r="W7" s="1570">
        <f t="shared" ref="W7:W14" si="2">J7</f>
        <v>0</v>
      </c>
      <c r="X7" s="1571"/>
      <c r="Y7" s="3401" t="s">
        <v>530</v>
      </c>
      <c r="Z7" s="3402"/>
      <c r="AA7" s="1572" t="e">
        <f>D7/F7</f>
        <v>#DIV/0!</v>
      </c>
      <c r="AB7" s="1572" t="e">
        <f>D7/H7</f>
        <v>#DIV/0!</v>
      </c>
      <c r="AC7" s="1572" t="e">
        <f>D7/J7</f>
        <v>#DIV/0!</v>
      </c>
    </row>
    <row r="8" spans="1:29" s="1220"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01" t="s">
        <v>533</v>
      </c>
      <c r="Q8" s="3402"/>
      <c r="R8" s="1569" t="s">
        <v>8</v>
      </c>
      <c r="S8" s="1570">
        <f t="shared" si="0"/>
        <v>0</v>
      </c>
      <c r="T8" s="1569" t="s">
        <v>8</v>
      </c>
      <c r="U8" s="1570">
        <f t="shared" si="1"/>
        <v>0</v>
      </c>
      <c r="V8" s="1569" t="s">
        <v>8</v>
      </c>
      <c r="W8" s="1570">
        <f t="shared" si="2"/>
        <v>0</v>
      </c>
      <c r="X8" s="1571"/>
      <c r="Y8" s="3401" t="s">
        <v>533</v>
      </c>
      <c r="Z8" s="3402"/>
      <c r="AA8" s="1572" t="e">
        <f t="shared" ref="AA8:AA36" si="3">D8/F8</f>
        <v>#DIV/0!</v>
      </c>
      <c r="AB8" s="1572" t="e">
        <f t="shared" ref="AB8:AB36" si="4">D8/H8</f>
        <v>#DIV/0!</v>
      </c>
      <c r="AC8" s="1572" t="e">
        <f t="shared" ref="AC8:AC36" si="5">D8/J8</f>
        <v>#DIV/0!</v>
      </c>
    </row>
    <row r="9" spans="1:29" s="1220" customFormat="1" ht="15">
      <c r="A9" s="2891"/>
      <c r="B9" s="2898"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70" t="s">
        <v>535</v>
      </c>
      <c r="Q9" s="1151" t="str">
        <f t="shared" ref="Q9:Q14" si="6">B9</f>
        <v>用途</v>
      </c>
      <c r="R9" s="1569" t="s">
        <v>8</v>
      </c>
      <c r="S9" s="1570">
        <f t="shared" si="0"/>
        <v>100</v>
      </c>
      <c r="T9" s="1569" t="s">
        <v>8</v>
      </c>
      <c r="U9" s="1570">
        <f t="shared" si="1"/>
        <v>100</v>
      </c>
      <c r="V9" s="1569" t="s">
        <v>8</v>
      </c>
      <c r="W9" s="1570">
        <f t="shared" si="2"/>
        <v>100</v>
      </c>
      <c r="X9" s="1571"/>
      <c r="Y9" s="3316" t="s">
        <v>536</v>
      </c>
      <c r="Z9" s="1150" t="str">
        <f t="shared" ref="Z9:Z14" si="7">Q9</f>
        <v>用途</v>
      </c>
      <c r="AA9" s="1572">
        <f t="shared" si="3"/>
        <v>1</v>
      </c>
      <c r="AB9" s="1572">
        <f t="shared" si="4"/>
        <v>1</v>
      </c>
      <c r="AC9" s="1572">
        <f t="shared" si="5"/>
        <v>1</v>
      </c>
    </row>
    <row r="10" spans="1:29" s="1338" customFormat="1" ht="27">
      <c r="A10" s="2892"/>
      <c r="B10" s="2897"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0"/>
      <c r="Q11" s="1151">
        <f t="shared" si="6"/>
        <v>111</v>
      </c>
      <c r="R11" s="1569" t="s">
        <v>8</v>
      </c>
      <c r="S11" s="1570">
        <f t="shared" si="0"/>
        <v>100</v>
      </c>
      <c r="T11" s="1569" t="s">
        <v>8</v>
      </c>
      <c r="U11" s="1570">
        <f t="shared" si="1"/>
        <v>100</v>
      </c>
      <c r="V11" s="1569" t="s">
        <v>8</v>
      </c>
      <c r="W11" s="1570">
        <f t="shared" si="2"/>
        <v>100</v>
      </c>
      <c r="X11" s="1571"/>
      <c r="Y11" s="3316"/>
      <c r="Z11" s="1150">
        <f t="shared" si="7"/>
        <v>111</v>
      </c>
      <c r="AA11" s="1572">
        <f t="shared" si="3"/>
        <v>1</v>
      </c>
      <c r="AB11" s="1572">
        <f t="shared" si="4"/>
        <v>1</v>
      </c>
      <c r="AC11" s="1572">
        <f t="shared" si="5"/>
        <v>1</v>
      </c>
    </row>
    <row r="12" spans="1:29" s="1220"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0"/>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0"/>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85.5">
      <c r="A14" s="2887"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04" t="s">
        <v>540</v>
      </c>
      <c r="Q14" s="1573" t="str">
        <f t="shared" si="6"/>
        <v>交通便捷度</v>
      </c>
      <c r="R14" s="1574" t="s">
        <v>8</v>
      </c>
      <c r="S14" s="1575">
        <f t="shared" si="0"/>
        <v>100</v>
      </c>
      <c r="T14" s="1574" t="s">
        <v>8</v>
      </c>
      <c r="U14" s="1575">
        <f t="shared" si="1"/>
        <v>100</v>
      </c>
      <c r="V14" s="1574" t="s">
        <v>8</v>
      </c>
      <c r="W14" s="1575">
        <f t="shared" si="2"/>
        <v>100</v>
      </c>
      <c r="X14" s="1568"/>
      <c r="Y14" s="340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05"/>
      <c r="Q15" s="1573"/>
      <c r="R15" s="1574"/>
      <c r="S15" s="1575"/>
      <c r="T15" s="1574"/>
      <c r="U15" s="1575"/>
      <c r="V15" s="1574"/>
      <c r="W15" s="1575"/>
      <c r="X15" s="1568"/>
      <c r="Y15" s="3405"/>
      <c r="Z15" s="1576"/>
      <c r="AA15" s="1577">
        <v>1</v>
      </c>
      <c r="AB15" s="1577">
        <v>1</v>
      </c>
      <c r="AC15" s="1577">
        <v>1</v>
      </c>
    </row>
    <row r="16" spans="1:29" ht="42.75">
      <c r="A16" s="515"/>
      <c r="B16" s="2581"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5"/>
      <c r="Q16" s="1573" t="str">
        <f>B16</f>
        <v>公共配套设施</v>
      </c>
      <c r="R16" s="1574" t="s">
        <v>8</v>
      </c>
      <c r="S16" s="1575">
        <f>F16</f>
        <v>100</v>
      </c>
      <c r="T16" s="1574" t="s">
        <v>8</v>
      </c>
      <c r="U16" s="1575">
        <f>H16</f>
        <v>100</v>
      </c>
      <c r="V16" s="1574" t="s">
        <v>8</v>
      </c>
      <c r="W16" s="1575">
        <f>J16</f>
        <v>100</v>
      </c>
      <c r="X16" s="1568"/>
      <c r="Y16" s="340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05"/>
      <c r="Q17" s="1573"/>
      <c r="R17" s="1574"/>
      <c r="S17" s="1575"/>
      <c r="T17" s="1574"/>
      <c r="U17" s="1575"/>
      <c r="V17" s="1574"/>
      <c r="W17" s="1575"/>
      <c r="X17" s="1568"/>
      <c r="Y17" s="3405"/>
      <c r="Z17" s="1576"/>
      <c r="AA17" s="1577">
        <v>1</v>
      </c>
      <c r="AB17" s="1577">
        <v>1</v>
      </c>
      <c r="AC17" s="1577">
        <v>1</v>
      </c>
    </row>
    <row r="18" spans="1:29" ht="28.5">
      <c r="A18" s="515"/>
      <c r="B18" s="2569"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5"/>
      <c r="Q18" s="2557" t="str">
        <f>B18</f>
        <v>基础设施水平</v>
      </c>
      <c r="R18" s="1574" t="s">
        <v>8</v>
      </c>
      <c r="S18" s="1575">
        <f>F18</f>
        <v>100</v>
      </c>
      <c r="T18" s="1574" t="s">
        <v>8</v>
      </c>
      <c r="U18" s="1575">
        <f>H18</f>
        <v>100</v>
      </c>
      <c r="V18" s="1574" t="s">
        <v>8</v>
      </c>
      <c r="W18" s="1575">
        <f>J18</f>
        <v>100</v>
      </c>
      <c r="X18" s="2559"/>
      <c r="Y18" s="3405"/>
      <c r="Z18" s="2558"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0"/>
      <c r="L19" s="2143"/>
      <c r="M19" s="2135"/>
      <c r="N19" s="2135"/>
      <c r="O19" s="2142"/>
      <c r="P19" s="3405"/>
      <c r="Q19" s="2557"/>
      <c r="R19" s="1574"/>
      <c r="S19" s="1575"/>
      <c r="T19" s="1574"/>
      <c r="U19" s="1575"/>
      <c r="V19" s="1574"/>
      <c r="W19" s="1575"/>
      <c r="X19" s="2559"/>
      <c r="Y19" s="3405"/>
      <c r="Z19" s="2558"/>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5"/>
      <c r="Q20" s="1573" t="str">
        <f>B20</f>
        <v>自然及人文环境</v>
      </c>
      <c r="R20" s="1574" t="s">
        <v>8</v>
      </c>
      <c r="S20" s="1575">
        <f>F20</f>
        <v>100</v>
      </c>
      <c r="T20" s="1574" t="s">
        <v>8</v>
      </c>
      <c r="U20" s="1575">
        <f>H20</f>
        <v>100</v>
      </c>
      <c r="V20" s="1574" t="s">
        <v>8</v>
      </c>
      <c r="W20" s="1575">
        <f>J20</f>
        <v>100</v>
      </c>
      <c r="X20" s="1568"/>
      <c r="Y20" s="340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05"/>
      <c r="Q21" s="1573"/>
      <c r="R21" s="1574"/>
      <c r="S21" s="1575"/>
      <c r="T21" s="1574"/>
      <c r="U21" s="1575"/>
      <c r="V21" s="1574"/>
      <c r="W21" s="1575"/>
      <c r="X21" s="1568"/>
      <c r="Y21" s="340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5"/>
      <c r="Q22" s="1573" t="str">
        <f>B22</f>
        <v>楼层</v>
      </c>
      <c r="R22" s="1574" t="s">
        <v>8</v>
      </c>
      <c r="S22" s="1575">
        <f>F22</f>
        <v>100</v>
      </c>
      <c r="T22" s="1574" t="s">
        <v>8</v>
      </c>
      <c r="U22" s="1575">
        <f>H22</f>
        <v>100</v>
      </c>
      <c r="V22" s="1574" t="s">
        <v>8</v>
      </c>
      <c r="W22" s="1575">
        <f>J22</f>
        <v>100</v>
      </c>
      <c r="X22" s="1568"/>
      <c r="Y22" s="340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5"/>
      <c r="Q23" s="1573">
        <f>B23</f>
        <v>111</v>
      </c>
      <c r="R23" s="1574" t="s">
        <v>8</v>
      </c>
      <c r="S23" s="1575">
        <f>F23</f>
        <v>100</v>
      </c>
      <c r="T23" s="1574" t="s">
        <v>8</v>
      </c>
      <c r="U23" s="1575">
        <f>H23</f>
        <v>100</v>
      </c>
      <c r="V23" s="1574" t="s">
        <v>8</v>
      </c>
      <c r="W23" s="1575">
        <f>J23</f>
        <v>100</v>
      </c>
      <c r="X23" s="1568"/>
      <c r="Y23" s="340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5"/>
      <c r="Q24" s="1573">
        <f t="shared" ref="Q24:Q36" si="11">B24</f>
        <v>111</v>
      </c>
      <c r="R24" s="1574" t="s">
        <v>8</v>
      </c>
      <c r="S24" s="1575">
        <f>F24</f>
        <v>100</v>
      </c>
      <c r="T24" s="1574" t="s">
        <v>8</v>
      </c>
      <c r="U24" s="1575">
        <f>H24</f>
        <v>100</v>
      </c>
      <c r="V24" s="1574" t="s">
        <v>8</v>
      </c>
      <c r="W24" s="1575">
        <f>J24</f>
        <v>100</v>
      </c>
      <c r="X24" s="1568"/>
      <c r="Y24" s="340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5"/>
      <c r="Q25" s="1151">
        <f t="shared" si="11"/>
        <v>111</v>
      </c>
      <c r="R25" s="1569" t="s">
        <v>8</v>
      </c>
      <c r="S25" s="1570">
        <f>F25</f>
        <v>100</v>
      </c>
      <c r="T25" s="1569" t="s">
        <v>8</v>
      </c>
      <c r="U25" s="1570">
        <f>H25</f>
        <v>100</v>
      </c>
      <c r="V25" s="1569" t="s">
        <v>8</v>
      </c>
      <c r="W25" s="1570">
        <f>J25</f>
        <v>100</v>
      </c>
      <c r="X25" s="1571"/>
      <c r="Y25" s="3405"/>
      <c r="Z25" s="1150">
        <f>Q25</f>
        <v>111</v>
      </c>
      <c r="AA25" s="1577">
        <f>D25/F25</f>
        <v>1</v>
      </c>
      <c r="AB25" s="1577">
        <f>D25/H25</f>
        <v>1</v>
      </c>
      <c r="AC25" s="1577">
        <f>D25/J25</f>
        <v>1</v>
      </c>
    </row>
    <row r="26" spans="1:29" ht="15">
      <c r="A26" s="2884"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7"/>
      <c r="Q27" s="1606" t="str">
        <f t="shared" si="11"/>
        <v>项目停车位配比</v>
      </c>
      <c r="R27" s="1578" t="s">
        <v>8</v>
      </c>
      <c r="S27" s="1579">
        <f t="shared" si="12"/>
        <v>100</v>
      </c>
      <c r="T27" s="1578" t="s">
        <v>8</v>
      </c>
      <c r="U27" s="1579">
        <f t="shared" si="13"/>
        <v>100</v>
      </c>
      <c r="V27" s="1578" t="s">
        <v>8</v>
      </c>
      <c r="W27" s="1579">
        <f t="shared" si="14"/>
        <v>100</v>
      </c>
      <c r="X27" s="1580"/>
      <c r="Y27" s="340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7"/>
      <c r="Q28" s="1573" t="str">
        <f t="shared" si="11"/>
        <v>公共部分装修</v>
      </c>
      <c r="R28" s="1574" t="s">
        <v>8</v>
      </c>
      <c r="S28" s="1575">
        <f t="shared" si="12"/>
        <v>100</v>
      </c>
      <c r="T28" s="1574" t="s">
        <v>8</v>
      </c>
      <c r="U28" s="1575">
        <f t="shared" si="13"/>
        <v>100</v>
      </c>
      <c r="V28" s="1574" t="s">
        <v>8</v>
      </c>
      <c r="W28" s="1575">
        <f t="shared" si="14"/>
        <v>100</v>
      </c>
      <c r="X28" s="1568"/>
      <c r="Y28" s="340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7"/>
      <c r="Q29" s="1573" t="str">
        <f t="shared" si="11"/>
        <v>成新率</v>
      </c>
      <c r="R29" s="1574" t="s">
        <v>8</v>
      </c>
      <c r="S29" s="1575" t="e">
        <f t="shared" si="12"/>
        <v>#N/A</v>
      </c>
      <c r="T29" s="1574" t="s">
        <v>8</v>
      </c>
      <c r="U29" s="1575" t="e">
        <f t="shared" si="13"/>
        <v>#N/A</v>
      </c>
      <c r="V29" s="1574" t="s">
        <v>8</v>
      </c>
      <c r="W29" s="1575" t="e">
        <f t="shared" si="14"/>
        <v>#N/A</v>
      </c>
      <c r="X29" s="1568"/>
      <c r="Y29" s="340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7"/>
      <c r="Q30" s="1573" t="str">
        <f t="shared" si="11"/>
        <v>物业等级</v>
      </c>
      <c r="R30" s="1574" t="s">
        <v>8</v>
      </c>
      <c r="S30" s="1575">
        <f t="shared" si="12"/>
        <v>100</v>
      </c>
      <c r="T30" s="1574" t="s">
        <v>8</v>
      </c>
      <c r="U30" s="1575">
        <f t="shared" si="13"/>
        <v>100</v>
      </c>
      <c r="V30" s="1574" t="s">
        <v>8</v>
      </c>
      <c r="W30" s="1575">
        <f t="shared" si="14"/>
        <v>100</v>
      </c>
      <c r="X30" s="1568"/>
      <c r="Y30" s="340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7"/>
      <c r="Q31" s="1151" t="str">
        <f t="shared" si="11"/>
        <v>停车位面积</v>
      </c>
      <c r="R31" s="1569" t="s">
        <v>8</v>
      </c>
      <c r="S31" s="1570" t="e">
        <f t="shared" si="12"/>
        <v>#N/A</v>
      </c>
      <c r="T31" s="1569" t="s">
        <v>8</v>
      </c>
      <c r="U31" s="1570" t="e">
        <f t="shared" si="13"/>
        <v>#N/A</v>
      </c>
      <c r="V31" s="1569" t="s">
        <v>8</v>
      </c>
      <c r="W31" s="1570" t="e">
        <f t="shared" si="14"/>
        <v>#N/A</v>
      </c>
      <c r="X31" s="1571"/>
      <c r="Y31" s="340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7" t="s">
        <v>550</v>
      </c>
      <c r="Q32" s="1573" t="str">
        <f t="shared" si="11"/>
        <v>车位类型</v>
      </c>
      <c r="R32" s="1574" t="s">
        <v>8</v>
      </c>
      <c r="S32" s="1575">
        <f t="shared" si="12"/>
        <v>100</v>
      </c>
      <c r="T32" s="1574" t="s">
        <v>8</v>
      </c>
      <c r="U32" s="1575">
        <f t="shared" si="13"/>
        <v>100</v>
      </c>
      <c r="V32" s="1574" t="s">
        <v>8</v>
      </c>
      <c r="W32" s="1575">
        <f t="shared" si="14"/>
        <v>100</v>
      </c>
      <c r="X32" s="1568"/>
      <c r="Y32" s="340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7"/>
      <c r="Q33" s="1573" t="str">
        <f t="shared" si="11"/>
        <v>是否直接入户</v>
      </c>
      <c r="R33" s="1574" t="s">
        <v>8</v>
      </c>
      <c r="S33" s="1575">
        <f t="shared" si="12"/>
        <v>100</v>
      </c>
      <c r="T33" s="1574" t="s">
        <v>8</v>
      </c>
      <c r="U33" s="1575">
        <f t="shared" si="13"/>
        <v>100</v>
      </c>
      <c r="V33" s="1574" t="s">
        <v>8</v>
      </c>
      <c r="W33" s="1575">
        <f t="shared" si="14"/>
        <v>100</v>
      </c>
      <c r="X33" s="1568"/>
      <c r="Y33" s="340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7"/>
      <c r="Q34" s="1573">
        <f t="shared" si="11"/>
        <v>111</v>
      </c>
      <c r="R34" s="1574" t="s">
        <v>8</v>
      </c>
      <c r="S34" s="1575">
        <f t="shared" si="12"/>
        <v>100</v>
      </c>
      <c r="T34" s="1574" t="s">
        <v>8</v>
      </c>
      <c r="U34" s="1575">
        <f t="shared" si="13"/>
        <v>100</v>
      </c>
      <c r="V34" s="1574" t="s">
        <v>8</v>
      </c>
      <c r="W34" s="1575">
        <f t="shared" si="14"/>
        <v>100</v>
      </c>
      <c r="X34" s="1568"/>
      <c r="Y34" s="340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7"/>
      <c r="Q35" s="1606">
        <f t="shared" si="11"/>
        <v>111</v>
      </c>
      <c r="R35" s="1578" t="s">
        <v>8</v>
      </c>
      <c r="S35" s="1579">
        <f t="shared" si="12"/>
        <v>100</v>
      </c>
      <c r="T35" s="1578" t="s">
        <v>8</v>
      </c>
      <c r="U35" s="1579">
        <f t="shared" si="13"/>
        <v>100</v>
      </c>
      <c r="V35" s="1578" t="s">
        <v>8</v>
      </c>
      <c r="W35" s="1579">
        <f t="shared" si="14"/>
        <v>100</v>
      </c>
      <c r="X35" s="1580"/>
      <c r="Y35" s="340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7"/>
      <c r="Q36" s="1573">
        <f t="shared" si="11"/>
        <v>111</v>
      </c>
      <c r="R36" s="1574" t="s">
        <v>8</v>
      </c>
      <c r="S36" s="1575">
        <f t="shared" si="12"/>
        <v>100</v>
      </c>
      <c r="T36" s="1574" t="s">
        <v>8</v>
      </c>
      <c r="U36" s="1575">
        <f t="shared" si="13"/>
        <v>100</v>
      </c>
      <c r="V36" s="1574" t="s">
        <v>8</v>
      </c>
      <c r="W36" s="1575">
        <f t="shared" si="14"/>
        <v>100</v>
      </c>
      <c r="X36" s="1568"/>
      <c r="Y36" s="3407"/>
      <c r="Z36" s="1576">
        <f t="shared" si="15"/>
        <v>111</v>
      </c>
      <c r="AA36" s="1577">
        <f t="shared" si="3"/>
        <v>1</v>
      </c>
      <c r="AB36" s="1577">
        <f t="shared" si="4"/>
        <v>1</v>
      </c>
      <c r="AC36" s="1577">
        <f t="shared" si="5"/>
        <v>1</v>
      </c>
    </row>
    <row r="37" spans="1:29" ht="15">
      <c r="A37" s="1847" t="s">
        <v>2078</v>
      </c>
      <c r="B37" s="1848" t="s">
        <v>2079</v>
      </c>
      <c r="C37" s="2605" t="s">
        <v>1</v>
      </c>
      <c r="D37" s="2606"/>
      <c r="E37" s="2607"/>
      <c r="F37" s="2608"/>
      <c r="G37" s="2609"/>
      <c r="H37" s="2610"/>
      <c r="I37" s="2607"/>
      <c r="J37" s="2610"/>
      <c r="K37" s="1612"/>
      <c r="L37" s="2145"/>
      <c r="M37" s="2146"/>
      <c r="N37" s="2135"/>
      <c r="O37" s="2146"/>
      <c r="P37" s="3370" t="str">
        <f>A37</f>
        <v>成交单价</v>
      </c>
      <c r="Q37" s="3370"/>
      <c r="R37" s="3484">
        <f>E37</f>
        <v>0</v>
      </c>
      <c r="S37" s="3484"/>
      <c r="T37" s="3484">
        <f>G37</f>
        <v>0</v>
      </c>
      <c r="U37" s="3484"/>
      <c r="V37" s="3484">
        <f>I37</f>
        <v>0</v>
      </c>
      <c r="W37" s="3484"/>
      <c r="X37" s="1560"/>
      <c r="Y37" s="1582"/>
      <c r="Z37" s="1560"/>
      <c r="AA37" s="1560"/>
      <c r="AB37" s="1560"/>
      <c r="AC37" s="1560"/>
    </row>
    <row r="38" spans="1:29" ht="15.75" thickBot="1">
      <c r="A38" s="615" t="s">
        <v>2761</v>
      </c>
      <c r="B38" s="888"/>
      <c r="C38" s="2611" t="e">
        <f>R39</f>
        <v>#DIV/0!</v>
      </c>
      <c r="D38" s="2612"/>
      <c r="E38" s="2613" t="e">
        <f>R38</f>
        <v>#DIV/0!</v>
      </c>
      <c r="F38" s="2613"/>
      <c r="G38" s="2611" t="e">
        <f>T38</f>
        <v>#DIV/0!</v>
      </c>
      <c r="H38" s="2612"/>
      <c r="I38" s="2613" t="e">
        <f>V38</f>
        <v>#DIV/0!</v>
      </c>
      <c r="J38" s="2612"/>
      <c r="K38" s="1613"/>
      <c r="L38" s="2145"/>
      <c r="M38" s="2146"/>
      <c r="N38" s="2146"/>
      <c r="O38" s="2146"/>
      <c r="P38" s="3370" t="str">
        <f>A38</f>
        <v>比较价格（元/平方米）</v>
      </c>
      <c r="Q38" s="3370"/>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60"/>
      <c r="Y38" s="1560"/>
      <c r="Z38" s="1560"/>
      <c r="AA38" s="1560"/>
      <c r="AB38" s="1560"/>
      <c r="AC38" s="1560"/>
    </row>
    <row r="39" spans="1:29" ht="15.75" thickBot="1">
      <c r="A39" s="621" t="s">
        <v>2936</v>
      </c>
      <c r="B39" s="622"/>
      <c r="C39" s="2614" t="e">
        <f>R39</f>
        <v>#DIV/0!</v>
      </c>
      <c r="D39" s="2614"/>
      <c r="E39" s="2614"/>
      <c r="F39" s="2614"/>
      <c r="G39" s="2614"/>
      <c r="H39" s="2614"/>
      <c r="I39" s="2614"/>
      <c r="J39" s="2614"/>
      <c r="K39" s="1614"/>
      <c r="L39" s="2145"/>
      <c r="M39" s="2146"/>
      <c r="N39" s="2146"/>
      <c r="O39" s="2146"/>
      <c r="P39" s="3367" t="str">
        <f>A39</f>
        <v>估价对象XX用房的比较价格（楼面单价，元/平方米）</v>
      </c>
      <c r="Q39" s="3368"/>
      <c r="R39" s="3483" t="e">
        <f>IF(F1="售价",ROUND(AVERAGE(R38:V38),0),ROUND(AVERAGE(R38:V38),1))</f>
        <v>#DIV/0!</v>
      </c>
      <c r="S39" s="3483"/>
      <c r="T39" s="3483"/>
      <c r="U39" s="3483"/>
      <c r="V39" s="3483"/>
      <c r="W39" s="348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61"/>
      <c r="Q48" s="2162"/>
      <c r="R48" s="2162"/>
      <c r="S48" s="2162"/>
      <c r="T48" s="2162"/>
      <c r="U48" s="2162"/>
      <c r="V48" s="2162"/>
      <c r="W48" s="2162"/>
      <c r="X48" s="2162"/>
      <c r="Y48" s="2162"/>
      <c r="Z48" s="2162"/>
      <c r="AA48" s="2162"/>
      <c r="AB48" s="2162"/>
      <c r="AC48" s="2162"/>
    </row>
    <row r="49" spans="1:29" s="1220" customFormat="1" ht="15">
      <c r="A49" s="647"/>
      <c r="B49" s="648"/>
      <c r="C49" s="2780">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5" t="s">
        <v>2559</v>
      </c>
      <c r="C67" s="2576" t="s">
        <v>2560</v>
      </c>
      <c r="D67" s="2576" t="s">
        <v>2561</v>
      </c>
      <c r="E67" s="2576" t="s">
        <v>2562</v>
      </c>
      <c r="F67" s="2576" t="s">
        <v>2563</v>
      </c>
      <c r="G67" s="2576" t="s">
        <v>2564</v>
      </c>
      <c r="H67" s="674"/>
      <c r="I67" s="674"/>
      <c r="J67" s="674"/>
      <c r="K67" s="674"/>
      <c r="L67" s="674"/>
      <c r="M67" s="2579"/>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4"/>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6" t="s">
        <v>798</v>
      </c>
      <c r="D4" s="3377"/>
      <c r="E4" s="3410" t="s">
        <v>799</v>
      </c>
      <c r="F4" s="3411"/>
      <c r="G4" s="3376" t="s">
        <v>800</v>
      </c>
      <c r="H4" s="3377"/>
      <c r="I4" s="3376" t="s">
        <v>801</v>
      </c>
      <c r="J4" s="3377"/>
      <c r="K4" s="514" t="s">
        <v>802</v>
      </c>
      <c r="L4" s="2134"/>
      <c r="M4" s="2135"/>
      <c r="N4" s="2135"/>
      <c r="O4" s="2135"/>
      <c r="P4" s="3378" t="s">
        <v>803</v>
      </c>
      <c r="Q4" s="3379"/>
      <c r="R4" s="3384" t="s">
        <v>799</v>
      </c>
      <c r="S4" s="3385"/>
      <c r="T4" s="3384" t="s">
        <v>800</v>
      </c>
      <c r="U4" s="3385"/>
      <c r="V4" s="3371" t="s">
        <v>801</v>
      </c>
      <c r="W4" s="3371"/>
      <c r="X4" s="1568"/>
      <c r="Y4" s="3384" t="s">
        <v>803</v>
      </c>
      <c r="Z4" s="3385"/>
      <c r="AA4" s="3373" t="s">
        <v>799</v>
      </c>
      <c r="AB4" s="3374" t="s">
        <v>800</v>
      </c>
      <c r="AC4" s="3373" t="s">
        <v>801</v>
      </c>
    </row>
    <row r="5" spans="1:29" ht="15">
      <c r="A5" s="515"/>
      <c r="B5" s="516"/>
      <c r="C5" s="3392" t="s">
        <v>2930</v>
      </c>
      <c r="D5" s="3393"/>
      <c r="E5" s="3412" t="s">
        <v>2931</v>
      </c>
      <c r="F5" s="3413"/>
      <c r="G5" s="3392" t="s">
        <v>2932</v>
      </c>
      <c r="H5" s="3393"/>
      <c r="I5" s="3392" t="s">
        <v>2933</v>
      </c>
      <c r="J5" s="3393"/>
      <c r="K5" s="514"/>
      <c r="L5" s="2134"/>
      <c r="M5" s="2135"/>
      <c r="N5" s="2135"/>
      <c r="O5" s="2135"/>
      <c r="P5" s="3380"/>
      <c r="Q5" s="3381"/>
      <c r="R5" s="3386"/>
      <c r="S5" s="3387"/>
      <c r="T5" s="3386"/>
      <c r="U5" s="3387"/>
      <c r="V5" s="3371"/>
      <c r="W5" s="3371"/>
      <c r="X5" s="1568"/>
      <c r="Y5" s="3386"/>
      <c r="Z5" s="3387"/>
      <c r="AA5" s="3374"/>
      <c r="AB5" s="3374"/>
      <c r="AC5" s="3374"/>
    </row>
    <row r="6" spans="1:29" ht="15.75" thickBot="1">
      <c r="A6" s="517"/>
      <c r="B6" s="518"/>
      <c r="C6" s="3390" t="s">
        <v>2934</v>
      </c>
      <c r="D6" s="3391"/>
      <c r="E6" s="3408" t="s">
        <v>2934</v>
      </c>
      <c r="F6" s="3409"/>
      <c r="G6" s="3390" t="s">
        <v>2934</v>
      </c>
      <c r="H6" s="3391"/>
      <c r="I6" s="3390" t="s">
        <v>2934</v>
      </c>
      <c r="J6" s="3391"/>
      <c r="K6" s="514" t="s">
        <v>528</v>
      </c>
      <c r="L6" s="2134"/>
      <c r="M6" s="2135"/>
      <c r="N6" s="2135"/>
      <c r="O6" s="2135"/>
      <c r="P6" s="3382"/>
      <c r="Q6" s="3383"/>
      <c r="R6" s="3386"/>
      <c r="S6" s="3387"/>
      <c r="T6" s="3388"/>
      <c r="U6" s="3389"/>
      <c r="V6" s="3371"/>
      <c r="W6" s="3371"/>
      <c r="X6" s="1568"/>
      <c r="Y6" s="3388"/>
      <c r="Z6" s="3389"/>
      <c r="AA6" s="3375"/>
      <c r="AB6" s="3375"/>
      <c r="AC6" s="3375"/>
    </row>
    <row r="7" spans="1:29" s="1220" customFormat="1" ht="15.75" thickBot="1">
      <c r="A7" s="2889"/>
      <c r="B7" s="2896" t="s">
        <v>529</v>
      </c>
      <c r="C7" s="519">
        <f>'数据-取费表'!B2</f>
        <v>43490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01" t="s">
        <v>530</v>
      </c>
      <c r="Q7" s="3403"/>
      <c r="R7" s="1569" t="s">
        <v>8</v>
      </c>
      <c r="S7" s="1570">
        <f t="shared" ref="S7:S14" si="0">F7</f>
        <v>0</v>
      </c>
      <c r="T7" s="1569" t="s">
        <v>8</v>
      </c>
      <c r="U7" s="1570">
        <f t="shared" ref="U7:U14" si="1">H7</f>
        <v>0</v>
      </c>
      <c r="V7" s="1569" t="s">
        <v>8</v>
      </c>
      <c r="W7" s="1570">
        <f t="shared" ref="W7:W14" si="2">J7</f>
        <v>0</v>
      </c>
      <c r="X7" s="1571"/>
      <c r="Y7" s="3401" t="s">
        <v>530</v>
      </c>
      <c r="Z7" s="3402"/>
      <c r="AA7" s="1572" t="e">
        <f>D7/F7</f>
        <v>#DIV/0!</v>
      </c>
      <c r="AB7" s="1572" t="e">
        <f>D7/H7</f>
        <v>#DIV/0!</v>
      </c>
      <c r="AC7" s="1572" t="e">
        <f>D7/J7</f>
        <v>#DIV/0!</v>
      </c>
    </row>
    <row r="8" spans="1:29" s="1220"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01" t="s">
        <v>533</v>
      </c>
      <c r="Q8" s="3402"/>
      <c r="R8" s="1569" t="s">
        <v>8</v>
      </c>
      <c r="S8" s="1570">
        <f t="shared" si="0"/>
        <v>0</v>
      </c>
      <c r="T8" s="1569" t="s">
        <v>8</v>
      </c>
      <c r="U8" s="1570">
        <f t="shared" si="1"/>
        <v>0</v>
      </c>
      <c r="V8" s="1569" t="s">
        <v>8</v>
      </c>
      <c r="W8" s="1570">
        <f t="shared" si="2"/>
        <v>0</v>
      </c>
      <c r="X8" s="1571"/>
      <c r="Y8" s="3401" t="s">
        <v>533</v>
      </c>
      <c r="Z8" s="3402"/>
      <c r="AA8" s="1572" t="e">
        <f t="shared" ref="AA8:AA34" si="3">D8/F8</f>
        <v>#DIV/0!</v>
      </c>
      <c r="AB8" s="1572" t="e">
        <f t="shared" ref="AB8:AB34" si="4">D8/H8</f>
        <v>#DIV/0!</v>
      </c>
      <c r="AC8" s="1572" t="e">
        <f t="shared" ref="AC8:AC34" si="5">D8/J8</f>
        <v>#DIV/0!</v>
      </c>
    </row>
    <row r="9" spans="1:29" s="1220" customFormat="1" ht="15">
      <c r="A9" s="2891"/>
      <c r="B9" s="2898"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0" t="s">
        <v>535</v>
      </c>
      <c r="Q9" s="1151" t="str">
        <f t="shared" ref="Q9:Q14" si="6">B9</f>
        <v>用途</v>
      </c>
      <c r="R9" s="1569" t="s">
        <v>8</v>
      </c>
      <c r="S9" s="1570">
        <f t="shared" si="0"/>
        <v>100</v>
      </c>
      <c r="T9" s="1569" t="s">
        <v>8</v>
      </c>
      <c r="U9" s="1570">
        <f t="shared" si="1"/>
        <v>100</v>
      </c>
      <c r="V9" s="1569" t="s">
        <v>8</v>
      </c>
      <c r="W9" s="1570">
        <f t="shared" si="2"/>
        <v>100</v>
      </c>
      <c r="X9" s="1571"/>
      <c r="Y9" s="3316" t="s">
        <v>536</v>
      </c>
      <c r="Z9" s="1150" t="str">
        <f t="shared" ref="Z9:Z14" si="7">Q9</f>
        <v>用途</v>
      </c>
      <c r="AA9" s="1572">
        <f t="shared" si="3"/>
        <v>1</v>
      </c>
      <c r="AB9" s="1572">
        <f t="shared" si="4"/>
        <v>1</v>
      </c>
      <c r="AC9" s="1572">
        <f t="shared" si="5"/>
        <v>1</v>
      </c>
    </row>
    <row r="10" spans="1:29" s="1338" customFormat="1" ht="27">
      <c r="A10" s="2892"/>
      <c r="B10" s="2897"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4"/>
      <c r="B11" s="2900">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70"/>
      <c r="Q11" s="1151">
        <f t="shared" si="6"/>
        <v>111</v>
      </c>
      <c r="R11" s="1569" t="s">
        <v>8</v>
      </c>
      <c r="S11" s="1570">
        <f t="shared" si="0"/>
        <v>100</v>
      </c>
      <c r="T11" s="1569" t="s">
        <v>8</v>
      </c>
      <c r="U11" s="1570">
        <f t="shared" si="1"/>
        <v>100</v>
      </c>
      <c r="V11" s="1569" t="s">
        <v>8</v>
      </c>
      <c r="W11" s="1570">
        <f t="shared" si="2"/>
        <v>100</v>
      </c>
      <c r="X11" s="1571"/>
      <c r="Y11" s="3316"/>
      <c r="Z11" s="1150">
        <f t="shared" si="7"/>
        <v>111</v>
      </c>
      <c r="AA11" s="1572">
        <f t="shared" si="3"/>
        <v>1</v>
      </c>
      <c r="AB11" s="1572">
        <f t="shared" si="4"/>
        <v>1</v>
      </c>
      <c r="AC11" s="1572">
        <f t="shared" si="5"/>
        <v>1</v>
      </c>
    </row>
    <row r="12" spans="1:29" s="1220" customFormat="1" ht="15">
      <c r="A12" s="2894"/>
      <c r="B12" s="2900">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70"/>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75" thickBot="1">
      <c r="A13" s="2895"/>
      <c r="B13" s="2901">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70"/>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85.5">
      <c r="A14" s="2887"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04" t="s">
        <v>540</v>
      </c>
      <c r="Q14" s="1573" t="str">
        <f t="shared" si="6"/>
        <v>交通便捷度</v>
      </c>
      <c r="R14" s="1574" t="s">
        <v>8</v>
      </c>
      <c r="S14" s="1575">
        <f t="shared" si="0"/>
        <v>100</v>
      </c>
      <c r="T14" s="1574" t="s">
        <v>8</v>
      </c>
      <c r="U14" s="1575">
        <f t="shared" si="1"/>
        <v>100</v>
      </c>
      <c r="V14" s="1574" t="s">
        <v>8</v>
      </c>
      <c r="W14" s="1575">
        <f t="shared" si="2"/>
        <v>100</v>
      </c>
      <c r="X14" s="1568"/>
      <c r="Y14" s="340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05"/>
      <c r="Q15" s="1573"/>
      <c r="R15" s="1574"/>
      <c r="S15" s="1575"/>
      <c r="T15" s="1574"/>
      <c r="U15" s="1575"/>
      <c r="V15" s="1574"/>
      <c r="W15" s="1575"/>
      <c r="X15" s="1568"/>
      <c r="Y15" s="3405"/>
      <c r="Z15" s="1576"/>
      <c r="AA15" s="1577">
        <v>1</v>
      </c>
      <c r="AB15" s="1577">
        <v>1</v>
      </c>
      <c r="AC15" s="1577">
        <v>1</v>
      </c>
    </row>
    <row r="16" spans="1:29" ht="42.75">
      <c r="A16" s="532"/>
      <c r="B16" s="2581"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5"/>
      <c r="Q16" s="1573" t="str">
        <f>B16</f>
        <v>公共配套设施</v>
      </c>
      <c r="R16" s="1574" t="s">
        <v>8</v>
      </c>
      <c r="S16" s="1575">
        <f>F16</f>
        <v>100</v>
      </c>
      <c r="T16" s="1574" t="s">
        <v>8</v>
      </c>
      <c r="U16" s="1575">
        <f>H16</f>
        <v>100</v>
      </c>
      <c r="V16" s="1574" t="s">
        <v>8</v>
      </c>
      <c r="W16" s="1575">
        <f>J16</f>
        <v>100</v>
      </c>
      <c r="X16" s="1568"/>
      <c r="Y16" s="340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05"/>
      <c r="Q17" s="1573"/>
      <c r="R17" s="1574"/>
      <c r="S17" s="1575"/>
      <c r="T17" s="1574"/>
      <c r="U17" s="1575"/>
      <c r="V17" s="1574"/>
      <c r="W17" s="1575"/>
      <c r="X17" s="1568"/>
      <c r="Y17" s="3405"/>
      <c r="Z17" s="1576"/>
      <c r="AA17" s="1577">
        <v>1</v>
      </c>
      <c r="AB17" s="1577">
        <v>1</v>
      </c>
      <c r="AC17" s="1577">
        <v>1</v>
      </c>
    </row>
    <row r="18" spans="1:29" ht="28.5">
      <c r="A18" s="532"/>
      <c r="B18" s="2569"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5"/>
      <c r="Q18" s="2557" t="str">
        <f>B18</f>
        <v>基础设施水平</v>
      </c>
      <c r="R18" s="1574" t="s">
        <v>8</v>
      </c>
      <c r="S18" s="1575">
        <f>F18</f>
        <v>100</v>
      </c>
      <c r="T18" s="1574" t="s">
        <v>8</v>
      </c>
      <c r="U18" s="1575">
        <f>H18</f>
        <v>100</v>
      </c>
      <c r="V18" s="1574" t="s">
        <v>8</v>
      </c>
      <c r="W18" s="1575">
        <f>J18</f>
        <v>100</v>
      </c>
      <c r="X18" s="2559"/>
      <c r="Y18" s="3405"/>
      <c r="Z18" s="2558"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0"/>
      <c r="L19" s="2143"/>
      <c r="M19" s="2135"/>
      <c r="N19" s="2135"/>
      <c r="O19" s="2142"/>
      <c r="P19" s="3405"/>
      <c r="Q19" s="2557"/>
      <c r="R19" s="1574"/>
      <c r="S19" s="1575"/>
      <c r="T19" s="1574"/>
      <c r="U19" s="1575"/>
      <c r="V19" s="1574"/>
      <c r="W19" s="1575"/>
      <c r="X19" s="2559"/>
      <c r="Y19" s="3405"/>
      <c r="Z19" s="2558"/>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5"/>
      <c r="Q20" s="1573" t="str">
        <f>B20</f>
        <v>自然及人文环境</v>
      </c>
      <c r="R20" s="1574" t="s">
        <v>8</v>
      </c>
      <c r="S20" s="1575">
        <f>F20</f>
        <v>100</v>
      </c>
      <c r="T20" s="1574" t="s">
        <v>8</v>
      </c>
      <c r="U20" s="1575">
        <f>H20</f>
        <v>100</v>
      </c>
      <c r="V20" s="1574" t="s">
        <v>8</v>
      </c>
      <c r="W20" s="1575">
        <f>J20</f>
        <v>100</v>
      </c>
      <c r="X20" s="1568"/>
      <c r="Y20" s="340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05"/>
      <c r="Q21" s="1573"/>
      <c r="R21" s="1574"/>
      <c r="S21" s="1575"/>
      <c r="T21" s="1574"/>
      <c r="U21" s="1575"/>
      <c r="V21" s="1574"/>
      <c r="W21" s="1575"/>
      <c r="X21" s="1568"/>
      <c r="Y21" s="340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5"/>
      <c r="Q22" s="1573" t="str">
        <f>B22</f>
        <v>楼层</v>
      </c>
      <c r="R22" s="1574" t="s">
        <v>8</v>
      </c>
      <c r="S22" s="1575">
        <f>F22</f>
        <v>100</v>
      </c>
      <c r="T22" s="1574" t="s">
        <v>8</v>
      </c>
      <c r="U22" s="1575">
        <f>H22</f>
        <v>100</v>
      </c>
      <c r="V22" s="1574" t="s">
        <v>8</v>
      </c>
      <c r="W22" s="1575">
        <f>J22</f>
        <v>100</v>
      </c>
      <c r="X22" s="1568"/>
      <c r="Y22" s="340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5"/>
      <c r="Q23" s="1573">
        <f>B23</f>
        <v>111</v>
      </c>
      <c r="R23" s="1574" t="s">
        <v>8</v>
      </c>
      <c r="S23" s="1575">
        <f>F23</f>
        <v>100</v>
      </c>
      <c r="T23" s="1574" t="s">
        <v>8</v>
      </c>
      <c r="U23" s="1575">
        <f>H23</f>
        <v>100</v>
      </c>
      <c r="V23" s="1574" t="s">
        <v>8</v>
      </c>
      <c r="W23" s="1575">
        <f>J23</f>
        <v>100</v>
      </c>
      <c r="X23" s="1568"/>
      <c r="Y23" s="340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5"/>
      <c r="Q24" s="1573">
        <f t="shared" ref="Q24:Q34" si="11">B24</f>
        <v>111</v>
      </c>
      <c r="R24" s="1574" t="s">
        <v>8</v>
      </c>
      <c r="S24" s="1575">
        <f>F24</f>
        <v>100</v>
      </c>
      <c r="T24" s="1574" t="s">
        <v>8</v>
      </c>
      <c r="U24" s="1575">
        <f>H24</f>
        <v>100</v>
      </c>
      <c r="V24" s="1574" t="s">
        <v>8</v>
      </c>
      <c r="W24" s="1575">
        <f>J24</f>
        <v>100</v>
      </c>
      <c r="X24" s="1568"/>
      <c r="Y24" s="340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5"/>
      <c r="Q25" s="1151">
        <f t="shared" si="11"/>
        <v>111</v>
      </c>
      <c r="R25" s="1569" t="s">
        <v>8</v>
      </c>
      <c r="S25" s="1570">
        <f>F25</f>
        <v>100</v>
      </c>
      <c r="T25" s="1569" t="s">
        <v>8</v>
      </c>
      <c r="U25" s="1570">
        <f>H25</f>
        <v>100</v>
      </c>
      <c r="V25" s="1569" t="s">
        <v>8</v>
      </c>
      <c r="W25" s="1570">
        <f>J25</f>
        <v>100</v>
      </c>
      <c r="X25" s="1571"/>
      <c r="Y25" s="3405"/>
      <c r="Z25" s="1150">
        <f>Q25</f>
        <v>111</v>
      </c>
      <c r="AA25" s="1577">
        <f>D25/F25</f>
        <v>1</v>
      </c>
      <c r="AB25" s="1577">
        <f>D25/H25</f>
        <v>1</v>
      </c>
      <c r="AC25" s="1577">
        <f>D25/J25</f>
        <v>1</v>
      </c>
    </row>
    <row r="26" spans="1:29" ht="15">
      <c r="A26" s="2884"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7"/>
      <c r="Q27" s="1606" t="str">
        <f t="shared" si="11"/>
        <v>成新率</v>
      </c>
      <c r="R27" s="1578" t="s">
        <v>8</v>
      </c>
      <c r="S27" s="1579" t="e">
        <f t="shared" si="12"/>
        <v>#N/A</v>
      </c>
      <c r="T27" s="1578" t="s">
        <v>8</v>
      </c>
      <c r="U27" s="1579" t="e">
        <f t="shared" si="13"/>
        <v>#N/A</v>
      </c>
      <c r="V27" s="1578" t="s">
        <v>8</v>
      </c>
      <c r="W27" s="1579" t="e">
        <f t="shared" si="14"/>
        <v>#N/A</v>
      </c>
      <c r="X27" s="1580"/>
      <c r="Y27" s="340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7"/>
      <c r="Q28" s="1573" t="str">
        <f t="shared" si="11"/>
        <v>物业等级</v>
      </c>
      <c r="R28" s="1574" t="s">
        <v>8</v>
      </c>
      <c r="S28" s="1575">
        <f t="shared" si="12"/>
        <v>100</v>
      </c>
      <c r="T28" s="1574" t="s">
        <v>8</v>
      </c>
      <c r="U28" s="1575">
        <f t="shared" si="13"/>
        <v>100</v>
      </c>
      <c r="V28" s="1574" t="s">
        <v>8</v>
      </c>
      <c r="W28" s="1575">
        <f t="shared" si="14"/>
        <v>100</v>
      </c>
      <c r="X28" s="1568"/>
      <c r="Y28" s="340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7"/>
      <c r="Q29" s="1573" t="str">
        <f t="shared" si="11"/>
        <v>有无电梯</v>
      </c>
      <c r="R29" s="1574" t="s">
        <v>8</v>
      </c>
      <c r="S29" s="1575">
        <f t="shared" si="12"/>
        <v>100</v>
      </c>
      <c r="T29" s="1574" t="s">
        <v>8</v>
      </c>
      <c r="U29" s="1575">
        <f t="shared" si="13"/>
        <v>100</v>
      </c>
      <c r="V29" s="1574" t="s">
        <v>8</v>
      </c>
      <c r="W29" s="1575">
        <f t="shared" si="14"/>
        <v>100</v>
      </c>
      <c r="X29" s="1568"/>
      <c r="Y29" s="340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7"/>
      <c r="Q30" s="1573" t="str">
        <f t="shared" si="11"/>
        <v>建筑面积</v>
      </c>
      <c r="R30" s="1574" t="s">
        <v>8</v>
      </c>
      <c r="S30" s="1575" t="e">
        <f t="shared" si="12"/>
        <v>#N/A</v>
      </c>
      <c r="T30" s="1574" t="s">
        <v>8</v>
      </c>
      <c r="U30" s="1575" t="e">
        <f t="shared" si="13"/>
        <v>#N/A</v>
      </c>
      <c r="V30" s="1574" t="s">
        <v>8</v>
      </c>
      <c r="W30" s="1575" t="e">
        <f t="shared" si="14"/>
        <v>#N/A</v>
      </c>
      <c r="X30" s="1568"/>
      <c r="Y30" s="340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7"/>
      <c r="Q31" s="1151" t="str">
        <f t="shared" si="11"/>
        <v>是否封闭</v>
      </c>
      <c r="R31" s="1569" t="s">
        <v>8</v>
      </c>
      <c r="S31" s="1570">
        <f t="shared" si="12"/>
        <v>100</v>
      </c>
      <c r="T31" s="1569" t="s">
        <v>8</v>
      </c>
      <c r="U31" s="1570">
        <f t="shared" si="13"/>
        <v>100</v>
      </c>
      <c r="V31" s="1569" t="s">
        <v>8</v>
      </c>
      <c r="W31" s="1570">
        <f t="shared" si="14"/>
        <v>100</v>
      </c>
      <c r="X31" s="1571"/>
      <c r="Y31" s="340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7" t="s">
        <v>550</v>
      </c>
      <c r="Q32" s="1573">
        <f t="shared" si="11"/>
        <v>111</v>
      </c>
      <c r="R32" s="1574" t="s">
        <v>8</v>
      </c>
      <c r="S32" s="1575">
        <f t="shared" si="12"/>
        <v>100</v>
      </c>
      <c r="T32" s="1574" t="s">
        <v>8</v>
      </c>
      <c r="U32" s="1575">
        <f t="shared" si="13"/>
        <v>100</v>
      </c>
      <c r="V32" s="1574" t="s">
        <v>8</v>
      </c>
      <c r="W32" s="1575">
        <f t="shared" si="14"/>
        <v>100</v>
      </c>
      <c r="X32" s="1568"/>
      <c r="Y32" s="340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7"/>
      <c r="Q33" s="1573">
        <f t="shared" si="11"/>
        <v>111</v>
      </c>
      <c r="R33" s="1574" t="s">
        <v>8</v>
      </c>
      <c r="S33" s="1575">
        <f t="shared" si="12"/>
        <v>100</v>
      </c>
      <c r="T33" s="1574" t="s">
        <v>8</v>
      </c>
      <c r="U33" s="1575">
        <f t="shared" si="13"/>
        <v>100</v>
      </c>
      <c r="V33" s="1574" t="s">
        <v>8</v>
      </c>
      <c r="W33" s="1575">
        <f t="shared" si="14"/>
        <v>100</v>
      </c>
      <c r="X33" s="1568"/>
      <c r="Y33" s="340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7"/>
      <c r="Q34" s="1573">
        <f t="shared" si="11"/>
        <v>111</v>
      </c>
      <c r="R34" s="1574" t="s">
        <v>8</v>
      </c>
      <c r="S34" s="1575">
        <f t="shared" si="12"/>
        <v>100</v>
      </c>
      <c r="T34" s="1574" t="s">
        <v>8</v>
      </c>
      <c r="U34" s="1575">
        <f t="shared" si="13"/>
        <v>100</v>
      </c>
      <c r="V34" s="1574" t="s">
        <v>8</v>
      </c>
      <c r="W34" s="1575">
        <f t="shared" si="14"/>
        <v>100</v>
      </c>
      <c r="X34" s="1568"/>
      <c r="Y34" s="3407"/>
      <c r="Z34" s="1576">
        <f t="shared" si="15"/>
        <v>111</v>
      </c>
      <c r="AA34" s="1577">
        <f t="shared" si="3"/>
        <v>1</v>
      </c>
      <c r="AB34" s="1577">
        <f t="shared" si="4"/>
        <v>1</v>
      </c>
      <c r="AC34" s="1577">
        <f t="shared" si="5"/>
        <v>1</v>
      </c>
    </row>
    <row r="35" spans="1:29" ht="15">
      <c r="A35" s="607" t="s">
        <v>736</v>
      </c>
      <c r="B35" s="887"/>
      <c r="C35" s="2605" t="s">
        <v>1</v>
      </c>
      <c r="D35" s="2606"/>
      <c r="E35" s="2607"/>
      <c r="F35" s="2608"/>
      <c r="G35" s="2609"/>
      <c r="H35" s="2610"/>
      <c r="I35" s="2607"/>
      <c r="J35" s="2610"/>
      <c r="K35" s="1612"/>
      <c r="L35" s="2145"/>
      <c r="M35" s="2146"/>
      <c r="N35" s="2135"/>
      <c r="O35" s="2146"/>
      <c r="P35" s="3370" t="str">
        <f>A35</f>
        <v>成交单价（元/平方米）</v>
      </c>
      <c r="Q35" s="3370"/>
      <c r="R35" s="3484">
        <f>E35</f>
        <v>0</v>
      </c>
      <c r="S35" s="3484"/>
      <c r="T35" s="3484">
        <f>G35</f>
        <v>0</v>
      </c>
      <c r="U35" s="3484"/>
      <c r="V35" s="3484">
        <f>I35</f>
        <v>0</v>
      </c>
      <c r="W35" s="3484"/>
      <c r="X35" s="1560"/>
      <c r="Y35" s="1582"/>
      <c r="Z35" s="1560"/>
      <c r="AA35" s="1560"/>
      <c r="AB35" s="1560"/>
      <c r="AC35" s="1560"/>
    </row>
    <row r="36" spans="1:29" ht="15.75" thickBot="1">
      <c r="A36" s="615" t="s">
        <v>2761</v>
      </c>
      <c r="B36" s="888"/>
      <c r="C36" s="2611" t="e">
        <f>R37</f>
        <v>#DIV/0!</v>
      </c>
      <c r="D36" s="2612"/>
      <c r="E36" s="2613" t="e">
        <f>R36</f>
        <v>#DIV/0!</v>
      </c>
      <c r="F36" s="2613"/>
      <c r="G36" s="2611" t="e">
        <f>T36</f>
        <v>#DIV/0!</v>
      </c>
      <c r="H36" s="2612"/>
      <c r="I36" s="2613" t="e">
        <f>V36</f>
        <v>#DIV/0!</v>
      </c>
      <c r="J36" s="2612"/>
      <c r="K36" s="1613"/>
      <c r="L36" s="2145"/>
      <c r="M36" s="2146"/>
      <c r="N36" s="2135"/>
      <c r="O36" s="2146"/>
      <c r="P36" s="3370" t="str">
        <f>A36</f>
        <v>比较价格（元/平方米）</v>
      </c>
      <c r="Q36" s="3370"/>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60"/>
      <c r="Y36" s="1560"/>
      <c r="Z36" s="1560"/>
      <c r="AA36" s="1560"/>
      <c r="AB36" s="1560"/>
      <c r="AC36" s="1560"/>
    </row>
    <row r="37" spans="1:29" ht="15.75" thickBot="1">
      <c r="A37" s="621" t="s">
        <v>2936</v>
      </c>
      <c r="B37" s="622"/>
      <c r="C37" s="2614" t="e">
        <f>R37</f>
        <v>#DIV/0!</v>
      </c>
      <c r="D37" s="2614"/>
      <c r="E37" s="2614"/>
      <c r="F37" s="2614"/>
      <c r="G37" s="2614"/>
      <c r="H37" s="2614"/>
      <c r="I37" s="2614"/>
      <c r="J37" s="2614"/>
      <c r="K37" s="1614"/>
      <c r="L37" s="2145"/>
      <c r="M37" s="2146"/>
      <c r="N37" s="2146"/>
      <c r="O37" s="2146"/>
      <c r="P37" s="3367" t="str">
        <f>A37</f>
        <v>估价对象XX用房的比较价格（楼面单价，元/平方米）</v>
      </c>
      <c r="Q37" s="3368"/>
      <c r="R37" s="3483" t="e">
        <f>IF(F1="售价",ROUND(AVERAGE(R36:V36),0),ROUND(AVERAGE(R36:V36),1))</f>
        <v>#DIV/0!</v>
      </c>
      <c r="S37" s="3483"/>
      <c r="T37" s="3483"/>
      <c r="U37" s="3483"/>
      <c r="V37" s="3483"/>
      <c r="W37" s="348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5" t="s">
        <v>2559</v>
      </c>
      <c r="C65" s="2576" t="s">
        <v>2560</v>
      </c>
      <c r="D65" s="2576" t="s">
        <v>2561</v>
      </c>
      <c r="E65" s="2576" t="s">
        <v>2562</v>
      </c>
      <c r="F65" s="2576" t="s">
        <v>2563</v>
      </c>
      <c r="G65" s="2576" t="s">
        <v>2564</v>
      </c>
      <c r="H65" s="674"/>
      <c r="I65" s="674"/>
      <c r="J65" s="674"/>
      <c r="K65" s="674"/>
      <c r="L65" s="674"/>
      <c r="M65" s="2579"/>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五矿信托：</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47625平方米。根据《建设工程规划许可证》[]、《出让合同》[]，估价对象规划建筑面积为183566.61平方米。</v>
      </c>
    </row>
    <row r="7" spans="1:4" ht="93.75">
      <c r="A7" s="2850" t="s">
        <v>2749</v>
      </c>
    </row>
    <row r="8" spans="1:4" ht="18.75">
      <c r="A8" s="1795" t="s">
        <v>1907</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2019年1月25日（评估专业人员勘察现场之日）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根据《国有土地使用证》[]，估价对象（分摊）出让国有建设用地使用权面积为47625平方米。根据《建设工程规划许可证》[]、《出让合同》[]，估价对象规划建筑面积为183566.61平方米。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2"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1月25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97" t="s">
        <v>2305</v>
      </c>
      <c r="D1" s="3498"/>
      <c r="E1" s="3498"/>
      <c r="F1" s="3498"/>
      <c r="G1" s="3498"/>
      <c r="H1" s="3498"/>
      <c r="I1" s="3498"/>
      <c r="J1" s="3498"/>
      <c r="K1" s="3498"/>
      <c r="L1" s="3498"/>
      <c r="M1" s="3498"/>
      <c r="N1" s="3498"/>
      <c r="O1" s="3498"/>
      <c r="P1" s="3498"/>
      <c r="Q1" s="3498"/>
      <c r="R1" s="3498"/>
      <c r="S1" s="3499"/>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4" t="s">
        <v>2929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6" t="s">
        <v>2928</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6" t="s">
        <v>2927</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4" t="s">
        <v>2942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4" t="s">
        <v>2926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4" t="s">
        <v>2925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94" t="s">
        <v>20</v>
      </c>
      <c r="D22" s="3495"/>
      <c r="E22" s="3495"/>
      <c r="F22" s="3495"/>
      <c r="G22" s="3495"/>
      <c r="H22" s="3495"/>
      <c r="I22" s="3495"/>
      <c r="J22" s="3495"/>
      <c r="K22" s="3495"/>
      <c r="L22" s="3495"/>
      <c r="M22" s="3495"/>
      <c r="N22" s="3495"/>
      <c r="O22" s="3495"/>
      <c r="P22" s="3495"/>
      <c r="Q22" s="3496"/>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2789</v>
      </c>
      <c r="C1" s="2981">
        <f>项目基本情况!D3</f>
        <v>43490</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2820</v>
      </c>
      <c r="C2" s="2982">
        <f>'数据-取费表'!B22</f>
        <v>2</v>
      </c>
      <c r="D2" s="2977" t="s">
        <v>2790</v>
      </c>
      <c r="E2" s="2980">
        <f ca="1">INDIRECT("I"&amp;$I$1)/100</f>
        <v>4.7500000000000001E-2</v>
      </c>
      <c r="G2" s="2917"/>
      <c r="H2" s="2917"/>
      <c r="I2" s="2917" t="s">
        <v>2791</v>
      </c>
      <c r="K2" s="2917"/>
      <c r="L2" s="2917"/>
      <c r="M2" s="2917"/>
      <c r="N2" s="2917" t="s">
        <v>2792</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2822</v>
      </c>
      <c r="C3" s="2979">
        <f>'数据-取费表'!B19</f>
        <v>0</v>
      </c>
      <c r="D3" s="2977" t="s">
        <v>2790</v>
      </c>
      <c r="E3" s="2980">
        <f ca="1">INDIRECT("J"&amp;$J$1)/100</f>
        <v>0</v>
      </c>
      <c r="G3" s="2919" t="s">
        <v>2793</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2821</v>
      </c>
      <c r="C4" s="2980">
        <f ca="1">N4/100</f>
        <v>1.4999999999999999E-2</v>
      </c>
      <c r="G4" s="2925" t="s">
        <v>2794</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2795</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2796</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2797</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2798</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2799</v>
      </c>
      <c r="C10" s="2944"/>
      <c r="D10" s="2944"/>
      <c r="E10" s="2944"/>
      <c r="F10" s="2944"/>
      <c r="G10" s="2944"/>
      <c r="H10" s="2944"/>
      <c r="I10" s="2918"/>
      <c r="J10" s="2918"/>
      <c r="K10" s="2944"/>
      <c r="L10" s="2945" t="s">
        <v>2800</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2801</v>
      </c>
      <c r="C11" s="2949" t="s">
        <v>2802</v>
      </c>
      <c r="D11" s="2950" t="s">
        <v>2803</v>
      </c>
      <c r="E11" s="2951"/>
      <c r="F11" s="2950" t="s">
        <v>2804</v>
      </c>
      <c r="G11" s="2952"/>
      <c r="H11" s="2951"/>
      <c r="I11" s="2950" t="s">
        <v>2805</v>
      </c>
      <c r="J11" s="2951"/>
      <c r="K11" s="2947"/>
      <c r="L11" s="2948" t="s">
        <v>2801</v>
      </c>
      <c r="M11" s="2949" t="s">
        <v>2802</v>
      </c>
      <c r="N11" s="2948" t="s">
        <v>2806</v>
      </c>
      <c r="O11" s="2950" t="s">
        <v>2807</v>
      </c>
      <c r="P11" s="2952"/>
      <c r="Q11" s="2952"/>
      <c r="R11" s="2952"/>
      <c r="S11" s="2952"/>
      <c r="T11" s="2951"/>
      <c r="U11" s="2950" t="s">
        <v>2808</v>
      </c>
      <c r="V11" s="2952"/>
      <c r="W11" s="2951"/>
      <c r="X11" s="2948" t="s">
        <v>2809</v>
      </c>
      <c r="Y11" s="2948" t="s">
        <v>2810</v>
      </c>
      <c r="Z11" s="2948" t="s">
        <v>2811</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2812</v>
      </c>
      <c r="E12" s="2957" t="s">
        <v>2813</v>
      </c>
      <c r="F12" s="2957" t="s">
        <v>2814</v>
      </c>
      <c r="G12" s="2957" t="s">
        <v>2815</v>
      </c>
      <c r="H12" s="2957" t="s">
        <v>2797</v>
      </c>
      <c r="I12" s="2958" t="s">
        <v>2816</v>
      </c>
      <c r="J12" s="2958" t="s">
        <v>2816</v>
      </c>
      <c r="K12" s="2954"/>
      <c r="L12" s="2955"/>
      <c r="M12" s="2956"/>
      <c r="N12" s="2955"/>
      <c r="O12" s="2958" t="s">
        <v>2817</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2818</v>
      </c>
      <c r="C13" s="2962">
        <v>42301</v>
      </c>
      <c r="D13" s="2963">
        <v>4.3499999999999996</v>
      </c>
      <c r="E13" s="2963">
        <v>4.3499999999999996</v>
      </c>
      <c r="F13" s="2963">
        <v>4.75</v>
      </c>
      <c r="G13" s="2963">
        <v>4.75</v>
      </c>
      <c r="H13" s="2963">
        <v>4.9000000000000004</v>
      </c>
      <c r="I13" s="2963">
        <v>2.75</v>
      </c>
      <c r="J13" s="2963">
        <v>3.25</v>
      </c>
      <c r="K13" s="2960"/>
      <c r="L13" s="2961" t="s">
        <v>2818</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2819</v>
      </c>
      <c r="Y42" s="2967" t="s">
        <v>2819</v>
      </c>
      <c r="Z42" s="2967" t="s">
        <v>2819</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2819</v>
      </c>
      <c r="Y43" s="2967" t="s">
        <v>2819</v>
      </c>
      <c r="Z43" s="2967" t="s">
        <v>2819</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2819</v>
      </c>
      <c r="Y44" s="2967" t="s">
        <v>2819</v>
      </c>
      <c r="Z44" s="2967" t="s">
        <v>2819</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2819</v>
      </c>
      <c r="Y45" s="2967" t="s">
        <v>2819</v>
      </c>
      <c r="Z45" s="2967" t="s">
        <v>2819</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2819</v>
      </c>
      <c r="Y46" s="2967" t="s">
        <v>2819</v>
      </c>
      <c r="Z46" s="2967" t="s">
        <v>2819</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2819</v>
      </c>
      <c r="Y47" s="2967" t="s">
        <v>2819</v>
      </c>
      <c r="Z47" s="2967" t="s">
        <v>2819</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2819</v>
      </c>
      <c r="Y48" s="2967" t="s">
        <v>2819</v>
      </c>
      <c r="Z48" s="2967" t="s">
        <v>2819</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2819</v>
      </c>
      <c r="Y49" s="2967" t="s">
        <v>2819</v>
      </c>
      <c r="Z49" s="2967" t="s">
        <v>2819</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2819</v>
      </c>
      <c r="Y50" s="2967" t="s">
        <v>2819</v>
      </c>
      <c r="Z50" s="2967" t="s">
        <v>2819</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2819</v>
      </c>
      <c r="V51" s="2967" t="s">
        <v>2819</v>
      </c>
      <c r="W51" s="2967" t="s">
        <v>2819</v>
      </c>
      <c r="X51" s="2967" t="s">
        <v>2819</v>
      </c>
      <c r="Y51" s="2967" t="s">
        <v>2819</v>
      </c>
      <c r="Z51" s="2967" t="s">
        <v>2819</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2819</v>
      </c>
      <c r="J55" s="2967" t="s">
        <v>2819</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zoomScale="85" zoomScaleNormal="85" workbookViewId="0">
      <selection activeCell="M28" sqref="E28:M34"/>
    </sheetView>
  </sheetViews>
  <sheetFormatPr defaultRowHeight="13.5"/>
  <cols>
    <col min="1" max="1" width="28.5" style="2916" customWidth="1"/>
    <col min="2" max="2" width="6.25" style="2916" customWidth="1"/>
    <col min="3" max="3" width="13.875" style="2916" customWidth="1"/>
    <col min="4" max="4" width="4.625" style="2916" customWidth="1"/>
    <col min="5" max="5" width="82.25" style="2916" customWidth="1"/>
    <col min="6" max="6" width="20.375" style="2916" customWidth="1"/>
    <col min="7" max="7" width="37" style="2916" customWidth="1"/>
    <col min="8" max="9" width="13.875" style="2916" customWidth="1"/>
    <col min="10" max="10" width="12.375" style="2916" customWidth="1"/>
    <col min="11" max="11" width="9" style="2916" customWidth="1"/>
    <col min="12" max="12" width="22.875" style="2916" customWidth="1"/>
    <col min="13" max="13" width="48.5" style="2916" customWidth="1"/>
    <col min="14" max="14" width="10.625" style="2916" customWidth="1"/>
    <col min="15" max="15" width="16" style="2916" customWidth="1"/>
    <col min="16" max="16" width="14.375" style="2916" customWidth="1"/>
    <col min="17" max="17" width="6.25" style="2916" customWidth="1"/>
    <col min="18" max="18" width="16.125" style="2916" customWidth="1"/>
    <col min="19" max="19" width="7.875" style="2916" customWidth="1"/>
    <col min="20" max="256" width="9" style="2916"/>
    <col min="257" max="257" width="35.375" style="2916" customWidth="1"/>
    <col min="258" max="258" width="6.25" style="2916" customWidth="1"/>
    <col min="259" max="259" width="13.875" style="2916" customWidth="1"/>
    <col min="260" max="260" width="4.625" style="2916" customWidth="1"/>
    <col min="261" max="261" width="82.25" style="2916" customWidth="1"/>
    <col min="262" max="262" width="20.375" style="2916" customWidth="1"/>
    <col min="263" max="263" width="37" style="2916" customWidth="1"/>
    <col min="264" max="265" width="13.875" style="2916" customWidth="1"/>
    <col min="266" max="266" width="8" style="2916" customWidth="1"/>
    <col min="267" max="267" width="9" style="2916" customWidth="1"/>
    <col min="268" max="268" width="22.875" style="2916" customWidth="1"/>
    <col min="269" max="269" width="48.5" style="2916" customWidth="1"/>
    <col min="270" max="270" width="10.625" style="2916" customWidth="1"/>
    <col min="271" max="271" width="16" style="2916" customWidth="1"/>
    <col min="272" max="272" width="14.375" style="2916" customWidth="1"/>
    <col min="273" max="273" width="6.25" style="2916" customWidth="1"/>
    <col min="274" max="274" width="16.125" style="2916" customWidth="1"/>
    <col min="275" max="275" width="7.875" style="2916" customWidth="1"/>
    <col min="276" max="512" width="9" style="2916"/>
    <col min="513" max="513" width="35.375" style="2916" customWidth="1"/>
    <col min="514" max="514" width="6.25" style="2916" customWidth="1"/>
    <col min="515" max="515" width="13.875" style="2916" customWidth="1"/>
    <col min="516" max="516" width="4.625" style="2916" customWidth="1"/>
    <col min="517" max="517" width="82.25" style="2916" customWidth="1"/>
    <col min="518" max="518" width="20.375" style="2916" customWidth="1"/>
    <col min="519" max="519" width="37" style="2916" customWidth="1"/>
    <col min="520" max="521" width="13.875" style="2916" customWidth="1"/>
    <col min="522" max="522" width="8" style="2916" customWidth="1"/>
    <col min="523" max="523" width="9" style="2916" customWidth="1"/>
    <col min="524" max="524" width="22.875" style="2916" customWidth="1"/>
    <col min="525" max="525" width="48.5" style="2916" customWidth="1"/>
    <col min="526" max="526" width="10.625" style="2916" customWidth="1"/>
    <col min="527" max="527" width="16" style="2916" customWidth="1"/>
    <col min="528" max="528" width="14.375" style="2916" customWidth="1"/>
    <col min="529" max="529" width="6.25" style="2916" customWidth="1"/>
    <col min="530" max="530" width="16.125" style="2916" customWidth="1"/>
    <col min="531" max="531" width="7.875" style="2916" customWidth="1"/>
    <col min="532" max="768" width="9" style="2916"/>
    <col min="769" max="769" width="35.375" style="2916" customWidth="1"/>
    <col min="770" max="770" width="6.25" style="2916" customWidth="1"/>
    <col min="771" max="771" width="13.875" style="2916" customWidth="1"/>
    <col min="772" max="772" width="4.625" style="2916" customWidth="1"/>
    <col min="773" max="773" width="82.25" style="2916" customWidth="1"/>
    <col min="774" max="774" width="20.375" style="2916" customWidth="1"/>
    <col min="775" max="775" width="37" style="2916" customWidth="1"/>
    <col min="776" max="777" width="13.875" style="2916" customWidth="1"/>
    <col min="778" max="778" width="8" style="2916" customWidth="1"/>
    <col min="779" max="779" width="9" style="2916" customWidth="1"/>
    <col min="780" max="780" width="22.875" style="2916" customWidth="1"/>
    <col min="781" max="781" width="48.5" style="2916" customWidth="1"/>
    <col min="782" max="782" width="10.625" style="2916" customWidth="1"/>
    <col min="783" max="783" width="16" style="2916" customWidth="1"/>
    <col min="784" max="784" width="14.375" style="2916" customWidth="1"/>
    <col min="785" max="785" width="6.25" style="2916" customWidth="1"/>
    <col min="786" max="786" width="16.125" style="2916" customWidth="1"/>
    <col min="787" max="787" width="7.875" style="2916" customWidth="1"/>
    <col min="788" max="1024" width="9" style="2916"/>
    <col min="1025" max="1025" width="35.375" style="2916" customWidth="1"/>
    <col min="1026" max="1026" width="6.25" style="2916" customWidth="1"/>
    <col min="1027" max="1027" width="13.875" style="2916" customWidth="1"/>
    <col min="1028" max="1028" width="4.625" style="2916" customWidth="1"/>
    <col min="1029" max="1029" width="82.25" style="2916" customWidth="1"/>
    <col min="1030" max="1030" width="20.375" style="2916" customWidth="1"/>
    <col min="1031" max="1031" width="37" style="2916" customWidth="1"/>
    <col min="1032" max="1033" width="13.875" style="2916" customWidth="1"/>
    <col min="1034" max="1034" width="8" style="2916" customWidth="1"/>
    <col min="1035" max="1035" width="9" style="2916" customWidth="1"/>
    <col min="1036" max="1036" width="22.875" style="2916" customWidth="1"/>
    <col min="1037" max="1037" width="48.5" style="2916" customWidth="1"/>
    <col min="1038" max="1038" width="10.625" style="2916" customWidth="1"/>
    <col min="1039" max="1039" width="16" style="2916" customWidth="1"/>
    <col min="1040" max="1040" width="14.375" style="2916" customWidth="1"/>
    <col min="1041" max="1041" width="6.25" style="2916" customWidth="1"/>
    <col min="1042" max="1042" width="16.125" style="2916" customWidth="1"/>
    <col min="1043" max="1043" width="7.875" style="2916" customWidth="1"/>
    <col min="1044" max="1280" width="9" style="2916"/>
    <col min="1281" max="1281" width="35.375" style="2916" customWidth="1"/>
    <col min="1282" max="1282" width="6.25" style="2916" customWidth="1"/>
    <col min="1283" max="1283" width="13.875" style="2916" customWidth="1"/>
    <col min="1284" max="1284" width="4.625" style="2916" customWidth="1"/>
    <col min="1285" max="1285" width="82.25" style="2916" customWidth="1"/>
    <col min="1286" max="1286" width="20.375" style="2916" customWidth="1"/>
    <col min="1287" max="1287" width="37" style="2916" customWidth="1"/>
    <col min="1288" max="1289" width="13.875" style="2916" customWidth="1"/>
    <col min="1290" max="1290" width="8" style="2916" customWidth="1"/>
    <col min="1291" max="1291" width="9" style="2916" customWidth="1"/>
    <col min="1292" max="1292" width="22.875" style="2916" customWidth="1"/>
    <col min="1293" max="1293" width="48.5" style="2916" customWidth="1"/>
    <col min="1294" max="1294" width="10.625" style="2916" customWidth="1"/>
    <col min="1295" max="1295" width="16" style="2916" customWidth="1"/>
    <col min="1296" max="1296" width="14.375" style="2916" customWidth="1"/>
    <col min="1297" max="1297" width="6.25" style="2916" customWidth="1"/>
    <col min="1298" max="1298" width="16.125" style="2916" customWidth="1"/>
    <col min="1299" max="1299" width="7.875" style="2916" customWidth="1"/>
    <col min="1300" max="1536" width="9" style="2916"/>
    <col min="1537" max="1537" width="35.375" style="2916" customWidth="1"/>
    <col min="1538" max="1538" width="6.25" style="2916" customWidth="1"/>
    <col min="1539" max="1539" width="13.875" style="2916" customWidth="1"/>
    <col min="1540" max="1540" width="4.625" style="2916" customWidth="1"/>
    <col min="1541" max="1541" width="82.25" style="2916" customWidth="1"/>
    <col min="1542" max="1542" width="20.375" style="2916" customWidth="1"/>
    <col min="1543" max="1543" width="37" style="2916" customWidth="1"/>
    <col min="1544" max="1545" width="13.875" style="2916" customWidth="1"/>
    <col min="1546" max="1546" width="8" style="2916" customWidth="1"/>
    <col min="1547" max="1547" width="9" style="2916" customWidth="1"/>
    <col min="1548" max="1548" width="22.875" style="2916" customWidth="1"/>
    <col min="1549" max="1549" width="48.5" style="2916" customWidth="1"/>
    <col min="1550" max="1550" width="10.625" style="2916" customWidth="1"/>
    <col min="1551" max="1551" width="16" style="2916" customWidth="1"/>
    <col min="1552" max="1552" width="14.375" style="2916" customWidth="1"/>
    <col min="1553" max="1553" width="6.25" style="2916" customWidth="1"/>
    <col min="1554" max="1554" width="16.125" style="2916" customWidth="1"/>
    <col min="1555" max="1555" width="7.875" style="2916" customWidth="1"/>
    <col min="1556" max="1792" width="9" style="2916"/>
    <col min="1793" max="1793" width="35.375" style="2916" customWidth="1"/>
    <col min="1794" max="1794" width="6.25" style="2916" customWidth="1"/>
    <col min="1795" max="1795" width="13.875" style="2916" customWidth="1"/>
    <col min="1796" max="1796" width="4.625" style="2916" customWidth="1"/>
    <col min="1797" max="1797" width="82.25" style="2916" customWidth="1"/>
    <col min="1798" max="1798" width="20.375" style="2916" customWidth="1"/>
    <col min="1799" max="1799" width="37" style="2916" customWidth="1"/>
    <col min="1800" max="1801" width="13.875" style="2916" customWidth="1"/>
    <col min="1802" max="1802" width="8" style="2916" customWidth="1"/>
    <col min="1803" max="1803" width="9" style="2916" customWidth="1"/>
    <col min="1804" max="1804" width="22.875" style="2916" customWidth="1"/>
    <col min="1805" max="1805" width="48.5" style="2916" customWidth="1"/>
    <col min="1806" max="1806" width="10.625" style="2916" customWidth="1"/>
    <col min="1807" max="1807" width="16" style="2916" customWidth="1"/>
    <col min="1808" max="1808" width="14.375" style="2916" customWidth="1"/>
    <col min="1809" max="1809" width="6.25" style="2916" customWidth="1"/>
    <col min="1810" max="1810" width="16.125" style="2916" customWidth="1"/>
    <col min="1811" max="1811" width="7.875" style="2916" customWidth="1"/>
    <col min="1812" max="2048" width="9" style="2916"/>
    <col min="2049" max="2049" width="35.375" style="2916" customWidth="1"/>
    <col min="2050" max="2050" width="6.25" style="2916" customWidth="1"/>
    <col min="2051" max="2051" width="13.875" style="2916" customWidth="1"/>
    <col min="2052" max="2052" width="4.625" style="2916" customWidth="1"/>
    <col min="2053" max="2053" width="82.25" style="2916" customWidth="1"/>
    <col min="2054" max="2054" width="20.375" style="2916" customWidth="1"/>
    <col min="2055" max="2055" width="37" style="2916" customWidth="1"/>
    <col min="2056" max="2057" width="13.875" style="2916" customWidth="1"/>
    <col min="2058" max="2058" width="8" style="2916" customWidth="1"/>
    <col min="2059" max="2059" width="9" style="2916" customWidth="1"/>
    <col min="2060" max="2060" width="22.875" style="2916" customWidth="1"/>
    <col min="2061" max="2061" width="48.5" style="2916" customWidth="1"/>
    <col min="2062" max="2062" width="10.625" style="2916" customWidth="1"/>
    <col min="2063" max="2063" width="16" style="2916" customWidth="1"/>
    <col min="2064" max="2064" width="14.375" style="2916" customWidth="1"/>
    <col min="2065" max="2065" width="6.25" style="2916" customWidth="1"/>
    <col min="2066" max="2066" width="16.125" style="2916" customWidth="1"/>
    <col min="2067" max="2067" width="7.875" style="2916" customWidth="1"/>
    <col min="2068" max="2304" width="9" style="2916"/>
    <col min="2305" max="2305" width="35.375" style="2916" customWidth="1"/>
    <col min="2306" max="2306" width="6.25" style="2916" customWidth="1"/>
    <col min="2307" max="2307" width="13.875" style="2916" customWidth="1"/>
    <col min="2308" max="2308" width="4.625" style="2916" customWidth="1"/>
    <col min="2309" max="2309" width="82.25" style="2916" customWidth="1"/>
    <col min="2310" max="2310" width="20.375" style="2916" customWidth="1"/>
    <col min="2311" max="2311" width="37" style="2916" customWidth="1"/>
    <col min="2312" max="2313" width="13.875" style="2916" customWidth="1"/>
    <col min="2314" max="2314" width="8" style="2916" customWidth="1"/>
    <col min="2315" max="2315" width="9" style="2916" customWidth="1"/>
    <col min="2316" max="2316" width="22.875" style="2916" customWidth="1"/>
    <col min="2317" max="2317" width="48.5" style="2916" customWidth="1"/>
    <col min="2318" max="2318" width="10.625" style="2916" customWidth="1"/>
    <col min="2319" max="2319" width="16" style="2916" customWidth="1"/>
    <col min="2320" max="2320" width="14.375" style="2916" customWidth="1"/>
    <col min="2321" max="2321" width="6.25" style="2916" customWidth="1"/>
    <col min="2322" max="2322" width="16.125" style="2916" customWidth="1"/>
    <col min="2323" max="2323" width="7.875" style="2916" customWidth="1"/>
    <col min="2324" max="2560" width="9" style="2916"/>
    <col min="2561" max="2561" width="35.375" style="2916" customWidth="1"/>
    <col min="2562" max="2562" width="6.25" style="2916" customWidth="1"/>
    <col min="2563" max="2563" width="13.875" style="2916" customWidth="1"/>
    <col min="2564" max="2564" width="4.625" style="2916" customWidth="1"/>
    <col min="2565" max="2565" width="82.25" style="2916" customWidth="1"/>
    <col min="2566" max="2566" width="20.375" style="2916" customWidth="1"/>
    <col min="2567" max="2567" width="37" style="2916" customWidth="1"/>
    <col min="2568" max="2569" width="13.875" style="2916" customWidth="1"/>
    <col min="2570" max="2570" width="8" style="2916" customWidth="1"/>
    <col min="2571" max="2571" width="9" style="2916" customWidth="1"/>
    <col min="2572" max="2572" width="22.875" style="2916" customWidth="1"/>
    <col min="2573" max="2573" width="48.5" style="2916" customWidth="1"/>
    <col min="2574" max="2574" width="10.625" style="2916" customWidth="1"/>
    <col min="2575" max="2575" width="16" style="2916" customWidth="1"/>
    <col min="2576" max="2576" width="14.375" style="2916" customWidth="1"/>
    <col min="2577" max="2577" width="6.25" style="2916" customWidth="1"/>
    <col min="2578" max="2578" width="16.125" style="2916" customWidth="1"/>
    <col min="2579" max="2579" width="7.875" style="2916" customWidth="1"/>
    <col min="2580" max="2816" width="9" style="2916"/>
    <col min="2817" max="2817" width="35.375" style="2916" customWidth="1"/>
    <col min="2818" max="2818" width="6.25" style="2916" customWidth="1"/>
    <col min="2819" max="2819" width="13.875" style="2916" customWidth="1"/>
    <col min="2820" max="2820" width="4.625" style="2916" customWidth="1"/>
    <col min="2821" max="2821" width="82.25" style="2916" customWidth="1"/>
    <col min="2822" max="2822" width="20.375" style="2916" customWidth="1"/>
    <col min="2823" max="2823" width="37" style="2916" customWidth="1"/>
    <col min="2824" max="2825" width="13.875" style="2916" customWidth="1"/>
    <col min="2826" max="2826" width="8" style="2916" customWidth="1"/>
    <col min="2827" max="2827" width="9" style="2916" customWidth="1"/>
    <col min="2828" max="2828" width="22.875" style="2916" customWidth="1"/>
    <col min="2829" max="2829" width="48.5" style="2916" customWidth="1"/>
    <col min="2830" max="2830" width="10.625" style="2916" customWidth="1"/>
    <col min="2831" max="2831" width="16" style="2916" customWidth="1"/>
    <col min="2832" max="2832" width="14.375" style="2916" customWidth="1"/>
    <col min="2833" max="2833" width="6.25" style="2916" customWidth="1"/>
    <col min="2834" max="2834" width="16.125" style="2916" customWidth="1"/>
    <col min="2835" max="2835" width="7.875" style="2916" customWidth="1"/>
    <col min="2836" max="3072" width="9" style="2916"/>
    <col min="3073" max="3073" width="35.375" style="2916" customWidth="1"/>
    <col min="3074" max="3074" width="6.25" style="2916" customWidth="1"/>
    <col min="3075" max="3075" width="13.875" style="2916" customWidth="1"/>
    <col min="3076" max="3076" width="4.625" style="2916" customWidth="1"/>
    <col min="3077" max="3077" width="82.25" style="2916" customWidth="1"/>
    <col min="3078" max="3078" width="20.375" style="2916" customWidth="1"/>
    <col min="3079" max="3079" width="37" style="2916" customWidth="1"/>
    <col min="3080" max="3081" width="13.875" style="2916" customWidth="1"/>
    <col min="3082" max="3082" width="8" style="2916" customWidth="1"/>
    <col min="3083" max="3083" width="9" style="2916" customWidth="1"/>
    <col min="3084" max="3084" width="22.875" style="2916" customWidth="1"/>
    <col min="3085" max="3085" width="48.5" style="2916" customWidth="1"/>
    <col min="3086" max="3086" width="10.625" style="2916" customWidth="1"/>
    <col min="3087" max="3087" width="16" style="2916" customWidth="1"/>
    <col min="3088" max="3088" width="14.375" style="2916" customWidth="1"/>
    <col min="3089" max="3089" width="6.25" style="2916" customWidth="1"/>
    <col min="3090" max="3090" width="16.125" style="2916" customWidth="1"/>
    <col min="3091" max="3091" width="7.875" style="2916" customWidth="1"/>
    <col min="3092" max="3328" width="9" style="2916"/>
    <col min="3329" max="3329" width="35.375" style="2916" customWidth="1"/>
    <col min="3330" max="3330" width="6.25" style="2916" customWidth="1"/>
    <col min="3331" max="3331" width="13.875" style="2916" customWidth="1"/>
    <col min="3332" max="3332" width="4.625" style="2916" customWidth="1"/>
    <col min="3333" max="3333" width="82.25" style="2916" customWidth="1"/>
    <col min="3334" max="3334" width="20.375" style="2916" customWidth="1"/>
    <col min="3335" max="3335" width="37" style="2916" customWidth="1"/>
    <col min="3336" max="3337" width="13.875" style="2916" customWidth="1"/>
    <col min="3338" max="3338" width="8" style="2916" customWidth="1"/>
    <col min="3339" max="3339" width="9" style="2916" customWidth="1"/>
    <col min="3340" max="3340" width="22.875" style="2916" customWidth="1"/>
    <col min="3341" max="3341" width="48.5" style="2916" customWidth="1"/>
    <col min="3342" max="3342" width="10.625" style="2916" customWidth="1"/>
    <col min="3343" max="3343" width="16" style="2916" customWidth="1"/>
    <col min="3344" max="3344" width="14.375" style="2916" customWidth="1"/>
    <col min="3345" max="3345" width="6.25" style="2916" customWidth="1"/>
    <col min="3346" max="3346" width="16.125" style="2916" customWidth="1"/>
    <col min="3347" max="3347" width="7.875" style="2916" customWidth="1"/>
    <col min="3348" max="3584" width="9" style="2916"/>
    <col min="3585" max="3585" width="35.375" style="2916" customWidth="1"/>
    <col min="3586" max="3586" width="6.25" style="2916" customWidth="1"/>
    <col min="3587" max="3587" width="13.875" style="2916" customWidth="1"/>
    <col min="3588" max="3588" width="4.625" style="2916" customWidth="1"/>
    <col min="3589" max="3589" width="82.25" style="2916" customWidth="1"/>
    <col min="3590" max="3590" width="20.375" style="2916" customWidth="1"/>
    <col min="3591" max="3591" width="37" style="2916" customWidth="1"/>
    <col min="3592" max="3593" width="13.875" style="2916" customWidth="1"/>
    <col min="3594" max="3594" width="8" style="2916" customWidth="1"/>
    <col min="3595" max="3595" width="9" style="2916" customWidth="1"/>
    <col min="3596" max="3596" width="22.875" style="2916" customWidth="1"/>
    <col min="3597" max="3597" width="48.5" style="2916" customWidth="1"/>
    <col min="3598" max="3598" width="10.625" style="2916" customWidth="1"/>
    <col min="3599" max="3599" width="16" style="2916" customWidth="1"/>
    <col min="3600" max="3600" width="14.375" style="2916" customWidth="1"/>
    <col min="3601" max="3601" width="6.25" style="2916" customWidth="1"/>
    <col min="3602" max="3602" width="16.125" style="2916" customWidth="1"/>
    <col min="3603" max="3603" width="7.875" style="2916" customWidth="1"/>
    <col min="3604" max="3840" width="9" style="2916"/>
    <col min="3841" max="3841" width="35.375" style="2916" customWidth="1"/>
    <col min="3842" max="3842" width="6.25" style="2916" customWidth="1"/>
    <col min="3843" max="3843" width="13.875" style="2916" customWidth="1"/>
    <col min="3844" max="3844" width="4.625" style="2916" customWidth="1"/>
    <col min="3845" max="3845" width="82.25" style="2916" customWidth="1"/>
    <col min="3846" max="3846" width="20.375" style="2916" customWidth="1"/>
    <col min="3847" max="3847" width="37" style="2916" customWidth="1"/>
    <col min="3848" max="3849" width="13.875" style="2916" customWidth="1"/>
    <col min="3850" max="3850" width="8" style="2916" customWidth="1"/>
    <col min="3851" max="3851" width="9" style="2916" customWidth="1"/>
    <col min="3852" max="3852" width="22.875" style="2916" customWidth="1"/>
    <col min="3853" max="3853" width="48.5" style="2916" customWidth="1"/>
    <col min="3854" max="3854" width="10.625" style="2916" customWidth="1"/>
    <col min="3855" max="3855" width="16" style="2916" customWidth="1"/>
    <col min="3856" max="3856" width="14.375" style="2916" customWidth="1"/>
    <col min="3857" max="3857" width="6.25" style="2916" customWidth="1"/>
    <col min="3858" max="3858" width="16.125" style="2916" customWidth="1"/>
    <col min="3859" max="3859" width="7.875" style="2916" customWidth="1"/>
    <col min="3860" max="4096" width="9" style="2916"/>
    <col min="4097" max="4097" width="35.375" style="2916" customWidth="1"/>
    <col min="4098" max="4098" width="6.25" style="2916" customWidth="1"/>
    <col min="4099" max="4099" width="13.875" style="2916" customWidth="1"/>
    <col min="4100" max="4100" width="4.625" style="2916" customWidth="1"/>
    <col min="4101" max="4101" width="82.25" style="2916" customWidth="1"/>
    <col min="4102" max="4102" width="20.375" style="2916" customWidth="1"/>
    <col min="4103" max="4103" width="37" style="2916" customWidth="1"/>
    <col min="4104" max="4105" width="13.875" style="2916" customWidth="1"/>
    <col min="4106" max="4106" width="8" style="2916" customWidth="1"/>
    <col min="4107" max="4107" width="9" style="2916" customWidth="1"/>
    <col min="4108" max="4108" width="22.875" style="2916" customWidth="1"/>
    <col min="4109" max="4109" width="48.5" style="2916" customWidth="1"/>
    <col min="4110" max="4110" width="10.625" style="2916" customWidth="1"/>
    <col min="4111" max="4111" width="16" style="2916" customWidth="1"/>
    <col min="4112" max="4112" width="14.375" style="2916" customWidth="1"/>
    <col min="4113" max="4113" width="6.25" style="2916" customWidth="1"/>
    <col min="4114" max="4114" width="16.125" style="2916" customWidth="1"/>
    <col min="4115" max="4115" width="7.875" style="2916" customWidth="1"/>
    <col min="4116" max="4352" width="9" style="2916"/>
    <col min="4353" max="4353" width="35.375" style="2916" customWidth="1"/>
    <col min="4354" max="4354" width="6.25" style="2916" customWidth="1"/>
    <col min="4355" max="4355" width="13.875" style="2916" customWidth="1"/>
    <col min="4356" max="4356" width="4.625" style="2916" customWidth="1"/>
    <col min="4357" max="4357" width="82.25" style="2916" customWidth="1"/>
    <col min="4358" max="4358" width="20.375" style="2916" customWidth="1"/>
    <col min="4359" max="4359" width="37" style="2916" customWidth="1"/>
    <col min="4360" max="4361" width="13.875" style="2916" customWidth="1"/>
    <col min="4362" max="4362" width="8" style="2916" customWidth="1"/>
    <col min="4363" max="4363" width="9" style="2916" customWidth="1"/>
    <col min="4364" max="4364" width="22.875" style="2916" customWidth="1"/>
    <col min="4365" max="4365" width="48.5" style="2916" customWidth="1"/>
    <col min="4366" max="4366" width="10.625" style="2916" customWidth="1"/>
    <col min="4367" max="4367" width="16" style="2916" customWidth="1"/>
    <col min="4368" max="4368" width="14.375" style="2916" customWidth="1"/>
    <col min="4369" max="4369" width="6.25" style="2916" customWidth="1"/>
    <col min="4370" max="4370" width="16.125" style="2916" customWidth="1"/>
    <col min="4371" max="4371" width="7.875" style="2916" customWidth="1"/>
    <col min="4372" max="4608" width="9" style="2916"/>
    <col min="4609" max="4609" width="35.375" style="2916" customWidth="1"/>
    <col min="4610" max="4610" width="6.25" style="2916" customWidth="1"/>
    <col min="4611" max="4611" width="13.875" style="2916" customWidth="1"/>
    <col min="4612" max="4612" width="4.625" style="2916" customWidth="1"/>
    <col min="4613" max="4613" width="82.25" style="2916" customWidth="1"/>
    <col min="4614" max="4614" width="20.375" style="2916" customWidth="1"/>
    <col min="4615" max="4615" width="37" style="2916" customWidth="1"/>
    <col min="4616" max="4617" width="13.875" style="2916" customWidth="1"/>
    <col min="4618" max="4618" width="8" style="2916" customWidth="1"/>
    <col min="4619" max="4619" width="9" style="2916" customWidth="1"/>
    <col min="4620" max="4620" width="22.875" style="2916" customWidth="1"/>
    <col min="4621" max="4621" width="48.5" style="2916" customWidth="1"/>
    <col min="4622" max="4622" width="10.625" style="2916" customWidth="1"/>
    <col min="4623" max="4623" width="16" style="2916" customWidth="1"/>
    <col min="4624" max="4624" width="14.375" style="2916" customWidth="1"/>
    <col min="4625" max="4625" width="6.25" style="2916" customWidth="1"/>
    <col min="4626" max="4626" width="16.125" style="2916" customWidth="1"/>
    <col min="4627" max="4627" width="7.875" style="2916" customWidth="1"/>
    <col min="4628" max="4864" width="9" style="2916"/>
    <col min="4865" max="4865" width="35.375" style="2916" customWidth="1"/>
    <col min="4866" max="4866" width="6.25" style="2916" customWidth="1"/>
    <col min="4867" max="4867" width="13.875" style="2916" customWidth="1"/>
    <col min="4868" max="4868" width="4.625" style="2916" customWidth="1"/>
    <col min="4869" max="4869" width="82.25" style="2916" customWidth="1"/>
    <col min="4870" max="4870" width="20.375" style="2916" customWidth="1"/>
    <col min="4871" max="4871" width="37" style="2916" customWidth="1"/>
    <col min="4872" max="4873" width="13.875" style="2916" customWidth="1"/>
    <col min="4874" max="4874" width="8" style="2916" customWidth="1"/>
    <col min="4875" max="4875" width="9" style="2916" customWidth="1"/>
    <col min="4876" max="4876" width="22.875" style="2916" customWidth="1"/>
    <col min="4877" max="4877" width="48.5" style="2916" customWidth="1"/>
    <col min="4878" max="4878" width="10.625" style="2916" customWidth="1"/>
    <col min="4879" max="4879" width="16" style="2916" customWidth="1"/>
    <col min="4880" max="4880" width="14.375" style="2916" customWidth="1"/>
    <col min="4881" max="4881" width="6.25" style="2916" customWidth="1"/>
    <col min="4882" max="4882" width="16.125" style="2916" customWidth="1"/>
    <col min="4883" max="4883" width="7.875" style="2916" customWidth="1"/>
    <col min="4884" max="5120" width="9" style="2916"/>
    <col min="5121" max="5121" width="35.375" style="2916" customWidth="1"/>
    <col min="5122" max="5122" width="6.25" style="2916" customWidth="1"/>
    <col min="5123" max="5123" width="13.875" style="2916" customWidth="1"/>
    <col min="5124" max="5124" width="4.625" style="2916" customWidth="1"/>
    <col min="5125" max="5125" width="82.25" style="2916" customWidth="1"/>
    <col min="5126" max="5126" width="20.375" style="2916" customWidth="1"/>
    <col min="5127" max="5127" width="37" style="2916" customWidth="1"/>
    <col min="5128" max="5129" width="13.875" style="2916" customWidth="1"/>
    <col min="5130" max="5130" width="8" style="2916" customWidth="1"/>
    <col min="5131" max="5131" width="9" style="2916" customWidth="1"/>
    <col min="5132" max="5132" width="22.875" style="2916" customWidth="1"/>
    <col min="5133" max="5133" width="48.5" style="2916" customWidth="1"/>
    <col min="5134" max="5134" width="10.625" style="2916" customWidth="1"/>
    <col min="5135" max="5135" width="16" style="2916" customWidth="1"/>
    <col min="5136" max="5136" width="14.375" style="2916" customWidth="1"/>
    <col min="5137" max="5137" width="6.25" style="2916" customWidth="1"/>
    <col min="5138" max="5138" width="16.125" style="2916" customWidth="1"/>
    <col min="5139" max="5139" width="7.875" style="2916" customWidth="1"/>
    <col min="5140" max="5376" width="9" style="2916"/>
    <col min="5377" max="5377" width="35.375" style="2916" customWidth="1"/>
    <col min="5378" max="5378" width="6.25" style="2916" customWidth="1"/>
    <col min="5379" max="5379" width="13.875" style="2916" customWidth="1"/>
    <col min="5380" max="5380" width="4.625" style="2916" customWidth="1"/>
    <col min="5381" max="5381" width="82.25" style="2916" customWidth="1"/>
    <col min="5382" max="5382" width="20.375" style="2916" customWidth="1"/>
    <col min="5383" max="5383" width="37" style="2916" customWidth="1"/>
    <col min="5384" max="5385" width="13.875" style="2916" customWidth="1"/>
    <col min="5386" max="5386" width="8" style="2916" customWidth="1"/>
    <col min="5387" max="5387" width="9" style="2916" customWidth="1"/>
    <col min="5388" max="5388" width="22.875" style="2916" customWidth="1"/>
    <col min="5389" max="5389" width="48.5" style="2916" customWidth="1"/>
    <col min="5390" max="5390" width="10.625" style="2916" customWidth="1"/>
    <col min="5391" max="5391" width="16" style="2916" customWidth="1"/>
    <col min="5392" max="5392" width="14.375" style="2916" customWidth="1"/>
    <col min="5393" max="5393" width="6.25" style="2916" customWidth="1"/>
    <col min="5394" max="5394" width="16.125" style="2916" customWidth="1"/>
    <col min="5395" max="5395" width="7.875" style="2916" customWidth="1"/>
    <col min="5396" max="5632" width="9" style="2916"/>
    <col min="5633" max="5633" width="35.375" style="2916" customWidth="1"/>
    <col min="5634" max="5634" width="6.25" style="2916" customWidth="1"/>
    <col min="5635" max="5635" width="13.875" style="2916" customWidth="1"/>
    <col min="5636" max="5636" width="4.625" style="2916" customWidth="1"/>
    <col min="5637" max="5637" width="82.25" style="2916" customWidth="1"/>
    <col min="5638" max="5638" width="20.375" style="2916" customWidth="1"/>
    <col min="5639" max="5639" width="37" style="2916" customWidth="1"/>
    <col min="5640" max="5641" width="13.875" style="2916" customWidth="1"/>
    <col min="5642" max="5642" width="8" style="2916" customWidth="1"/>
    <col min="5643" max="5643" width="9" style="2916" customWidth="1"/>
    <col min="5644" max="5644" width="22.875" style="2916" customWidth="1"/>
    <col min="5645" max="5645" width="48.5" style="2916" customWidth="1"/>
    <col min="5646" max="5646" width="10.625" style="2916" customWidth="1"/>
    <col min="5647" max="5647" width="16" style="2916" customWidth="1"/>
    <col min="5648" max="5648" width="14.375" style="2916" customWidth="1"/>
    <col min="5649" max="5649" width="6.25" style="2916" customWidth="1"/>
    <col min="5650" max="5650" width="16.125" style="2916" customWidth="1"/>
    <col min="5651" max="5651" width="7.875" style="2916" customWidth="1"/>
    <col min="5652" max="5888" width="9" style="2916"/>
    <col min="5889" max="5889" width="35.375" style="2916" customWidth="1"/>
    <col min="5890" max="5890" width="6.25" style="2916" customWidth="1"/>
    <col min="5891" max="5891" width="13.875" style="2916" customWidth="1"/>
    <col min="5892" max="5892" width="4.625" style="2916" customWidth="1"/>
    <col min="5893" max="5893" width="82.25" style="2916" customWidth="1"/>
    <col min="5894" max="5894" width="20.375" style="2916" customWidth="1"/>
    <col min="5895" max="5895" width="37" style="2916" customWidth="1"/>
    <col min="5896" max="5897" width="13.875" style="2916" customWidth="1"/>
    <col min="5898" max="5898" width="8" style="2916" customWidth="1"/>
    <col min="5899" max="5899" width="9" style="2916" customWidth="1"/>
    <col min="5900" max="5900" width="22.875" style="2916" customWidth="1"/>
    <col min="5901" max="5901" width="48.5" style="2916" customWidth="1"/>
    <col min="5902" max="5902" width="10.625" style="2916" customWidth="1"/>
    <col min="5903" max="5903" width="16" style="2916" customWidth="1"/>
    <col min="5904" max="5904" width="14.375" style="2916" customWidth="1"/>
    <col min="5905" max="5905" width="6.25" style="2916" customWidth="1"/>
    <col min="5906" max="5906" width="16.125" style="2916" customWidth="1"/>
    <col min="5907" max="5907" width="7.875" style="2916" customWidth="1"/>
    <col min="5908" max="6144" width="9" style="2916"/>
    <col min="6145" max="6145" width="35.375" style="2916" customWidth="1"/>
    <col min="6146" max="6146" width="6.25" style="2916" customWidth="1"/>
    <col min="6147" max="6147" width="13.875" style="2916" customWidth="1"/>
    <col min="6148" max="6148" width="4.625" style="2916" customWidth="1"/>
    <col min="6149" max="6149" width="82.25" style="2916" customWidth="1"/>
    <col min="6150" max="6150" width="20.375" style="2916" customWidth="1"/>
    <col min="6151" max="6151" width="37" style="2916" customWidth="1"/>
    <col min="6152" max="6153" width="13.875" style="2916" customWidth="1"/>
    <col min="6154" max="6154" width="8" style="2916" customWidth="1"/>
    <col min="6155" max="6155" width="9" style="2916" customWidth="1"/>
    <col min="6156" max="6156" width="22.875" style="2916" customWidth="1"/>
    <col min="6157" max="6157" width="48.5" style="2916" customWidth="1"/>
    <col min="6158" max="6158" width="10.625" style="2916" customWidth="1"/>
    <col min="6159" max="6159" width="16" style="2916" customWidth="1"/>
    <col min="6160" max="6160" width="14.375" style="2916" customWidth="1"/>
    <col min="6161" max="6161" width="6.25" style="2916" customWidth="1"/>
    <col min="6162" max="6162" width="16.125" style="2916" customWidth="1"/>
    <col min="6163" max="6163" width="7.875" style="2916" customWidth="1"/>
    <col min="6164" max="6400" width="9" style="2916"/>
    <col min="6401" max="6401" width="35.375" style="2916" customWidth="1"/>
    <col min="6402" max="6402" width="6.25" style="2916" customWidth="1"/>
    <col min="6403" max="6403" width="13.875" style="2916" customWidth="1"/>
    <col min="6404" max="6404" width="4.625" style="2916" customWidth="1"/>
    <col min="6405" max="6405" width="82.25" style="2916" customWidth="1"/>
    <col min="6406" max="6406" width="20.375" style="2916" customWidth="1"/>
    <col min="6407" max="6407" width="37" style="2916" customWidth="1"/>
    <col min="6408" max="6409" width="13.875" style="2916" customWidth="1"/>
    <col min="6410" max="6410" width="8" style="2916" customWidth="1"/>
    <col min="6411" max="6411" width="9" style="2916" customWidth="1"/>
    <col min="6412" max="6412" width="22.875" style="2916" customWidth="1"/>
    <col min="6413" max="6413" width="48.5" style="2916" customWidth="1"/>
    <col min="6414" max="6414" width="10.625" style="2916" customWidth="1"/>
    <col min="6415" max="6415" width="16" style="2916" customWidth="1"/>
    <col min="6416" max="6416" width="14.375" style="2916" customWidth="1"/>
    <col min="6417" max="6417" width="6.25" style="2916" customWidth="1"/>
    <col min="6418" max="6418" width="16.125" style="2916" customWidth="1"/>
    <col min="6419" max="6419" width="7.875" style="2916" customWidth="1"/>
    <col min="6420" max="6656" width="9" style="2916"/>
    <col min="6657" max="6657" width="35.375" style="2916" customWidth="1"/>
    <col min="6658" max="6658" width="6.25" style="2916" customWidth="1"/>
    <col min="6659" max="6659" width="13.875" style="2916" customWidth="1"/>
    <col min="6660" max="6660" width="4.625" style="2916" customWidth="1"/>
    <col min="6661" max="6661" width="82.25" style="2916" customWidth="1"/>
    <col min="6662" max="6662" width="20.375" style="2916" customWidth="1"/>
    <col min="6663" max="6663" width="37" style="2916" customWidth="1"/>
    <col min="6664" max="6665" width="13.875" style="2916" customWidth="1"/>
    <col min="6666" max="6666" width="8" style="2916" customWidth="1"/>
    <col min="6667" max="6667" width="9" style="2916" customWidth="1"/>
    <col min="6668" max="6668" width="22.875" style="2916" customWidth="1"/>
    <col min="6669" max="6669" width="48.5" style="2916" customWidth="1"/>
    <col min="6670" max="6670" width="10.625" style="2916" customWidth="1"/>
    <col min="6671" max="6671" width="16" style="2916" customWidth="1"/>
    <col min="6672" max="6672" width="14.375" style="2916" customWidth="1"/>
    <col min="6673" max="6673" width="6.25" style="2916" customWidth="1"/>
    <col min="6674" max="6674" width="16.125" style="2916" customWidth="1"/>
    <col min="6675" max="6675" width="7.875" style="2916" customWidth="1"/>
    <col min="6676" max="6912" width="9" style="2916"/>
    <col min="6913" max="6913" width="35.375" style="2916" customWidth="1"/>
    <col min="6914" max="6914" width="6.25" style="2916" customWidth="1"/>
    <col min="6915" max="6915" width="13.875" style="2916" customWidth="1"/>
    <col min="6916" max="6916" width="4.625" style="2916" customWidth="1"/>
    <col min="6917" max="6917" width="82.25" style="2916" customWidth="1"/>
    <col min="6918" max="6918" width="20.375" style="2916" customWidth="1"/>
    <col min="6919" max="6919" width="37" style="2916" customWidth="1"/>
    <col min="6920" max="6921" width="13.875" style="2916" customWidth="1"/>
    <col min="6922" max="6922" width="8" style="2916" customWidth="1"/>
    <col min="6923" max="6923" width="9" style="2916" customWidth="1"/>
    <col min="6924" max="6924" width="22.875" style="2916" customWidth="1"/>
    <col min="6925" max="6925" width="48.5" style="2916" customWidth="1"/>
    <col min="6926" max="6926" width="10.625" style="2916" customWidth="1"/>
    <col min="6927" max="6927" width="16" style="2916" customWidth="1"/>
    <col min="6928" max="6928" width="14.375" style="2916" customWidth="1"/>
    <col min="6929" max="6929" width="6.25" style="2916" customWidth="1"/>
    <col min="6930" max="6930" width="16.125" style="2916" customWidth="1"/>
    <col min="6931" max="6931" width="7.875" style="2916" customWidth="1"/>
    <col min="6932" max="7168" width="9" style="2916"/>
    <col min="7169" max="7169" width="35.375" style="2916" customWidth="1"/>
    <col min="7170" max="7170" width="6.25" style="2916" customWidth="1"/>
    <col min="7171" max="7171" width="13.875" style="2916" customWidth="1"/>
    <col min="7172" max="7172" width="4.625" style="2916" customWidth="1"/>
    <col min="7173" max="7173" width="82.25" style="2916" customWidth="1"/>
    <col min="7174" max="7174" width="20.375" style="2916" customWidth="1"/>
    <col min="7175" max="7175" width="37" style="2916" customWidth="1"/>
    <col min="7176" max="7177" width="13.875" style="2916" customWidth="1"/>
    <col min="7178" max="7178" width="8" style="2916" customWidth="1"/>
    <col min="7179" max="7179" width="9" style="2916" customWidth="1"/>
    <col min="7180" max="7180" width="22.875" style="2916" customWidth="1"/>
    <col min="7181" max="7181" width="48.5" style="2916" customWidth="1"/>
    <col min="7182" max="7182" width="10.625" style="2916" customWidth="1"/>
    <col min="7183" max="7183" width="16" style="2916" customWidth="1"/>
    <col min="7184" max="7184" width="14.375" style="2916" customWidth="1"/>
    <col min="7185" max="7185" width="6.25" style="2916" customWidth="1"/>
    <col min="7186" max="7186" width="16.125" style="2916" customWidth="1"/>
    <col min="7187" max="7187" width="7.875" style="2916" customWidth="1"/>
    <col min="7188" max="7424" width="9" style="2916"/>
    <col min="7425" max="7425" width="35.375" style="2916" customWidth="1"/>
    <col min="7426" max="7426" width="6.25" style="2916" customWidth="1"/>
    <col min="7427" max="7427" width="13.875" style="2916" customWidth="1"/>
    <col min="7428" max="7428" width="4.625" style="2916" customWidth="1"/>
    <col min="7429" max="7429" width="82.25" style="2916" customWidth="1"/>
    <col min="7430" max="7430" width="20.375" style="2916" customWidth="1"/>
    <col min="7431" max="7431" width="37" style="2916" customWidth="1"/>
    <col min="7432" max="7433" width="13.875" style="2916" customWidth="1"/>
    <col min="7434" max="7434" width="8" style="2916" customWidth="1"/>
    <col min="7435" max="7435" width="9" style="2916" customWidth="1"/>
    <col min="7436" max="7436" width="22.875" style="2916" customWidth="1"/>
    <col min="7437" max="7437" width="48.5" style="2916" customWidth="1"/>
    <col min="7438" max="7438" width="10.625" style="2916" customWidth="1"/>
    <col min="7439" max="7439" width="16" style="2916" customWidth="1"/>
    <col min="7440" max="7440" width="14.375" style="2916" customWidth="1"/>
    <col min="7441" max="7441" width="6.25" style="2916" customWidth="1"/>
    <col min="7442" max="7442" width="16.125" style="2916" customWidth="1"/>
    <col min="7443" max="7443" width="7.875" style="2916" customWidth="1"/>
    <col min="7444" max="7680" width="9" style="2916"/>
    <col min="7681" max="7681" width="35.375" style="2916" customWidth="1"/>
    <col min="7682" max="7682" width="6.25" style="2916" customWidth="1"/>
    <col min="7683" max="7683" width="13.875" style="2916" customWidth="1"/>
    <col min="7684" max="7684" width="4.625" style="2916" customWidth="1"/>
    <col min="7685" max="7685" width="82.25" style="2916" customWidth="1"/>
    <col min="7686" max="7686" width="20.375" style="2916" customWidth="1"/>
    <col min="7687" max="7687" width="37" style="2916" customWidth="1"/>
    <col min="7688" max="7689" width="13.875" style="2916" customWidth="1"/>
    <col min="7690" max="7690" width="8" style="2916" customWidth="1"/>
    <col min="7691" max="7691" width="9" style="2916" customWidth="1"/>
    <col min="7692" max="7692" width="22.875" style="2916" customWidth="1"/>
    <col min="7693" max="7693" width="48.5" style="2916" customWidth="1"/>
    <col min="7694" max="7694" width="10.625" style="2916" customWidth="1"/>
    <col min="7695" max="7695" width="16" style="2916" customWidth="1"/>
    <col min="7696" max="7696" width="14.375" style="2916" customWidth="1"/>
    <col min="7697" max="7697" width="6.25" style="2916" customWidth="1"/>
    <col min="7698" max="7698" width="16.125" style="2916" customWidth="1"/>
    <col min="7699" max="7699" width="7.875" style="2916" customWidth="1"/>
    <col min="7700" max="7936" width="9" style="2916"/>
    <col min="7937" max="7937" width="35.375" style="2916" customWidth="1"/>
    <col min="7938" max="7938" width="6.25" style="2916" customWidth="1"/>
    <col min="7939" max="7939" width="13.875" style="2916" customWidth="1"/>
    <col min="7940" max="7940" width="4.625" style="2916" customWidth="1"/>
    <col min="7941" max="7941" width="82.25" style="2916" customWidth="1"/>
    <col min="7942" max="7942" width="20.375" style="2916" customWidth="1"/>
    <col min="7943" max="7943" width="37" style="2916" customWidth="1"/>
    <col min="7944" max="7945" width="13.875" style="2916" customWidth="1"/>
    <col min="7946" max="7946" width="8" style="2916" customWidth="1"/>
    <col min="7947" max="7947" width="9" style="2916" customWidth="1"/>
    <col min="7948" max="7948" width="22.875" style="2916" customWidth="1"/>
    <col min="7949" max="7949" width="48.5" style="2916" customWidth="1"/>
    <col min="7950" max="7950" width="10.625" style="2916" customWidth="1"/>
    <col min="7951" max="7951" width="16" style="2916" customWidth="1"/>
    <col min="7952" max="7952" width="14.375" style="2916" customWidth="1"/>
    <col min="7953" max="7953" width="6.25" style="2916" customWidth="1"/>
    <col min="7954" max="7954" width="16.125" style="2916" customWidth="1"/>
    <col min="7955" max="7955" width="7.875" style="2916" customWidth="1"/>
    <col min="7956" max="8192" width="9" style="2916"/>
    <col min="8193" max="8193" width="35.375" style="2916" customWidth="1"/>
    <col min="8194" max="8194" width="6.25" style="2916" customWidth="1"/>
    <col min="8195" max="8195" width="13.875" style="2916" customWidth="1"/>
    <col min="8196" max="8196" width="4.625" style="2916" customWidth="1"/>
    <col min="8197" max="8197" width="82.25" style="2916" customWidth="1"/>
    <col min="8198" max="8198" width="20.375" style="2916" customWidth="1"/>
    <col min="8199" max="8199" width="37" style="2916" customWidth="1"/>
    <col min="8200" max="8201" width="13.875" style="2916" customWidth="1"/>
    <col min="8202" max="8202" width="8" style="2916" customWidth="1"/>
    <col min="8203" max="8203" width="9" style="2916" customWidth="1"/>
    <col min="8204" max="8204" width="22.875" style="2916" customWidth="1"/>
    <col min="8205" max="8205" width="48.5" style="2916" customWidth="1"/>
    <col min="8206" max="8206" width="10.625" style="2916" customWidth="1"/>
    <col min="8207" max="8207" width="16" style="2916" customWidth="1"/>
    <col min="8208" max="8208" width="14.375" style="2916" customWidth="1"/>
    <col min="8209" max="8209" width="6.25" style="2916" customWidth="1"/>
    <col min="8210" max="8210" width="16.125" style="2916" customWidth="1"/>
    <col min="8211" max="8211" width="7.875" style="2916" customWidth="1"/>
    <col min="8212" max="8448" width="9" style="2916"/>
    <col min="8449" max="8449" width="35.375" style="2916" customWidth="1"/>
    <col min="8450" max="8450" width="6.25" style="2916" customWidth="1"/>
    <col min="8451" max="8451" width="13.875" style="2916" customWidth="1"/>
    <col min="8452" max="8452" width="4.625" style="2916" customWidth="1"/>
    <col min="8453" max="8453" width="82.25" style="2916" customWidth="1"/>
    <col min="8454" max="8454" width="20.375" style="2916" customWidth="1"/>
    <col min="8455" max="8455" width="37" style="2916" customWidth="1"/>
    <col min="8456" max="8457" width="13.875" style="2916" customWidth="1"/>
    <col min="8458" max="8458" width="8" style="2916" customWidth="1"/>
    <col min="8459" max="8459" width="9" style="2916" customWidth="1"/>
    <col min="8460" max="8460" width="22.875" style="2916" customWidth="1"/>
    <col min="8461" max="8461" width="48.5" style="2916" customWidth="1"/>
    <col min="8462" max="8462" width="10.625" style="2916" customWidth="1"/>
    <col min="8463" max="8463" width="16" style="2916" customWidth="1"/>
    <col min="8464" max="8464" width="14.375" style="2916" customWidth="1"/>
    <col min="8465" max="8465" width="6.25" style="2916" customWidth="1"/>
    <col min="8466" max="8466" width="16.125" style="2916" customWidth="1"/>
    <col min="8467" max="8467" width="7.875" style="2916" customWidth="1"/>
    <col min="8468" max="8704" width="9" style="2916"/>
    <col min="8705" max="8705" width="35.375" style="2916" customWidth="1"/>
    <col min="8706" max="8706" width="6.25" style="2916" customWidth="1"/>
    <col min="8707" max="8707" width="13.875" style="2916" customWidth="1"/>
    <col min="8708" max="8708" width="4.625" style="2916" customWidth="1"/>
    <col min="8709" max="8709" width="82.25" style="2916" customWidth="1"/>
    <col min="8710" max="8710" width="20.375" style="2916" customWidth="1"/>
    <col min="8711" max="8711" width="37" style="2916" customWidth="1"/>
    <col min="8712" max="8713" width="13.875" style="2916" customWidth="1"/>
    <col min="8714" max="8714" width="8" style="2916" customWidth="1"/>
    <col min="8715" max="8715" width="9" style="2916" customWidth="1"/>
    <col min="8716" max="8716" width="22.875" style="2916" customWidth="1"/>
    <col min="8717" max="8717" width="48.5" style="2916" customWidth="1"/>
    <col min="8718" max="8718" width="10.625" style="2916" customWidth="1"/>
    <col min="8719" max="8719" width="16" style="2916" customWidth="1"/>
    <col min="8720" max="8720" width="14.375" style="2916" customWidth="1"/>
    <col min="8721" max="8721" width="6.25" style="2916" customWidth="1"/>
    <col min="8722" max="8722" width="16.125" style="2916" customWidth="1"/>
    <col min="8723" max="8723" width="7.875" style="2916" customWidth="1"/>
    <col min="8724" max="8960" width="9" style="2916"/>
    <col min="8961" max="8961" width="35.375" style="2916" customWidth="1"/>
    <col min="8962" max="8962" width="6.25" style="2916" customWidth="1"/>
    <col min="8963" max="8963" width="13.875" style="2916" customWidth="1"/>
    <col min="8964" max="8964" width="4.625" style="2916" customWidth="1"/>
    <col min="8965" max="8965" width="82.25" style="2916" customWidth="1"/>
    <col min="8966" max="8966" width="20.375" style="2916" customWidth="1"/>
    <col min="8967" max="8967" width="37" style="2916" customWidth="1"/>
    <col min="8968" max="8969" width="13.875" style="2916" customWidth="1"/>
    <col min="8970" max="8970" width="8" style="2916" customWidth="1"/>
    <col min="8971" max="8971" width="9" style="2916" customWidth="1"/>
    <col min="8972" max="8972" width="22.875" style="2916" customWidth="1"/>
    <col min="8973" max="8973" width="48.5" style="2916" customWidth="1"/>
    <col min="8974" max="8974" width="10.625" style="2916" customWidth="1"/>
    <col min="8975" max="8975" width="16" style="2916" customWidth="1"/>
    <col min="8976" max="8976" width="14.375" style="2916" customWidth="1"/>
    <col min="8977" max="8977" width="6.25" style="2916" customWidth="1"/>
    <col min="8978" max="8978" width="16.125" style="2916" customWidth="1"/>
    <col min="8979" max="8979" width="7.875" style="2916" customWidth="1"/>
    <col min="8980" max="9216" width="9" style="2916"/>
    <col min="9217" max="9217" width="35.375" style="2916" customWidth="1"/>
    <col min="9218" max="9218" width="6.25" style="2916" customWidth="1"/>
    <col min="9219" max="9219" width="13.875" style="2916" customWidth="1"/>
    <col min="9220" max="9220" width="4.625" style="2916" customWidth="1"/>
    <col min="9221" max="9221" width="82.25" style="2916" customWidth="1"/>
    <col min="9222" max="9222" width="20.375" style="2916" customWidth="1"/>
    <col min="9223" max="9223" width="37" style="2916" customWidth="1"/>
    <col min="9224" max="9225" width="13.875" style="2916" customWidth="1"/>
    <col min="9226" max="9226" width="8" style="2916" customWidth="1"/>
    <col min="9227" max="9227" width="9" style="2916" customWidth="1"/>
    <col min="9228" max="9228" width="22.875" style="2916" customWidth="1"/>
    <col min="9229" max="9229" width="48.5" style="2916" customWidth="1"/>
    <col min="9230" max="9230" width="10.625" style="2916" customWidth="1"/>
    <col min="9231" max="9231" width="16" style="2916" customWidth="1"/>
    <col min="9232" max="9232" width="14.375" style="2916" customWidth="1"/>
    <col min="9233" max="9233" width="6.25" style="2916" customWidth="1"/>
    <col min="9234" max="9234" width="16.125" style="2916" customWidth="1"/>
    <col min="9235" max="9235" width="7.875" style="2916" customWidth="1"/>
    <col min="9236" max="9472" width="9" style="2916"/>
    <col min="9473" max="9473" width="35.375" style="2916" customWidth="1"/>
    <col min="9474" max="9474" width="6.25" style="2916" customWidth="1"/>
    <col min="9475" max="9475" width="13.875" style="2916" customWidth="1"/>
    <col min="9476" max="9476" width="4.625" style="2916" customWidth="1"/>
    <col min="9477" max="9477" width="82.25" style="2916" customWidth="1"/>
    <col min="9478" max="9478" width="20.375" style="2916" customWidth="1"/>
    <col min="9479" max="9479" width="37" style="2916" customWidth="1"/>
    <col min="9480" max="9481" width="13.875" style="2916" customWidth="1"/>
    <col min="9482" max="9482" width="8" style="2916" customWidth="1"/>
    <col min="9483" max="9483" width="9" style="2916" customWidth="1"/>
    <col min="9484" max="9484" width="22.875" style="2916" customWidth="1"/>
    <col min="9485" max="9485" width="48.5" style="2916" customWidth="1"/>
    <col min="9486" max="9486" width="10.625" style="2916" customWidth="1"/>
    <col min="9487" max="9487" width="16" style="2916" customWidth="1"/>
    <col min="9488" max="9488" width="14.375" style="2916" customWidth="1"/>
    <col min="9489" max="9489" width="6.25" style="2916" customWidth="1"/>
    <col min="9490" max="9490" width="16.125" style="2916" customWidth="1"/>
    <col min="9491" max="9491" width="7.875" style="2916" customWidth="1"/>
    <col min="9492" max="9728" width="9" style="2916"/>
    <col min="9729" max="9729" width="35.375" style="2916" customWidth="1"/>
    <col min="9730" max="9730" width="6.25" style="2916" customWidth="1"/>
    <col min="9731" max="9731" width="13.875" style="2916" customWidth="1"/>
    <col min="9732" max="9732" width="4.625" style="2916" customWidth="1"/>
    <col min="9733" max="9733" width="82.25" style="2916" customWidth="1"/>
    <col min="9734" max="9734" width="20.375" style="2916" customWidth="1"/>
    <col min="9735" max="9735" width="37" style="2916" customWidth="1"/>
    <col min="9736" max="9737" width="13.875" style="2916" customWidth="1"/>
    <col min="9738" max="9738" width="8" style="2916" customWidth="1"/>
    <col min="9739" max="9739" width="9" style="2916" customWidth="1"/>
    <col min="9740" max="9740" width="22.875" style="2916" customWidth="1"/>
    <col min="9741" max="9741" width="48.5" style="2916" customWidth="1"/>
    <col min="9742" max="9742" width="10.625" style="2916" customWidth="1"/>
    <col min="9743" max="9743" width="16" style="2916" customWidth="1"/>
    <col min="9744" max="9744" width="14.375" style="2916" customWidth="1"/>
    <col min="9745" max="9745" width="6.25" style="2916" customWidth="1"/>
    <col min="9746" max="9746" width="16.125" style="2916" customWidth="1"/>
    <col min="9747" max="9747" width="7.875" style="2916" customWidth="1"/>
    <col min="9748" max="9984" width="9" style="2916"/>
    <col min="9985" max="9985" width="35.375" style="2916" customWidth="1"/>
    <col min="9986" max="9986" width="6.25" style="2916" customWidth="1"/>
    <col min="9987" max="9987" width="13.875" style="2916" customWidth="1"/>
    <col min="9988" max="9988" width="4.625" style="2916" customWidth="1"/>
    <col min="9989" max="9989" width="82.25" style="2916" customWidth="1"/>
    <col min="9990" max="9990" width="20.375" style="2916" customWidth="1"/>
    <col min="9991" max="9991" width="37" style="2916" customWidth="1"/>
    <col min="9992" max="9993" width="13.875" style="2916" customWidth="1"/>
    <col min="9994" max="9994" width="8" style="2916" customWidth="1"/>
    <col min="9995" max="9995" width="9" style="2916" customWidth="1"/>
    <col min="9996" max="9996" width="22.875" style="2916" customWidth="1"/>
    <col min="9997" max="9997" width="48.5" style="2916" customWidth="1"/>
    <col min="9998" max="9998" width="10.625" style="2916" customWidth="1"/>
    <col min="9999" max="9999" width="16" style="2916" customWidth="1"/>
    <col min="10000" max="10000" width="14.375" style="2916" customWidth="1"/>
    <col min="10001" max="10001" width="6.25" style="2916" customWidth="1"/>
    <col min="10002" max="10002" width="16.125" style="2916" customWidth="1"/>
    <col min="10003" max="10003" width="7.875" style="2916" customWidth="1"/>
    <col min="10004" max="10240" width="9" style="2916"/>
    <col min="10241" max="10241" width="35.375" style="2916" customWidth="1"/>
    <col min="10242" max="10242" width="6.25" style="2916" customWidth="1"/>
    <col min="10243" max="10243" width="13.875" style="2916" customWidth="1"/>
    <col min="10244" max="10244" width="4.625" style="2916" customWidth="1"/>
    <col min="10245" max="10245" width="82.25" style="2916" customWidth="1"/>
    <col min="10246" max="10246" width="20.375" style="2916" customWidth="1"/>
    <col min="10247" max="10247" width="37" style="2916" customWidth="1"/>
    <col min="10248" max="10249" width="13.875" style="2916" customWidth="1"/>
    <col min="10250" max="10250" width="8" style="2916" customWidth="1"/>
    <col min="10251" max="10251" width="9" style="2916" customWidth="1"/>
    <col min="10252" max="10252" width="22.875" style="2916" customWidth="1"/>
    <col min="10253" max="10253" width="48.5" style="2916" customWidth="1"/>
    <col min="10254" max="10254" width="10.625" style="2916" customWidth="1"/>
    <col min="10255" max="10255" width="16" style="2916" customWidth="1"/>
    <col min="10256" max="10256" width="14.375" style="2916" customWidth="1"/>
    <col min="10257" max="10257" width="6.25" style="2916" customWidth="1"/>
    <col min="10258" max="10258" width="16.125" style="2916" customWidth="1"/>
    <col min="10259" max="10259" width="7.875" style="2916" customWidth="1"/>
    <col min="10260" max="10496" width="9" style="2916"/>
    <col min="10497" max="10497" width="35.375" style="2916" customWidth="1"/>
    <col min="10498" max="10498" width="6.25" style="2916" customWidth="1"/>
    <col min="10499" max="10499" width="13.875" style="2916" customWidth="1"/>
    <col min="10500" max="10500" width="4.625" style="2916" customWidth="1"/>
    <col min="10501" max="10501" width="82.25" style="2916" customWidth="1"/>
    <col min="10502" max="10502" width="20.375" style="2916" customWidth="1"/>
    <col min="10503" max="10503" width="37" style="2916" customWidth="1"/>
    <col min="10504" max="10505" width="13.875" style="2916" customWidth="1"/>
    <col min="10506" max="10506" width="8" style="2916" customWidth="1"/>
    <col min="10507" max="10507" width="9" style="2916" customWidth="1"/>
    <col min="10508" max="10508" width="22.875" style="2916" customWidth="1"/>
    <col min="10509" max="10509" width="48.5" style="2916" customWidth="1"/>
    <col min="10510" max="10510" width="10.625" style="2916" customWidth="1"/>
    <col min="10511" max="10511" width="16" style="2916" customWidth="1"/>
    <col min="10512" max="10512" width="14.375" style="2916" customWidth="1"/>
    <col min="10513" max="10513" width="6.25" style="2916" customWidth="1"/>
    <col min="10514" max="10514" width="16.125" style="2916" customWidth="1"/>
    <col min="10515" max="10515" width="7.875" style="2916" customWidth="1"/>
    <col min="10516" max="10752" width="9" style="2916"/>
    <col min="10753" max="10753" width="35.375" style="2916" customWidth="1"/>
    <col min="10754" max="10754" width="6.25" style="2916" customWidth="1"/>
    <col min="10755" max="10755" width="13.875" style="2916" customWidth="1"/>
    <col min="10756" max="10756" width="4.625" style="2916" customWidth="1"/>
    <col min="10757" max="10757" width="82.25" style="2916" customWidth="1"/>
    <col min="10758" max="10758" width="20.375" style="2916" customWidth="1"/>
    <col min="10759" max="10759" width="37" style="2916" customWidth="1"/>
    <col min="10760" max="10761" width="13.875" style="2916" customWidth="1"/>
    <col min="10762" max="10762" width="8" style="2916" customWidth="1"/>
    <col min="10763" max="10763" width="9" style="2916" customWidth="1"/>
    <col min="10764" max="10764" width="22.875" style="2916" customWidth="1"/>
    <col min="10765" max="10765" width="48.5" style="2916" customWidth="1"/>
    <col min="10766" max="10766" width="10.625" style="2916" customWidth="1"/>
    <col min="10767" max="10767" width="16" style="2916" customWidth="1"/>
    <col min="10768" max="10768" width="14.375" style="2916" customWidth="1"/>
    <col min="10769" max="10769" width="6.25" style="2916" customWidth="1"/>
    <col min="10770" max="10770" width="16.125" style="2916" customWidth="1"/>
    <col min="10771" max="10771" width="7.875" style="2916" customWidth="1"/>
    <col min="10772" max="11008" width="9" style="2916"/>
    <col min="11009" max="11009" width="35.375" style="2916" customWidth="1"/>
    <col min="11010" max="11010" width="6.25" style="2916" customWidth="1"/>
    <col min="11011" max="11011" width="13.875" style="2916" customWidth="1"/>
    <col min="11012" max="11012" width="4.625" style="2916" customWidth="1"/>
    <col min="11013" max="11013" width="82.25" style="2916" customWidth="1"/>
    <col min="11014" max="11014" width="20.375" style="2916" customWidth="1"/>
    <col min="11015" max="11015" width="37" style="2916" customWidth="1"/>
    <col min="11016" max="11017" width="13.875" style="2916" customWidth="1"/>
    <col min="11018" max="11018" width="8" style="2916" customWidth="1"/>
    <col min="11019" max="11019" width="9" style="2916" customWidth="1"/>
    <col min="11020" max="11020" width="22.875" style="2916" customWidth="1"/>
    <col min="11021" max="11021" width="48.5" style="2916" customWidth="1"/>
    <col min="11022" max="11022" width="10.625" style="2916" customWidth="1"/>
    <col min="11023" max="11023" width="16" style="2916" customWidth="1"/>
    <col min="11024" max="11024" width="14.375" style="2916" customWidth="1"/>
    <col min="11025" max="11025" width="6.25" style="2916" customWidth="1"/>
    <col min="11026" max="11026" width="16.125" style="2916" customWidth="1"/>
    <col min="11027" max="11027" width="7.875" style="2916" customWidth="1"/>
    <col min="11028" max="11264" width="9" style="2916"/>
    <col min="11265" max="11265" width="35.375" style="2916" customWidth="1"/>
    <col min="11266" max="11266" width="6.25" style="2916" customWidth="1"/>
    <col min="11267" max="11267" width="13.875" style="2916" customWidth="1"/>
    <col min="11268" max="11268" width="4.625" style="2916" customWidth="1"/>
    <col min="11269" max="11269" width="82.25" style="2916" customWidth="1"/>
    <col min="11270" max="11270" width="20.375" style="2916" customWidth="1"/>
    <col min="11271" max="11271" width="37" style="2916" customWidth="1"/>
    <col min="11272" max="11273" width="13.875" style="2916" customWidth="1"/>
    <col min="11274" max="11274" width="8" style="2916" customWidth="1"/>
    <col min="11275" max="11275" width="9" style="2916" customWidth="1"/>
    <col min="11276" max="11276" width="22.875" style="2916" customWidth="1"/>
    <col min="11277" max="11277" width="48.5" style="2916" customWidth="1"/>
    <col min="11278" max="11278" width="10.625" style="2916" customWidth="1"/>
    <col min="11279" max="11279" width="16" style="2916" customWidth="1"/>
    <col min="11280" max="11280" width="14.375" style="2916" customWidth="1"/>
    <col min="11281" max="11281" width="6.25" style="2916" customWidth="1"/>
    <col min="11282" max="11282" width="16.125" style="2916" customWidth="1"/>
    <col min="11283" max="11283" width="7.875" style="2916" customWidth="1"/>
    <col min="11284" max="11520" width="9" style="2916"/>
    <col min="11521" max="11521" width="35.375" style="2916" customWidth="1"/>
    <col min="11522" max="11522" width="6.25" style="2916" customWidth="1"/>
    <col min="11523" max="11523" width="13.875" style="2916" customWidth="1"/>
    <col min="11524" max="11524" width="4.625" style="2916" customWidth="1"/>
    <col min="11525" max="11525" width="82.25" style="2916" customWidth="1"/>
    <col min="11526" max="11526" width="20.375" style="2916" customWidth="1"/>
    <col min="11527" max="11527" width="37" style="2916" customWidth="1"/>
    <col min="11528" max="11529" width="13.875" style="2916" customWidth="1"/>
    <col min="11530" max="11530" width="8" style="2916" customWidth="1"/>
    <col min="11531" max="11531" width="9" style="2916" customWidth="1"/>
    <col min="11532" max="11532" width="22.875" style="2916" customWidth="1"/>
    <col min="11533" max="11533" width="48.5" style="2916" customWidth="1"/>
    <col min="11534" max="11534" width="10.625" style="2916" customWidth="1"/>
    <col min="11535" max="11535" width="16" style="2916" customWidth="1"/>
    <col min="11536" max="11536" width="14.375" style="2916" customWidth="1"/>
    <col min="11537" max="11537" width="6.25" style="2916" customWidth="1"/>
    <col min="11538" max="11538" width="16.125" style="2916" customWidth="1"/>
    <col min="11539" max="11539" width="7.875" style="2916" customWidth="1"/>
    <col min="11540" max="11776" width="9" style="2916"/>
    <col min="11777" max="11777" width="35.375" style="2916" customWidth="1"/>
    <col min="11778" max="11778" width="6.25" style="2916" customWidth="1"/>
    <col min="11779" max="11779" width="13.875" style="2916" customWidth="1"/>
    <col min="11780" max="11780" width="4.625" style="2916" customWidth="1"/>
    <col min="11781" max="11781" width="82.25" style="2916" customWidth="1"/>
    <col min="11782" max="11782" width="20.375" style="2916" customWidth="1"/>
    <col min="11783" max="11783" width="37" style="2916" customWidth="1"/>
    <col min="11784" max="11785" width="13.875" style="2916" customWidth="1"/>
    <col min="11786" max="11786" width="8" style="2916" customWidth="1"/>
    <col min="11787" max="11787" width="9" style="2916" customWidth="1"/>
    <col min="11788" max="11788" width="22.875" style="2916" customWidth="1"/>
    <col min="11789" max="11789" width="48.5" style="2916" customWidth="1"/>
    <col min="11790" max="11790" width="10.625" style="2916" customWidth="1"/>
    <col min="11791" max="11791" width="16" style="2916" customWidth="1"/>
    <col min="11792" max="11792" width="14.375" style="2916" customWidth="1"/>
    <col min="11793" max="11793" width="6.25" style="2916" customWidth="1"/>
    <col min="11794" max="11794" width="16.125" style="2916" customWidth="1"/>
    <col min="11795" max="11795" width="7.875" style="2916" customWidth="1"/>
    <col min="11796" max="12032" width="9" style="2916"/>
    <col min="12033" max="12033" width="35.375" style="2916" customWidth="1"/>
    <col min="12034" max="12034" width="6.25" style="2916" customWidth="1"/>
    <col min="12035" max="12035" width="13.875" style="2916" customWidth="1"/>
    <col min="12036" max="12036" width="4.625" style="2916" customWidth="1"/>
    <col min="12037" max="12037" width="82.25" style="2916" customWidth="1"/>
    <col min="12038" max="12038" width="20.375" style="2916" customWidth="1"/>
    <col min="12039" max="12039" width="37" style="2916" customWidth="1"/>
    <col min="12040" max="12041" width="13.875" style="2916" customWidth="1"/>
    <col min="12042" max="12042" width="8" style="2916" customWidth="1"/>
    <col min="12043" max="12043" width="9" style="2916" customWidth="1"/>
    <col min="12044" max="12044" width="22.875" style="2916" customWidth="1"/>
    <col min="12045" max="12045" width="48.5" style="2916" customWidth="1"/>
    <col min="12046" max="12046" width="10.625" style="2916" customWidth="1"/>
    <col min="12047" max="12047" width="16" style="2916" customWidth="1"/>
    <col min="12048" max="12048" width="14.375" style="2916" customWidth="1"/>
    <col min="12049" max="12049" width="6.25" style="2916" customWidth="1"/>
    <col min="12050" max="12050" width="16.125" style="2916" customWidth="1"/>
    <col min="12051" max="12051" width="7.875" style="2916" customWidth="1"/>
    <col min="12052" max="12288" width="9" style="2916"/>
    <col min="12289" max="12289" width="35.375" style="2916" customWidth="1"/>
    <col min="12290" max="12290" width="6.25" style="2916" customWidth="1"/>
    <col min="12291" max="12291" width="13.875" style="2916" customWidth="1"/>
    <col min="12292" max="12292" width="4.625" style="2916" customWidth="1"/>
    <col min="12293" max="12293" width="82.25" style="2916" customWidth="1"/>
    <col min="12294" max="12294" width="20.375" style="2916" customWidth="1"/>
    <col min="12295" max="12295" width="37" style="2916" customWidth="1"/>
    <col min="12296" max="12297" width="13.875" style="2916" customWidth="1"/>
    <col min="12298" max="12298" width="8" style="2916" customWidth="1"/>
    <col min="12299" max="12299" width="9" style="2916" customWidth="1"/>
    <col min="12300" max="12300" width="22.875" style="2916" customWidth="1"/>
    <col min="12301" max="12301" width="48.5" style="2916" customWidth="1"/>
    <col min="12302" max="12302" width="10.625" style="2916" customWidth="1"/>
    <col min="12303" max="12303" width="16" style="2916" customWidth="1"/>
    <col min="12304" max="12304" width="14.375" style="2916" customWidth="1"/>
    <col min="12305" max="12305" width="6.25" style="2916" customWidth="1"/>
    <col min="12306" max="12306" width="16.125" style="2916" customWidth="1"/>
    <col min="12307" max="12307" width="7.875" style="2916" customWidth="1"/>
    <col min="12308" max="12544" width="9" style="2916"/>
    <col min="12545" max="12545" width="35.375" style="2916" customWidth="1"/>
    <col min="12546" max="12546" width="6.25" style="2916" customWidth="1"/>
    <col min="12547" max="12547" width="13.875" style="2916" customWidth="1"/>
    <col min="12548" max="12548" width="4.625" style="2916" customWidth="1"/>
    <col min="12549" max="12549" width="82.25" style="2916" customWidth="1"/>
    <col min="12550" max="12550" width="20.375" style="2916" customWidth="1"/>
    <col min="12551" max="12551" width="37" style="2916" customWidth="1"/>
    <col min="12552" max="12553" width="13.875" style="2916" customWidth="1"/>
    <col min="12554" max="12554" width="8" style="2916" customWidth="1"/>
    <col min="12555" max="12555" width="9" style="2916" customWidth="1"/>
    <col min="12556" max="12556" width="22.875" style="2916" customWidth="1"/>
    <col min="12557" max="12557" width="48.5" style="2916" customWidth="1"/>
    <col min="12558" max="12558" width="10.625" style="2916" customWidth="1"/>
    <col min="12559" max="12559" width="16" style="2916" customWidth="1"/>
    <col min="12560" max="12560" width="14.375" style="2916" customWidth="1"/>
    <col min="12561" max="12561" width="6.25" style="2916" customWidth="1"/>
    <col min="12562" max="12562" width="16.125" style="2916" customWidth="1"/>
    <col min="12563" max="12563" width="7.875" style="2916" customWidth="1"/>
    <col min="12564" max="12800" width="9" style="2916"/>
    <col min="12801" max="12801" width="35.375" style="2916" customWidth="1"/>
    <col min="12802" max="12802" width="6.25" style="2916" customWidth="1"/>
    <col min="12803" max="12803" width="13.875" style="2916" customWidth="1"/>
    <col min="12804" max="12804" width="4.625" style="2916" customWidth="1"/>
    <col min="12805" max="12805" width="82.25" style="2916" customWidth="1"/>
    <col min="12806" max="12806" width="20.375" style="2916" customWidth="1"/>
    <col min="12807" max="12807" width="37" style="2916" customWidth="1"/>
    <col min="12808" max="12809" width="13.875" style="2916" customWidth="1"/>
    <col min="12810" max="12810" width="8" style="2916" customWidth="1"/>
    <col min="12811" max="12811" width="9" style="2916" customWidth="1"/>
    <col min="12812" max="12812" width="22.875" style="2916" customWidth="1"/>
    <col min="12813" max="12813" width="48.5" style="2916" customWidth="1"/>
    <col min="12814" max="12814" width="10.625" style="2916" customWidth="1"/>
    <col min="12815" max="12815" width="16" style="2916" customWidth="1"/>
    <col min="12816" max="12816" width="14.375" style="2916" customWidth="1"/>
    <col min="12817" max="12817" width="6.25" style="2916" customWidth="1"/>
    <col min="12818" max="12818" width="16.125" style="2916" customWidth="1"/>
    <col min="12819" max="12819" width="7.875" style="2916" customWidth="1"/>
    <col min="12820" max="13056" width="9" style="2916"/>
    <col min="13057" max="13057" width="35.375" style="2916" customWidth="1"/>
    <col min="13058" max="13058" width="6.25" style="2916" customWidth="1"/>
    <col min="13059" max="13059" width="13.875" style="2916" customWidth="1"/>
    <col min="13060" max="13060" width="4.625" style="2916" customWidth="1"/>
    <col min="13061" max="13061" width="82.25" style="2916" customWidth="1"/>
    <col min="13062" max="13062" width="20.375" style="2916" customWidth="1"/>
    <col min="13063" max="13063" width="37" style="2916" customWidth="1"/>
    <col min="13064" max="13065" width="13.875" style="2916" customWidth="1"/>
    <col min="13066" max="13066" width="8" style="2916" customWidth="1"/>
    <col min="13067" max="13067" width="9" style="2916" customWidth="1"/>
    <col min="13068" max="13068" width="22.875" style="2916" customWidth="1"/>
    <col min="13069" max="13069" width="48.5" style="2916" customWidth="1"/>
    <col min="13070" max="13070" width="10.625" style="2916" customWidth="1"/>
    <col min="13071" max="13071" width="16" style="2916" customWidth="1"/>
    <col min="13072" max="13072" width="14.375" style="2916" customWidth="1"/>
    <col min="13073" max="13073" width="6.25" style="2916" customWidth="1"/>
    <col min="13074" max="13074" width="16.125" style="2916" customWidth="1"/>
    <col min="13075" max="13075" width="7.875" style="2916" customWidth="1"/>
    <col min="13076" max="13312" width="9" style="2916"/>
    <col min="13313" max="13313" width="35.375" style="2916" customWidth="1"/>
    <col min="13314" max="13314" width="6.25" style="2916" customWidth="1"/>
    <col min="13315" max="13315" width="13.875" style="2916" customWidth="1"/>
    <col min="13316" max="13316" width="4.625" style="2916" customWidth="1"/>
    <col min="13317" max="13317" width="82.25" style="2916" customWidth="1"/>
    <col min="13318" max="13318" width="20.375" style="2916" customWidth="1"/>
    <col min="13319" max="13319" width="37" style="2916" customWidth="1"/>
    <col min="13320" max="13321" width="13.875" style="2916" customWidth="1"/>
    <col min="13322" max="13322" width="8" style="2916" customWidth="1"/>
    <col min="13323" max="13323" width="9" style="2916" customWidth="1"/>
    <col min="13324" max="13324" width="22.875" style="2916" customWidth="1"/>
    <col min="13325" max="13325" width="48.5" style="2916" customWidth="1"/>
    <col min="13326" max="13326" width="10.625" style="2916" customWidth="1"/>
    <col min="13327" max="13327" width="16" style="2916" customWidth="1"/>
    <col min="13328" max="13328" width="14.375" style="2916" customWidth="1"/>
    <col min="13329" max="13329" width="6.25" style="2916" customWidth="1"/>
    <col min="13330" max="13330" width="16.125" style="2916" customWidth="1"/>
    <col min="13331" max="13331" width="7.875" style="2916" customWidth="1"/>
    <col min="13332" max="13568" width="9" style="2916"/>
    <col min="13569" max="13569" width="35.375" style="2916" customWidth="1"/>
    <col min="13570" max="13570" width="6.25" style="2916" customWidth="1"/>
    <col min="13571" max="13571" width="13.875" style="2916" customWidth="1"/>
    <col min="13572" max="13572" width="4.625" style="2916" customWidth="1"/>
    <col min="13573" max="13573" width="82.25" style="2916" customWidth="1"/>
    <col min="13574" max="13574" width="20.375" style="2916" customWidth="1"/>
    <col min="13575" max="13575" width="37" style="2916" customWidth="1"/>
    <col min="13576" max="13577" width="13.875" style="2916" customWidth="1"/>
    <col min="13578" max="13578" width="8" style="2916" customWidth="1"/>
    <col min="13579" max="13579" width="9" style="2916" customWidth="1"/>
    <col min="13580" max="13580" width="22.875" style="2916" customWidth="1"/>
    <col min="13581" max="13581" width="48.5" style="2916" customWidth="1"/>
    <col min="13582" max="13582" width="10.625" style="2916" customWidth="1"/>
    <col min="13583" max="13583" width="16" style="2916" customWidth="1"/>
    <col min="13584" max="13584" width="14.375" style="2916" customWidth="1"/>
    <col min="13585" max="13585" width="6.25" style="2916" customWidth="1"/>
    <col min="13586" max="13586" width="16.125" style="2916" customWidth="1"/>
    <col min="13587" max="13587" width="7.875" style="2916" customWidth="1"/>
    <col min="13588" max="13824" width="9" style="2916"/>
    <col min="13825" max="13825" width="35.375" style="2916" customWidth="1"/>
    <col min="13826" max="13826" width="6.25" style="2916" customWidth="1"/>
    <col min="13827" max="13827" width="13.875" style="2916" customWidth="1"/>
    <col min="13828" max="13828" width="4.625" style="2916" customWidth="1"/>
    <col min="13829" max="13829" width="82.25" style="2916" customWidth="1"/>
    <col min="13830" max="13830" width="20.375" style="2916" customWidth="1"/>
    <col min="13831" max="13831" width="37" style="2916" customWidth="1"/>
    <col min="13832" max="13833" width="13.875" style="2916" customWidth="1"/>
    <col min="13834" max="13834" width="8" style="2916" customWidth="1"/>
    <col min="13835" max="13835" width="9" style="2916" customWidth="1"/>
    <col min="13836" max="13836" width="22.875" style="2916" customWidth="1"/>
    <col min="13837" max="13837" width="48.5" style="2916" customWidth="1"/>
    <col min="13838" max="13838" width="10.625" style="2916" customWidth="1"/>
    <col min="13839" max="13839" width="16" style="2916" customWidth="1"/>
    <col min="13840" max="13840" width="14.375" style="2916" customWidth="1"/>
    <col min="13841" max="13841" width="6.25" style="2916" customWidth="1"/>
    <col min="13842" max="13842" width="16.125" style="2916" customWidth="1"/>
    <col min="13843" max="13843" width="7.875" style="2916" customWidth="1"/>
    <col min="13844" max="14080" width="9" style="2916"/>
    <col min="14081" max="14081" width="35.375" style="2916" customWidth="1"/>
    <col min="14082" max="14082" width="6.25" style="2916" customWidth="1"/>
    <col min="14083" max="14083" width="13.875" style="2916" customWidth="1"/>
    <col min="14084" max="14084" width="4.625" style="2916" customWidth="1"/>
    <col min="14085" max="14085" width="82.25" style="2916" customWidth="1"/>
    <col min="14086" max="14086" width="20.375" style="2916" customWidth="1"/>
    <col min="14087" max="14087" width="37" style="2916" customWidth="1"/>
    <col min="14088" max="14089" width="13.875" style="2916" customWidth="1"/>
    <col min="14090" max="14090" width="8" style="2916" customWidth="1"/>
    <col min="14091" max="14091" width="9" style="2916" customWidth="1"/>
    <col min="14092" max="14092" width="22.875" style="2916" customWidth="1"/>
    <col min="14093" max="14093" width="48.5" style="2916" customWidth="1"/>
    <col min="14094" max="14094" width="10.625" style="2916" customWidth="1"/>
    <col min="14095" max="14095" width="16" style="2916" customWidth="1"/>
    <col min="14096" max="14096" width="14.375" style="2916" customWidth="1"/>
    <col min="14097" max="14097" width="6.25" style="2916" customWidth="1"/>
    <col min="14098" max="14098" width="16.125" style="2916" customWidth="1"/>
    <col min="14099" max="14099" width="7.875" style="2916" customWidth="1"/>
    <col min="14100" max="14336" width="9" style="2916"/>
    <col min="14337" max="14337" width="35.375" style="2916" customWidth="1"/>
    <col min="14338" max="14338" width="6.25" style="2916" customWidth="1"/>
    <col min="14339" max="14339" width="13.875" style="2916" customWidth="1"/>
    <col min="14340" max="14340" width="4.625" style="2916" customWidth="1"/>
    <col min="14341" max="14341" width="82.25" style="2916" customWidth="1"/>
    <col min="14342" max="14342" width="20.375" style="2916" customWidth="1"/>
    <col min="14343" max="14343" width="37" style="2916" customWidth="1"/>
    <col min="14344" max="14345" width="13.875" style="2916" customWidth="1"/>
    <col min="14346" max="14346" width="8" style="2916" customWidth="1"/>
    <col min="14347" max="14347" width="9" style="2916" customWidth="1"/>
    <col min="14348" max="14348" width="22.875" style="2916" customWidth="1"/>
    <col min="14349" max="14349" width="48.5" style="2916" customWidth="1"/>
    <col min="14350" max="14350" width="10.625" style="2916" customWidth="1"/>
    <col min="14351" max="14351" width="16" style="2916" customWidth="1"/>
    <col min="14352" max="14352" width="14.375" style="2916" customWidth="1"/>
    <col min="14353" max="14353" width="6.25" style="2916" customWidth="1"/>
    <col min="14354" max="14354" width="16.125" style="2916" customWidth="1"/>
    <col min="14355" max="14355" width="7.875" style="2916" customWidth="1"/>
    <col min="14356" max="14592" width="9" style="2916"/>
    <col min="14593" max="14593" width="35.375" style="2916" customWidth="1"/>
    <col min="14594" max="14594" width="6.25" style="2916" customWidth="1"/>
    <col min="14595" max="14595" width="13.875" style="2916" customWidth="1"/>
    <col min="14596" max="14596" width="4.625" style="2916" customWidth="1"/>
    <col min="14597" max="14597" width="82.25" style="2916" customWidth="1"/>
    <col min="14598" max="14598" width="20.375" style="2916" customWidth="1"/>
    <col min="14599" max="14599" width="37" style="2916" customWidth="1"/>
    <col min="14600" max="14601" width="13.875" style="2916" customWidth="1"/>
    <col min="14602" max="14602" width="8" style="2916" customWidth="1"/>
    <col min="14603" max="14603" width="9" style="2916" customWidth="1"/>
    <col min="14604" max="14604" width="22.875" style="2916" customWidth="1"/>
    <col min="14605" max="14605" width="48.5" style="2916" customWidth="1"/>
    <col min="14606" max="14606" width="10.625" style="2916" customWidth="1"/>
    <col min="14607" max="14607" width="16" style="2916" customWidth="1"/>
    <col min="14608" max="14608" width="14.375" style="2916" customWidth="1"/>
    <col min="14609" max="14609" width="6.25" style="2916" customWidth="1"/>
    <col min="14610" max="14610" width="16.125" style="2916" customWidth="1"/>
    <col min="14611" max="14611" width="7.875" style="2916" customWidth="1"/>
    <col min="14612" max="14848" width="9" style="2916"/>
    <col min="14849" max="14849" width="35.375" style="2916" customWidth="1"/>
    <col min="14850" max="14850" width="6.25" style="2916" customWidth="1"/>
    <col min="14851" max="14851" width="13.875" style="2916" customWidth="1"/>
    <col min="14852" max="14852" width="4.625" style="2916" customWidth="1"/>
    <col min="14853" max="14853" width="82.25" style="2916" customWidth="1"/>
    <col min="14854" max="14854" width="20.375" style="2916" customWidth="1"/>
    <col min="14855" max="14855" width="37" style="2916" customWidth="1"/>
    <col min="14856" max="14857" width="13.875" style="2916" customWidth="1"/>
    <col min="14858" max="14858" width="8" style="2916" customWidth="1"/>
    <col min="14859" max="14859" width="9" style="2916" customWidth="1"/>
    <col min="14860" max="14860" width="22.875" style="2916" customWidth="1"/>
    <col min="14861" max="14861" width="48.5" style="2916" customWidth="1"/>
    <col min="14862" max="14862" width="10.625" style="2916" customWidth="1"/>
    <col min="14863" max="14863" width="16" style="2916" customWidth="1"/>
    <col min="14864" max="14864" width="14.375" style="2916" customWidth="1"/>
    <col min="14865" max="14865" width="6.25" style="2916" customWidth="1"/>
    <col min="14866" max="14866" width="16.125" style="2916" customWidth="1"/>
    <col min="14867" max="14867" width="7.875" style="2916" customWidth="1"/>
    <col min="14868" max="15104" width="9" style="2916"/>
    <col min="15105" max="15105" width="35.375" style="2916" customWidth="1"/>
    <col min="15106" max="15106" width="6.25" style="2916" customWidth="1"/>
    <col min="15107" max="15107" width="13.875" style="2916" customWidth="1"/>
    <col min="15108" max="15108" width="4.625" style="2916" customWidth="1"/>
    <col min="15109" max="15109" width="82.25" style="2916" customWidth="1"/>
    <col min="15110" max="15110" width="20.375" style="2916" customWidth="1"/>
    <col min="15111" max="15111" width="37" style="2916" customWidth="1"/>
    <col min="15112" max="15113" width="13.875" style="2916" customWidth="1"/>
    <col min="15114" max="15114" width="8" style="2916" customWidth="1"/>
    <col min="15115" max="15115" width="9" style="2916" customWidth="1"/>
    <col min="15116" max="15116" width="22.875" style="2916" customWidth="1"/>
    <col min="15117" max="15117" width="48.5" style="2916" customWidth="1"/>
    <col min="15118" max="15118" width="10.625" style="2916" customWidth="1"/>
    <col min="15119" max="15119" width="16" style="2916" customWidth="1"/>
    <col min="15120" max="15120" width="14.375" style="2916" customWidth="1"/>
    <col min="15121" max="15121" width="6.25" style="2916" customWidth="1"/>
    <col min="15122" max="15122" width="16.125" style="2916" customWidth="1"/>
    <col min="15123" max="15123" width="7.875" style="2916" customWidth="1"/>
    <col min="15124" max="15360" width="9" style="2916"/>
    <col min="15361" max="15361" width="35.375" style="2916" customWidth="1"/>
    <col min="15362" max="15362" width="6.25" style="2916" customWidth="1"/>
    <col min="15363" max="15363" width="13.875" style="2916" customWidth="1"/>
    <col min="15364" max="15364" width="4.625" style="2916" customWidth="1"/>
    <col min="15365" max="15365" width="82.25" style="2916" customWidth="1"/>
    <col min="15366" max="15366" width="20.375" style="2916" customWidth="1"/>
    <col min="15367" max="15367" width="37" style="2916" customWidth="1"/>
    <col min="15368" max="15369" width="13.875" style="2916" customWidth="1"/>
    <col min="15370" max="15370" width="8" style="2916" customWidth="1"/>
    <col min="15371" max="15371" width="9" style="2916" customWidth="1"/>
    <col min="15372" max="15372" width="22.875" style="2916" customWidth="1"/>
    <col min="15373" max="15373" width="48.5" style="2916" customWidth="1"/>
    <col min="15374" max="15374" width="10.625" style="2916" customWidth="1"/>
    <col min="15375" max="15375" width="16" style="2916" customWidth="1"/>
    <col min="15376" max="15376" width="14.375" style="2916" customWidth="1"/>
    <col min="15377" max="15377" width="6.25" style="2916" customWidth="1"/>
    <col min="15378" max="15378" width="16.125" style="2916" customWidth="1"/>
    <col min="15379" max="15379" width="7.875" style="2916" customWidth="1"/>
    <col min="15380" max="15616" width="9" style="2916"/>
    <col min="15617" max="15617" width="35.375" style="2916" customWidth="1"/>
    <col min="15618" max="15618" width="6.25" style="2916" customWidth="1"/>
    <col min="15619" max="15619" width="13.875" style="2916" customWidth="1"/>
    <col min="15620" max="15620" width="4.625" style="2916" customWidth="1"/>
    <col min="15621" max="15621" width="82.25" style="2916" customWidth="1"/>
    <col min="15622" max="15622" width="20.375" style="2916" customWidth="1"/>
    <col min="15623" max="15623" width="37" style="2916" customWidth="1"/>
    <col min="15624" max="15625" width="13.875" style="2916" customWidth="1"/>
    <col min="15626" max="15626" width="8" style="2916" customWidth="1"/>
    <col min="15627" max="15627" width="9" style="2916" customWidth="1"/>
    <col min="15628" max="15628" width="22.875" style="2916" customWidth="1"/>
    <col min="15629" max="15629" width="48.5" style="2916" customWidth="1"/>
    <col min="15630" max="15630" width="10.625" style="2916" customWidth="1"/>
    <col min="15631" max="15631" width="16" style="2916" customWidth="1"/>
    <col min="15632" max="15632" width="14.375" style="2916" customWidth="1"/>
    <col min="15633" max="15633" width="6.25" style="2916" customWidth="1"/>
    <col min="15634" max="15634" width="16.125" style="2916" customWidth="1"/>
    <col min="15635" max="15635" width="7.875" style="2916" customWidth="1"/>
    <col min="15636" max="15872" width="9" style="2916"/>
    <col min="15873" max="15873" width="35.375" style="2916" customWidth="1"/>
    <col min="15874" max="15874" width="6.25" style="2916" customWidth="1"/>
    <col min="15875" max="15875" width="13.875" style="2916" customWidth="1"/>
    <col min="15876" max="15876" width="4.625" style="2916" customWidth="1"/>
    <col min="15877" max="15877" width="82.25" style="2916" customWidth="1"/>
    <col min="15878" max="15878" width="20.375" style="2916" customWidth="1"/>
    <col min="15879" max="15879" width="37" style="2916" customWidth="1"/>
    <col min="15880" max="15881" width="13.875" style="2916" customWidth="1"/>
    <col min="15882" max="15882" width="8" style="2916" customWidth="1"/>
    <col min="15883" max="15883" width="9" style="2916" customWidth="1"/>
    <col min="15884" max="15884" width="22.875" style="2916" customWidth="1"/>
    <col min="15885" max="15885" width="48.5" style="2916" customWidth="1"/>
    <col min="15886" max="15886" width="10.625" style="2916" customWidth="1"/>
    <col min="15887" max="15887" width="16" style="2916" customWidth="1"/>
    <col min="15888" max="15888" width="14.375" style="2916" customWidth="1"/>
    <col min="15889" max="15889" width="6.25" style="2916" customWidth="1"/>
    <col min="15890" max="15890" width="16.125" style="2916" customWidth="1"/>
    <col min="15891" max="15891" width="7.875" style="2916" customWidth="1"/>
    <col min="15892" max="16128" width="9" style="2916"/>
    <col min="16129" max="16129" width="35.375" style="2916" customWidth="1"/>
    <col min="16130" max="16130" width="6.25" style="2916" customWidth="1"/>
    <col min="16131" max="16131" width="13.875" style="2916" customWidth="1"/>
    <col min="16132" max="16132" width="4.625" style="2916" customWidth="1"/>
    <col min="16133" max="16133" width="82.25" style="2916" customWidth="1"/>
    <col min="16134" max="16134" width="20.375" style="2916" customWidth="1"/>
    <col min="16135" max="16135" width="37" style="2916" customWidth="1"/>
    <col min="16136" max="16137" width="13.875" style="2916" customWidth="1"/>
    <col min="16138" max="16138" width="8" style="2916" customWidth="1"/>
    <col min="16139" max="16139" width="9" style="2916" customWidth="1"/>
    <col min="16140" max="16140" width="22.875" style="2916" customWidth="1"/>
    <col min="16141" max="16141" width="48.5" style="2916" customWidth="1"/>
    <col min="16142" max="16142" width="10.625" style="2916" customWidth="1"/>
    <col min="16143" max="16143" width="16" style="2916" customWidth="1"/>
    <col min="16144" max="16144" width="14.375" style="2916" customWidth="1"/>
    <col min="16145" max="16145" width="6.25" style="2916" customWidth="1"/>
    <col min="16146" max="16146" width="16.125" style="2916" customWidth="1"/>
    <col min="16147" max="16147" width="7.875" style="2916" customWidth="1"/>
    <col min="16148" max="16384" width="9" style="2916"/>
  </cols>
  <sheetData>
    <row r="1" spans="1:19">
      <c r="A1" s="2916" t="s">
        <v>3004</v>
      </c>
      <c r="B1" s="2916" t="s">
        <v>3005</v>
      </c>
      <c r="C1" s="2916" t="s">
        <v>3006</v>
      </c>
      <c r="D1" s="2916" t="s">
        <v>3007</v>
      </c>
      <c r="E1" s="2916" t="s">
        <v>3008</v>
      </c>
      <c r="F1" s="2916" t="s">
        <v>3009</v>
      </c>
      <c r="G1" s="2916" t="s">
        <v>3010</v>
      </c>
      <c r="H1" s="2916" t="s">
        <v>3011</v>
      </c>
      <c r="I1" s="2916" t="s">
        <v>3012</v>
      </c>
      <c r="J1" s="2916" t="s">
        <v>2033</v>
      </c>
      <c r="K1" s="2916" t="s">
        <v>3013</v>
      </c>
      <c r="L1" s="2916" t="s">
        <v>3014</v>
      </c>
      <c r="M1" s="2916" t="s">
        <v>3015</v>
      </c>
      <c r="N1" s="2916" t="s">
        <v>3016</v>
      </c>
      <c r="O1" s="2916" t="s">
        <v>3017</v>
      </c>
      <c r="P1" s="2916" t="s">
        <v>3018</v>
      </c>
      <c r="Q1" s="2916" t="s">
        <v>3019</v>
      </c>
      <c r="R1" s="2916" t="s">
        <v>3020</v>
      </c>
      <c r="S1" s="2916" t="s">
        <v>3021</v>
      </c>
    </row>
    <row r="2" spans="1:19">
      <c r="A2" s="2916" t="s">
        <v>3033</v>
      </c>
      <c r="B2" s="2916" t="s">
        <v>3034</v>
      </c>
      <c r="C2" s="2916" t="s">
        <v>3035</v>
      </c>
      <c r="D2" s="2916" t="s">
        <v>2819</v>
      </c>
      <c r="E2" s="2916" t="s">
        <v>3036</v>
      </c>
      <c r="F2" s="2916" t="s">
        <v>3037</v>
      </c>
      <c r="G2" s="2916" t="s">
        <v>3038</v>
      </c>
      <c r="H2" s="2916">
        <v>97494</v>
      </c>
      <c r="I2" s="2916">
        <v>253484.4</v>
      </c>
      <c r="J2" s="2916" t="s">
        <v>3039</v>
      </c>
      <c r="K2" s="2916" t="s">
        <v>3040</v>
      </c>
      <c r="L2" s="2916" t="s">
        <v>3041</v>
      </c>
      <c r="M2" s="2916" t="s">
        <v>3042</v>
      </c>
      <c r="N2" s="2916">
        <v>359669</v>
      </c>
      <c r="O2" s="2916">
        <v>2459.4299999999998</v>
      </c>
      <c r="P2" s="2916">
        <v>14189</v>
      </c>
      <c r="Q2" s="2916">
        <v>5.89</v>
      </c>
      <c r="R2" s="2916" t="s">
        <v>3043</v>
      </c>
      <c r="S2" s="2916" t="s">
        <v>3023</v>
      </c>
    </row>
    <row r="3" spans="1:19">
      <c r="A3" s="2916" t="s">
        <v>3044</v>
      </c>
      <c r="B3" s="2916" t="s">
        <v>3034</v>
      </c>
      <c r="C3" s="2916" t="s">
        <v>3035</v>
      </c>
      <c r="D3" s="2916" t="s">
        <v>2819</v>
      </c>
      <c r="E3" s="2916" t="s">
        <v>3045</v>
      </c>
      <c r="F3" s="2916" t="s">
        <v>3046</v>
      </c>
      <c r="G3" s="2916" t="s">
        <v>3047</v>
      </c>
      <c r="H3" s="2916">
        <v>98261</v>
      </c>
      <c r="I3" s="2916">
        <v>275130.8</v>
      </c>
      <c r="J3" s="2916" t="s">
        <v>3048</v>
      </c>
      <c r="K3" s="2916" t="s">
        <v>3049</v>
      </c>
      <c r="L3" s="2916" t="s">
        <v>3050</v>
      </c>
      <c r="M3" s="2916" t="s">
        <v>3051</v>
      </c>
      <c r="N3" s="2916">
        <v>370675</v>
      </c>
      <c r="O3" s="2916">
        <v>2514.9</v>
      </c>
      <c r="P3" s="2916">
        <v>13472.68</v>
      </c>
      <c r="Q3" s="2916">
        <v>0.54</v>
      </c>
      <c r="R3" s="2916" t="s">
        <v>3052</v>
      </c>
      <c r="S3" s="2916" t="s">
        <v>3023</v>
      </c>
    </row>
    <row r="4" spans="1:19">
      <c r="A4" s="3175" t="s">
        <v>3335</v>
      </c>
      <c r="B4" s="2916" t="s">
        <v>3034</v>
      </c>
      <c r="C4" s="2916" t="s">
        <v>3053</v>
      </c>
      <c r="D4" s="2916" t="s">
        <v>2819</v>
      </c>
      <c r="E4" s="2916" t="s">
        <v>3054</v>
      </c>
      <c r="F4" s="2916" t="s">
        <v>3055</v>
      </c>
      <c r="G4" s="2916" t="s">
        <v>3056</v>
      </c>
      <c r="H4" s="2916">
        <v>25121</v>
      </c>
      <c r="I4" s="2916">
        <v>62803</v>
      </c>
      <c r="J4" s="2916" t="s">
        <v>3057</v>
      </c>
      <c r="K4" s="2916" t="s">
        <v>3058</v>
      </c>
      <c r="L4" s="2916" t="s">
        <v>3059</v>
      </c>
      <c r="M4" s="2916" t="s">
        <v>3060</v>
      </c>
      <c r="N4" s="2916">
        <v>115555</v>
      </c>
      <c r="O4" s="2916">
        <v>3066.62</v>
      </c>
      <c r="P4" s="2916">
        <v>18399.59</v>
      </c>
      <c r="Q4" s="2916">
        <v>37.31</v>
      </c>
      <c r="R4" s="2916" t="s">
        <v>3061</v>
      </c>
      <c r="S4" s="2916" t="s">
        <v>3062</v>
      </c>
    </row>
    <row r="5" spans="1:19">
      <c r="A5" s="2916" t="s">
        <v>3063</v>
      </c>
      <c r="B5" s="2916" t="s">
        <v>3034</v>
      </c>
      <c r="C5" s="2916" t="s">
        <v>3053</v>
      </c>
      <c r="D5" s="2916" t="s">
        <v>2819</v>
      </c>
      <c r="E5" s="2916" t="s">
        <v>3064</v>
      </c>
      <c r="F5" s="2916" t="s">
        <v>3065</v>
      </c>
      <c r="G5" s="2916" t="s">
        <v>3066</v>
      </c>
      <c r="H5" s="2916">
        <v>55422</v>
      </c>
      <c r="I5" s="2916">
        <v>144097</v>
      </c>
      <c r="J5" s="2916" t="s">
        <v>3067</v>
      </c>
      <c r="K5" s="2916" t="s">
        <v>3058</v>
      </c>
      <c r="L5" s="2916" t="s">
        <v>3059</v>
      </c>
      <c r="M5" s="2916" t="s">
        <v>3068</v>
      </c>
      <c r="N5" s="2916">
        <v>64844</v>
      </c>
      <c r="O5" s="2916">
        <v>780</v>
      </c>
      <c r="P5" s="2916">
        <v>4500.0200000000004</v>
      </c>
      <c r="Q5" s="2916">
        <v>0</v>
      </c>
      <c r="R5" s="2916" t="s">
        <v>3061</v>
      </c>
      <c r="S5" s="2916" t="s">
        <v>3022</v>
      </c>
    </row>
    <row r="6" spans="1:19" s="3182" customFormat="1">
      <c r="A6" s="3182" t="s">
        <v>3364</v>
      </c>
      <c r="B6" s="3182" t="s">
        <v>3034</v>
      </c>
      <c r="C6" s="3182" t="s">
        <v>3035</v>
      </c>
      <c r="D6" s="3182" t="s">
        <v>2819</v>
      </c>
      <c r="E6" s="3182" t="s">
        <v>3069</v>
      </c>
      <c r="F6" s="3182" t="s">
        <v>3070</v>
      </c>
      <c r="G6" s="3182" t="s">
        <v>3071</v>
      </c>
      <c r="H6" s="3182">
        <v>24153</v>
      </c>
      <c r="I6" s="3182">
        <v>60382.5</v>
      </c>
      <c r="J6" s="3182" t="s">
        <v>3057</v>
      </c>
      <c r="K6" s="3182" t="s">
        <v>3058</v>
      </c>
      <c r="L6" s="3182" t="s">
        <v>3059</v>
      </c>
      <c r="M6" s="3182" t="s">
        <v>3072</v>
      </c>
      <c r="N6" s="3182">
        <v>139358</v>
      </c>
      <c r="O6" s="3182">
        <v>3846.53</v>
      </c>
      <c r="P6" s="3182">
        <v>23079.200000000001</v>
      </c>
      <c r="Q6" s="3182">
        <v>34.18</v>
      </c>
      <c r="R6" s="3182" t="s">
        <v>3043</v>
      </c>
      <c r="S6" s="3182" t="s">
        <v>3073</v>
      </c>
    </row>
    <row r="7" spans="1:19">
      <c r="A7" s="2916" t="s">
        <v>3074</v>
      </c>
      <c r="B7" s="2916" t="s">
        <v>3034</v>
      </c>
      <c r="C7" s="2916" t="s">
        <v>3053</v>
      </c>
      <c r="D7" s="2916" t="s">
        <v>2819</v>
      </c>
      <c r="E7" s="2916" t="s">
        <v>3075</v>
      </c>
      <c r="F7" s="2916" t="s">
        <v>3076</v>
      </c>
      <c r="G7" s="2916" t="s">
        <v>3077</v>
      </c>
      <c r="H7" s="2916">
        <v>73434</v>
      </c>
      <c r="I7" s="2916">
        <v>154211</v>
      </c>
      <c r="J7" s="2916" t="s">
        <v>3078</v>
      </c>
      <c r="K7" s="2916" t="s">
        <v>3079</v>
      </c>
      <c r="L7" s="2916" t="s">
        <v>3080</v>
      </c>
      <c r="M7" s="2916" t="s">
        <v>3081</v>
      </c>
      <c r="N7" s="2916">
        <v>131369</v>
      </c>
      <c r="O7" s="2916">
        <v>1192.6300000000001</v>
      </c>
      <c r="P7" s="2916">
        <v>8518.7800000000007</v>
      </c>
      <c r="Q7" s="2916">
        <v>6.48</v>
      </c>
      <c r="R7" s="2916" t="s">
        <v>3061</v>
      </c>
      <c r="S7" s="2916" t="s">
        <v>3023</v>
      </c>
    </row>
    <row r="8" spans="1:19" s="3182" customFormat="1">
      <c r="A8" s="3182" t="s">
        <v>3082</v>
      </c>
      <c r="B8" s="3182" t="s">
        <v>3034</v>
      </c>
      <c r="C8" s="3182" t="s">
        <v>3035</v>
      </c>
      <c r="D8" s="3182" t="s">
        <v>2819</v>
      </c>
      <c r="E8" s="3182" t="s">
        <v>3083</v>
      </c>
      <c r="F8" s="3182" t="s">
        <v>3084</v>
      </c>
      <c r="G8" s="3182" t="s">
        <v>3071</v>
      </c>
      <c r="H8" s="3182">
        <v>45064</v>
      </c>
      <c r="I8" s="3182">
        <v>112662.5</v>
      </c>
      <c r="J8" s="3182" t="s">
        <v>3085</v>
      </c>
      <c r="K8" s="3182" t="s">
        <v>3086</v>
      </c>
      <c r="L8" s="3182" t="s">
        <v>3087</v>
      </c>
      <c r="M8" s="3182" t="s">
        <v>3088</v>
      </c>
      <c r="N8" s="3182">
        <v>274780</v>
      </c>
      <c r="O8" s="3182">
        <v>4065.03</v>
      </c>
      <c r="P8" s="3182">
        <v>24389.65</v>
      </c>
      <c r="Q8" s="3182">
        <v>41.8</v>
      </c>
      <c r="R8" s="3182" t="s">
        <v>3052</v>
      </c>
      <c r="S8" s="3182" t="s">
        <v>3073</v>
      </c>
    </row>
    <row r="9" spans="1:19">
      <c r="A9" s="2916" t="s">
        <v>3089</v>
      </c>
      <c r="B9" s="2916" t="s">
        <v>3034</v>
      </c>
      <c r="C9" s="2916" t="s">
        <v>3053</v>
      </c>
      <c r="D9" s="2916" t="s">
        <v>2819</v>
      </c>
      <c r="E9" s="2916" t="s">
        <v>3090</v>
      </c>
      <c r="F9" s="2916" t="s">
        <v>3091</v>
      </c>
      <c r="G9" s="2916" t="s">
        <v>3092</v>
      </c>
      <c r="H9" s="2916">
        <v>30217</v>
      </c>
      <c r="I9" s="2916">
        <v>75542.5</v>
      </c>
      <c r="J9" s="2916" t="s">
        <v>3093</v>
      </c>
      <c r="K9" s="2916" t="s">
        <v>3094</v>
      </c>
      <c r="L9" s="2916" t="s">
        <v>3095</v>
      </c>
      <c r="M9" s="2916" t="s">
        <v>3096</v>
      </c>
      <c r="N9" s="2916">
        <v>98589</v>
      </c>
      <c r="O9" s="2916">
        <v>2175.13</v>
      </c>
      <c r="P9" s="2916">
        <v>13050.79</v>
      </c>
      <c r="Q9" s="2916">
        <v>45.01</v>
      </c>
      <c r="R9" s="2916" t="s">
        <v>3097</v>
      </c>
      <c r="S9" s="2916" t="s">
        <v>3023</v>
      </c>
    </row>
    <row r="10" spans="1:19">
      <c r="A10" s="2916" t="s">
        <v>3098</v>
      </c>
      <c r="B10" s="2916" t="s">
        <v>3034</v>
      </c>
      <c r="C10" s="2916" t="s">
        <v>3053</v>
      </c>
      <c r="D10" s="2916" t="s">
        <v>2819</v>
      </c>
      <c r="E10" s="2916" t="s">
        <v>3099</v>
      </c>
      <c r="F10" s="2916" t="s">
        <v>3100</v>
      </c>
      <c r="G10" s="2916" t="s">
        <v>3101</v>
      </c>
      <c r="H10" s="2916">
        <v>34304</v>
      </c>
      <c r="I10" s="2916">
        <v>85760</v>
      </c>
      <c r="J10" s="2916" t="s">
        <v>3085</v>
      </c>
      <c r="K10" s="2916" t="s">
        <v>3102</v>
      </c>
      <c r="L10" s="2916" t="s">
        <v>3103</v>
      </c>
      <c r="M10" s="2916" t="s">
        <v>3104</v>
      </c>
      <c r="N10" s="2916">
        <v>11149</v>
      </c>
      <c r="O10" s="2916">
        <v>216.67</v>
      </c>
      <c r="P10" s="2916">
        <v>1300.01</v>
      </c>
      <c r="Q10" s="2916">
        <v>0</v>
      </c>
      <c r="R10" s="2916" t="s">
        <v>3105</v>
      </c>
      <c r="S10" s="2916" t="s">
        <v>3022</v>
      </c>
    </row>
    <row r="11" spans="1:19" s="3182" customFormat="1">
      <c r="A11" s="3182" t="s">
        <v>3106</v>
      </c>
      <c r="B11" s="3182" t="s">
        <v>3034</v>
      </c>
      <c r="C11" s="3182" t="s">
        <v>3035</v>
      </c>
      <c r="D11" s="3182" t="s">
        <v>2819</v>
      </c>
      <c r="E11" s="3182" t="s">
        <v>3107</v>
      </c>
      <c r="F11" s="3182" t="s">
        <v>3108</v>
      </c>
      <c r="G11" s="3182" t="s">
        <v>3109</v>
      </c>
      <c r="H11" s="3182">
        <v>78107</v>
      </c>
      <c r="I11" s="3182">
        <v>218699.6</v>
      </c>
      <c r="J11" s="3182" t="s">
        <v>3048</v>
      </c>
      <c r="K11" s="3182" t="s">
        <v>3110</v>
      </c>
      <c r="L11" s="3182" t="s">
        <v>3111</v>
      </c>
      <c r="M11" s="3182" t="s">
        <v>3112</v>
      </c>
      <c r="N11" s="3182">
        <v>564163</v>
      </c>
      <c r="O11" s="3182">
        <v>4815.3</v>
      </c>
      <c r="P11" s="3182">
        <v>25796.25</v>
      </c>
      <c r="Q11" s="3182">
        <v>49.98</v>
      </c>
      <c r="R11" s="3182" t="s">
        <v>3052</v>
      </c>
      <c r="S11" s="3182" t="s">
        <v>3073</v>
      </c>
    </row>
    <row r="12" spans="1:19">
      <c r="A12" s="2916" t="s">
        <v>3113</v>
      </c>
      <c r="B12" s="2916" t="s">
        <v>3034</v>
      </c>
      <c r="C12" s="2916" t="s">
        <v>3053</v>
      </c>
      <c r="D12" s="2916" t="s">
        <v>2819</v>
      </c>
      <c r="E12" s="2916" t="s">
        <v>3114</v>
      </c>
      <c r="F12" s="2916" t="s">
        <v>3115</v>
      </c>
      <c r="G12" s="2916" t="s">
        <v>3035</v>
      </c>
      <c r="H12" s="2916">
        <v>37774</v>
      </c>
      <c r="I12" s="2916">
        <v>101990</v>
      </c>
      <c r="J12" s="2916" t="s">
        <v>3116</v>
      </c>
      <c r="K12" s="2916" t="s">
        <v>3117</v>
      </c>
      <c r="L12" s="2916" t="s">
        <v>3118</v>
      </c>
      <c r="M12" s="2916" t="s">
        <v>3119</v>
      </c>
      <c r="N12" s="2916">
        <v>194228</v>
      </c>
      <c r="O12" s="2916">
        <v>3427.9</v>
      </c>
      <c r="P12" s="2916">
        <v>19043.830000000002</v>
      </c>
      <c r="Q12" s="2916">
        <v>49.95</v>
      </c>
      <c r="R12" s="2916" t="s">
        <v>3061</v>
      </c>
      <c r="S12" s="2916" t="s">
        <v>3023</v>
      </c>
    </row>
    <row r="13" spans="1:19" s="3183" customFormat="1">
      <c r="A13" s="3183" t="s">
        <v>3336</v>
      </c>
      <c r="B13" s="3183" t="s">
        <v>3034</v>
      </c>
      <c r="C13" s="3183" t="s">
        <v>3053</v>
      </c>
      <c r="D13" s="3183" t="s">
        <v>2819</v>
      </c>
      <c r="E13" s="3183" t="s">
        <v>3120</v>
      </c>
      <c r="F13" s="3183" t="s">
        <v>3121</v>
      </c>
      <c r="G13" s="3183" t="s">
        <v>3056</v>
      </c>
      <c r="H13" s="3183">
        <v>107887</v>
      </c>
      <c r="I13" s="3183">
        <v>312872</v>
      </c>
      <c r="J13" s="3183" t="s">
        <v>3122</v>
      </c>
      <c r="K13" s="3183" t="s">
        <v>3117</v>
      </c>
      <c r="L13" s="3183" t="s">
        <v>3118</v>
      </c>
      <c r="M13" s="3183" t="s">
        <v>3123</v>
      </c>
      <c r="N13" s="3183">
        <v>1009861</v>
      </c>
      <c r="O13" s="3183">
        <v>6240.24</v>
      </c>
      <c r="P13" s="3183">
        <v>32277.13</v>
      </c>
      <c r="Q13" s="3183">
        <v>47.61</v>
      </c>
      <c r="R13" s="3183" t="s">
        <v>3061</v>
      </c>
      <c r="S13" s="3183" t="s">
        <v>3073</v>
      </c>
    </row>
    <row r="14" spans="1:19">
      <c r="A14" s="2916" t="s">
        <v>3124</v>
      </c>
      <c r="B14" s="2916" t="s">
        <v>3034</v>
      </c>
      <c r="C14" s="2916" t="s">
        <v>3035</v>
      </c>
      <c r="D14" s="2916" t="s">
        <v>2819</v>
      </c>
      <c r="E14" s="2916" t="s">
        <v>3125</v>
      </c>
      <c r="F14" s="2916" t="s">
        <v>3126</v>
      </c>
      <c r="G14" s="2916" t="s">
        <v>3127</v>
      </c>
      <c r="H14" s="2916">
        <v>93039</v>
      </c>
      <c r="I14" s="2916">
        <v>251205</v>
      </c>
      <c r="J14" s="2916" t="s">
        <v>3116</v>
      </c>
      <c r="K14" s="2916" t="s">
        <v>3117</v>
      </c>
      <c r="L14" s="2916" t="s">
        <v>3118</v>
      </c>
      <c r="M14" s="2916" t="s">
        <v>3128</v>
      </c>
      <c r="N14" s="2916">
        <v>430415</v>
      </c>
      <c r="O14" s="2916">
        <v>3084.12</v>
      </c>
      <c r="P14" s="2916">
        <v>17134</v>
      </c>
      <c r="Q14" s="2916">
        <v>27.87</v>
      </c>
      <c r="R14" s="2916" t="s">
        <v>3043</v>
      </c>
      <c r="S14" s="2916" t="s">
        <v>3024</v>
      </c>
    </row>
    <row r="15" spans="1:19">
      <c r="A15" s="2916" t="s">
        <v>3129</v>
      </c>
      <c r="B15" s="2916" t="s">
        <v>3034</v>
      </c>
      <c r="C15" s="2916" t="s">
        <v>3053</v>
      </c>
      <c r="D15" s="2916" t="s">
        <v>2819</v>
      </c>
      <c r="E15" s="2916" t="s">
        <v>3130</v>
      </c>
      <c r="F15" s="2916" t="s">
        <v>3131</v>
      </c>
      <c r="G15" s="2916" t="s">
        <v>3047</v>
      </c>
      <c r="H15" s="2916">
        <v>46839</v>
      </c>
      <c r="I15" s="2916">
        <v>117097.5</v>
      </c>
      <c r="J15" s="2916">
        <v>2.5</v>
      </c>
      <c r="K15" s="2916" t="s">
        <v>3132</v>
      </c>
      <c r="L15" s="2916" t="s">
        <v>3133</v>
      </c>
      <c r="M15" s="2916" t="s">
        <v>3134</v>
      </c>
      <c r="N15" s="2916">
        <v>251100</v>
      </c>
      <c r="O15" s="2916">
        <v>3573.94</v>
      </c>
      <c r="P15" s="2916">
        <v>21443.66</v>
      </c>
      <c r="Q15" s="2916">
        <v>40.119999999999997</v>
      </c>
      <c r="R15" s="2916" t="s">
        <v>3061</v>
      </c>
      <c r="S15" s="2916" t="s">
        <v>3073</v>
      </c>
    </row>
    <row r="16" spans="1:19">
      <c r="A16" s="2916" t="s">
        <v>3135</v>
      </c>
      <c r="B16" s="2916" t="s">
        <v>3034</v>
      </c>
      <c r="C16" s="2916" t="s">
        <v>3035</v>
      </c>
      <c r="D16" s="2916" t="s">
        <v>2819</v>
      </c>
      <c r="E16" s="2916" t="s">
        <v>3136</v>
      </c>
      <c r="F16" s="2916" t="s">
        <v>3137</v>
      </c>
      <c r="G16" s="2916" t="s">
        <v>3047</v>
      </c>
      <c r="H16" s="2916">
        <v>57802</v>
      </c>
      <c r="I16" s="2916">
        <v>161845.6</v>
      </c>
      <c r="J16" s="2916">
        <v>2.8</v>
      </c>
      <c r="K16" s="2916" t="s">
        <v>3132</v>
      </c>
      <c r="L16" s="2916" t="s">
        <v>3133</v>
      </c>
      <c r="M16" s="2916" t="s">
        <v>3138</v>
      </c>
      <c r="N16" s="2916">
        <v>272900</v>
      </c>
      <c r="O16" s="2916">
        <v>3147.53</v>
      </c>
      <c r="P16" s="2916">
        <v>16861.75</v>
      </c>
      <c r="Q16" s="2916">
        <v>25.82</v>
      </c>
      <c r="R16" s="2916" t="s">
        <v>3043</v>
      </c>
      <c r="S16" s="2916" t="s">
        <v>3024</v>
      </c>
    </row>
    <row r="17" spans="1:19">
      <c r="A17" s="3174" t="s">
        <v>3139</v>
      </c>
      <c r="B17" s="2916" t="s">
        <v>3034</v>
      </c>
      <c r="C17" s="2916" t="s">
        <v>3053</v>
      </c>
      <c r="D17" s="2916" t="s">
        <v>2819</v>
      </c>
      <c r="E17" s="2916" t="s">
        <v>3140</v>
      </c>
      <c r="F17" s="2916" t="s">
        <v>3141</v>
      </c>
      <c r="G17" s="2916" t="s">
        <v>3047</v>
      </c>
      <c r="H17" s="2916">
        <v>28060</v>
      </c>
      <c r="I17" s="2916">
        <v>61732</v>
      </c>
      <c r="J17" s="2916">
        <v>2.2000000000000002</v>
      </c>
      <c r="K17" s="2916" t="s">
        <v>3132</v>
      </c>
      <c r="L17" s="2916" t="s">
        <v>3133</v>
      </c>
      <c r="M17" s="2916" t="s">
        <v>3142</v>
      </c>
      <c r="N17" s="2916">
        <v>141650</v>
      </c>
      <c r="O17" s="2916">
        <v>3365.41</v>
      </c>
      <c r="P17" s="2916">
        <v>22945.95</v>
      </c>
      <c r="Q17" s="2916">
        <v>49.97</v>
      </c>
      <c r="R17" s="2916" t="s">
        <v>3061</v>
      </c>
      <c r="S17" s="2916" t="s">
        <v>3073</v>
      </c>
    </row>
    <row r="18" spans="1:19">
      <c r="A18" s="2916" t="s">
        <v>3143</v>
      </c>
      <c r="B18" s="2916" t="s">
        <v>3034</v>
      </c>
      <c r="C18" s="2916" t="s">
        <v>3053</v>
      </c>
      <c r="D18" s="2916" t="s">
        <v>2819</v>
      </c>
      <c r="E18" s="2916" t="s">
        <v>3144</v>
      </c>
      <c r="F18" s="2916" t="s">
        <v>3145</v>
      </c>
      <c r="G18" s="2916" t="s">
        <v>3146</v>
      </c>
      <c r="H18" s="2916">
        <v>19940</v>
      </c>
      <c r="I18" s="2916">
        <v>55832</v>
      </c>
      <c r="J18" s="2916">
        <v>2.8</v>
      </c>
      <c r="K18" s="2916" t="s">
        <v>3147</v>
      </c>
      <c r="L18" s="2916" t="s">
        <v>3148</v>
      </c>
      <c r="M18" s="2916" t="s">
        <v>3149</v>
      </c>
      <c r="N18" s="2916">
        <v>11950</v>
      </c>
      <c r="O18" s="2916">
        <v>399.53</v>
      </c>
      <c r="P18" s="2916">
        <v>2140.34</v>
      </c>
      <c r="Q18" s="2916">
        <v>6.22</v>
      </c>
      <c r="R18" s="2916" t="s">
        <v>3061</v>
      </c>
      <c r="S18" s="2916" t="s">
        <v>3023</v>
      </c>
    </row>
    <row r="19" spans="1:19">
      <c r="A19" s="2916" t="s">
        <v>3150</v>
      </c>
      <c r="B19" s="2916" t="s">
        <v>3034</v>
      </c>
      <c r="C19" s="2916" t="s">
        <v>3053</v>
      </c>
      <c r="D19" s="2916" t="s">
        <v>2819</v>
      </c>
      <c r="E19" s="2916" t="s">
        <v>3151</v>
      </c>
      <c r="F19" s="2916" t="s">
        <v>3152</v>
      </c>
      <c r="G19" s="2916" t="s">
        <v>3153</v>
      </c>
      <c r="H19" s="2916">
        <v>20253</v>
      </c>
      <c r="I19" s="2916">
        <v>56708.4</v>
      </c>
      <c r="J19" s="2916">
        <v>2.8</v>
      </c>
      <c r="K19" s="2916" t="s">
        <v>3147</v>
      </c>
      <c r="L19" s="2916" t="s">
        <v>3148</v>
      </c>
      <c r="M19" s="2916" t="s">
        <v>3154</v>
      </c>
      <c r="N19" s="2916">
        <v>27000</v>
      </c>
      <c r="O19" s="2916">
        <v>888.76</v>
      </c>
      <c r="P19" s="2916">
        <v>4761.1899999999996</v>
      </c>
      <c r="Q19" s="2916">
        <v>50</v>
      </c>
      <c r="R19" s="2916" t="s">
        <v>3061</v>
      </c>
      <c r="S19" s="2916" t="s">
        <v>3022</v>
      </c>
    </row>
    <row r="20" spans="1:19">
      <c r="A20" s="2916" t="s">
        <v>3155</v>
      </c>
      <c r="B20" s="2916" t="s">
        <v>3034</v>
      </c>
      <c r="C20" s="2916" t="s">
        <v>3053</v>
      </c>
      <c r="D20" s="2916" t="s">
        <v>2819</v>
      </c>
      <c r="E20" s="2916" t="s">
        <v>3156</v>
      </c>
      <c r="F20" s="2916" t="s">
        <v>3157</v>
      </c>
      <c r="G20" s="2916" t="s">
        <v>3158</v>
      </c>
      <c r="H20" s="2916">
        <v>133203</v>
      </c>
      <c r="I20" s="2916">
        <v>134535</v>
      </c>
      <c r="J20" s="2916" t="s">
        <v>3159</v>
      </c>
      <c r="K20" s="2916" t="s">
        <v>3160</v>
      </c>
      <c r="L20" s="2916" t="s">
        <v>3161</v>
      </c>
      <c r="M20" s="2916" t="s">
        <v>3162</v>
      </c>
      <c r="N20" s="2916">
        <v>401200</v>
      </c>
      <c r="O20" s="2916">
        <v>2007.96</v>
      </c>
      <c r="P20" s="2916">
        <v>29821.24</v>
      </c>
      <c r="Q20" s="2916">
        <v>70</v>
      </c>
      <c r="R20" s="2916" t="s">
        <v>3061</v>
      </c>
      <c r="S20" s="2916" t="s">
        <v>3024</v>
      </c>
    </row>
    <row r="21" spans="1:19">
      <c r="A21" s="2916" t="s">
        <v>3163</v>
      </c>
      <c r="B21" s="2916" t="s">
        <v>3034</v>
      </c>
      <c r="C21" s="2916" t="s">
        <v>3053</v>
      </c>
      <c r="D21" s="2916" t="s">
        <v>2819</v>
      </c>
      <c r="E21" s="2916" t="s">
        <v>3164</v>
      </c>
      <c r="F21" s="2916" t="s">
        <v>3165</v>
      </c>
      <c r="G21" s="2916" t="s">
        <v>3092</v>
      </c>
      <c r="H21" s="2916">
        <v>88404</v>
      </c>
      <c r="I21" s="2916">
        <v>194488.8</v>
      </c>
      <c r="J21" s="2916" t="s">
        <v>3166</v>
      </c>
      <c r="K21" s="2916" t="s">
        <v>3167</v>
      </c>
      <c r="L21" s="2916" t="s">
        <v>3168</v>
      </c>
      <c r="M21" s="2916" t="s">
        <v>3169</v>
      </c>
      <c r="N21" s="2916">
        <v>198186</v>
      </c>
      <c r="O21" s="2916">
        <v>1494.55</v>
      </c>
      <c r="P21" s="2916">
        <v>10190.1</v>
      </c>
      <c r="Q21" s="2916">
        <v>68.400000000000006</v>
      </c>
      <c r="R21" s="2916" t="s">
        <v>3170</v>
      </c>
      <c r="S21" s="2916" t="s">
        <v>3062</v>
      </c>
    </row>
    <row r="22" spans="1:19">
      <c r="A22" s="2916" t="s">
        <v>3171</v>
      </c>
      <c r="B22" s="2916" t="s">
        <v>3034</v>
      </c>
      <c r="C22" s="2916" t="s">
        <v>3053</v>
      </c>
      <c r="D22" s="2916" t="s">
        <v>2819</v>
      </c>
      <c r="E22" s="2916" t="s">
        <v>3172</v>
      </c>
      <c r="F22" s="2916" t="s">
        <v>3173</v>
      </c>
      <c r="G22" s="2916" t="s">
        <v>3077</v>
      </c>
      <c r="H22" s="2916">
        <v>25318</v>
      </c>
      <c r="I22" s="2916">
        <v>63295</v>
      </c>
      <c r="J22" s="2916">
        <v>2.5</v>
      </c>
      <c r="K22" s="2916" t="s">
        <v>3167</v>
      </c>
      <c r="L22" s="2916" t="s">
        <v>3174</v>
      </c>
      <c r="M22" s="2916" t="s">
        <v>3175</v>
      </c>
      <c r="N22" s="2916">
        <v>111390</v>
      </c>
      <c r="O22" s="2916">
        <v>2933.09</v>
      </c>
      <c r="P22" s="2916">
        <v>17598.54</v>
      </c>
      <c r="Q22" s="2916">
        <v>49.14</v>
      </c>
      <c r="R22" s="2916" t="s">
        <v>3061</v>
      </c>
      <c r="S22" s="2916" t="s">
        <v>3023</v>
      </c>
    </row>
    <row r="23" spans="1:19">
      <c r="A23" s="2916" t="s">
        <v>3163</v>
      </c>
      <c r="B23" s="2916" t="s">
        <v>3034</v>
      </c>
      <c r="C23" s="2916" t="s">
        <v>3053</v>
      </c>
      <c r="D23" s="2916" t="s">
        <v>2819</v>
      </c>
      <c r="E23" s="2916" t="s">
        <v>3176</v>
      </c>
      <c r="F23" s="2916" t="s">
        <v>3177</v>
      </c>
      <c r="G23" s="2916" t="s">
        <v>3178</v>
      </c>
      <c r="H23" s="2916">
        <v>4349</v>
      </c>
      <c r="I23" s="2916">
        <v>12177.2</v>
      </c>
      <c r="J23" s="2916" t="s">
        <v>3179</v>
      </c>
      <c r="K23" s="2916" t="s">
        <v>3167</v>
      </c>
      <c r="L23" s="2916" t="s">
        <v>3168</v>
      </c>
      <c r="M23" s="2916" t="s">
        <v>3175</v>
      </c>
      <c r="N23" s="2916">
        <v>10693</v>
      </c>
      <c r="O23" s="2916">
        <v>1639.15</v>
      </c>
      <c r="P23" s="2916">
        <v>8781.15</v>
      </c>
      <c r="Q23" s="2916">
        <v>44.64</v>
      </c>
      <c r="R23" s="2916" t="s">
        <v>3170</v>
      </c>
      <c r="S23" s="2916" t="s">
        <v>3062</v>
      </c>
    </row>
    <row r="24" spans="1:19">
      <c r="A24" s="2916" t="s">
        <v>3180</v>
      </c>
      <c r="B24" s="2916" t="s">
        <v>3034</v>
      </c>
      <c r="C24" s="2916" t="s">
        <v>3053</v>
      </c>
      <c r="D24" s="2916" t="s">
        <v>2819</v>
      </c>
      <c r="E24" s="2916" t="s">
        <v>3181</v>
      </c>
      <c r="F24" s="2916" t="s">
        <v>3182</v>
      </c>
      <c r="G24" s="2916" t="s">
        <v>3071</v>
      </c>
      <c r="H24" s="2916">
        <v>57353</v>
      </c>
      <c r="I24" s="2916">
        <v>143382.5</v>
      </c>
      <c r="J24" s="2916">
        <v>2.5</v>
      </c>
      <c r="K24" s="2916" t="s">
        <v>3167</v>
      </c>
      <c r="L24" s="2916" t="s">
        <v>3174</v>
      </c>
      <c r="M24" s="2916" t="s">
        <v>3183</v>
      </c>
      <c r="N24" s="2916">
        <v>153870</v>
      </c>
      <c r="O24" s="2916">
        <v>1788.57</v>
      </c>
      <c r="P24" s="2916">
        <v>10731.44</v>
      </c>
      <c r="Q24" s="2916">
        <v>53.3</v>
      </c>
      <c r="R24" s="2916" t="s">
        <v>3061</v>
      </c>
      <c r="S24" s="2916" t="s">
        <v>3022</v>
      </c>
    </row>
    <row r="25" spans="1:19">
      <c r="A25" s="2916" t="s">
        <v>3184</v>
      </c>
      <c r="B25" s="2916" t="s">
        <v>3034</v>
      </c>
      <c r="C25" s="2916" t="s">
        <v>3053</v>
      </c>
      <c r="D25" s="2916" t="s">
        <v>2819</v>
      </c>
      <c r="E25" s="2916" t="s">
        <v>3185</v>
      </c>
      <c r="F25" s="2916" t="s">
        <v>3186</v>
      </c>
      <c r="G25" s="2916" t="s">
        <v>3187</v>
      </c>
      <c r="H25" s="2916">
        <v>30739</v>
      </c>
      <c r="I25" s="2916">
        <v>92217</v>
      </c>
      <c r="J25" s="2916">
        <v>3</v>
      </c>
      <c r="K25" s="2916" t="s">
        <v>3167</v>
      </c>
      <c r="L25" s="2916" t="s">
        <v>3174</v>
      </c>
      <c r="M25" s="2916" t="s">
        <v>3188</v>
      </c>
      <c r="N25" s="2916">
        <v>164420</v>
      </c>
      <c r="O25" s="2916">
        <v>3565.94</v>
      </c>
      <c r="P25" s="2916">
        <v>17829.68</v>
      </c>
      <c r="Q25" s="2916">
        <v>51.09</v>
      </c>
      <c r="R25" s="2916" t="s">
        <v>3061</v>
      </c>
      <c r="S25" s="2916" t="s">
        <v>3062</v>
      </c>
    </row>
    <row r="26" spans="1:19">
      <c r="A26" s="2916" t="s">
        <v>3163</v>
      </c>
      <c r="B26" s="2916" t="s">
        <v>3034</v>
      </c>
      <c r="C26" s="2916" t="s">
        <v>3053</v>
      </c>
      <c r="D26" s="2916" t="s">
        <v>2819</v>
      </c>
      <c r="E26" s="2916" t="s">
        <v>3189</v>
      </c>
      <c r="F26" s="2916" t="s">
        <v>3190</v>
      </c>
      <c r="G26" s="2916" t="s">
        <v>3092</v>
      </c>
      <c r="H26" s="2916">
        <v>29341</v>
      </c>
      <c r="I26" s="2916">
        <v>35209.199999999997</v>
      </c>
      <c r="J26" s="2916" t="s">
        <v>3191</v>
      </c>
      <c r="K26" s="2916" t="s">
        <v>3167</v>
      </c>
      <c r="L26" s="2916" t="s">
        <v>3168</v>
      </c>
      <c r="M26" s="2916" t="s">
        <v>3192</v>
      </c>
      <c r="N26" s="2916">
        <v>36255</v>
      </c>
      <c r="O26" s="2916">
        <v>823.76</v>
      </c>
      <c r="P26" s="2916">
        <v>10297.02</v>
      </c>
      <c r="Q26" s="2916">
        <v>69.77</v>
      </c>
      <c r="R26" s="2916" t="s">
        <v>3170</v>
      </c>
      <c r="S26" s="2916" t="s">
        <v>3023</v>
      </c>
    </row>
    <row r="27" spans="1:19">
      <c r="A27" s="2916" t="s">
        <v>3193</v>
      </c>
      <c r="B27" s="2916" t="s">
        <v>3034</v>
      </c>
      <c r="C27" s="2916" t="s">
        <v>3053</v>
      </c>
      <c r="D27" s="2916" t="s">
        <v>2819</v>
      </c>
      <c r="E27" s="2916" t="s">
        <v>3194</v>
      </c>
      <c r="F27" s="2916" t="s">
        <v>3195</v>
      </c>
      <c r="G27" s="2916" t="s">
        <v>3196</v>
      </c>
      <c r="H27" s="2916">
        <v>88503</v>
      </c>
      <c r="I27" s="2916">
        <v>141605</v>
      </c>
      <c r="J27" s="2916" t="s">
        <v>3197</v>
      </c>
      <c r="K27" s="2916" t="s">
        <v>3198</v>
      </c>
      <c r="L27" s="2916" t="s">
        <v>3199</v>
      </c>
      <c r="M27" s="2916" t="s">
        <v>3200</v>
      </c>
      <c r="N27" s="2916">
        <v>197300</v>
      </c>
      <c r="O27" s="2916">
        <v>1486.2</v>
      </c>
      <c r="P27" s="2916">
        <v>13933.12</v>
      </c>
      <c r="Q27" s="2916">
        <v>3.19</v>
      </c>
      <c r="R27" s="2916" t="s">
        <v>3201</v>
      </c>
      <c r="S27" s="2916" t="s">
        <v>3024</v>
      </c>
    </row>
    <row r="28" spans="1:19">
      <c r="A28" s="2916" t="s">
        <v>3202</v>
      </c>
      <c r="B28" s="2916" t="s">
        <v>3034</v>
      </c>
      <c r="C28" s="2916" t="s">
        <v>3035</v>
      </c>
      <c r="D28" s="2916" t="s">
        <v>2819</v>
      </c>
      <c r="E28" s="2916" t="s">
        <v>3203</v>
      </c>
      <c r="F28" s="2916" t="s">
        <v>3204</v>
      </c>
      <c r="G28" s="2916" t="s">
        <v>3047</v>
      </c>
      <c r="H28" s="2916">
        <v>70129</v>
      </c>
      <c r="I28" s="2916">
        <v>196361.2</v>
      </c>
      <c r="J28" s="2916" t="s">
        <v>3205</v>
      </c>
      <c r="K28" s="2916" t="s">
        <v>3206</v>
      </c>
      <c r="L28" s="2916" t="s">
        <v>3207</v>
      </c>
      <c r="M28" s="2916" t="s">
        <v>3208</v>
      </c>
      <c r="N28" s="2916">
        <v>393890</v>
      </c>
      <c r="O28" s="2916">
        <v>3744.43</v>
      </c>
      <c r="P28" s="2916">
        <v>20059.45</v>
      </c>
      <c r="Q28" s="2916">
        <v>70</v>
      </c>
      <c r="R28" s="2916" t="s">
        <v>3052</v>
      </c>
      <c r="S28" s="2916" t="s">
        <v>3023</v>
      </c>
    </row>
    <row r="29" spans="1:19">
      <c r="A29" s="2916" t="s">
        <v>3209</v>
      </c>
      <c r="B29" s="2916" t="s">
        <v>3034</v>
      </c>
      <c r="C29" s="2916" t="s">
        <v>3053</v>
      </c>
      <c r="D29" s="2916" t="s">
        <v>2819</v>
      </c>
      <c r="E29" s="2916" t="s">
        <v>3210</v>
      </c>
      <c r="F29" s="2916" t="s">
        <v>3211</v>
      </c>
      <c r="G29" s="2916" t="s">
        <v>3212</v>
      </c>
      <c r="H29" s="2916">
        <v>143152</v>
      </c>
      <c r="I29" s="2916">
        <v>348216.2</v>
      </c>
      <c r="J29" s="2916" t="s">
        <v>3213</v>
      </c>
      <c r="K29" s="2916" t="s">
        <v>3214</v>
      </c>
      <c r="L29" s="2916" t="s">
        <v>3215</v>
      </c>
      <c r="M29" s="2916" t="s">
        <v>3216</v>
      </c>
      <c r="N29" s="2916">
        <v>282300</v>
      </c>
      <c r="O29" s="2916">
        <v>1314.69</v>
      </c>
      <c r="P29" s="2916">
        <v>8107.02</v>
      </c>
      <c r="Q29" s="2916">
        <v>62.3</v>
      </c>
      <c r="R29" s="2916" t="s">
        <v>3097</v>
      </c>
      <c r="S29" s="2916" t="s">
        <v>3062</v>
      </c>
    </row>
    <row r="30" spans="1:19">
      <c r="A30" s="2916" t="s">
        <v>3217</v>
      </c>
      <c r="B30" s="2916" t="s">
        <v>3034</v>
      </c>
      <c r="C30" s="2916" t="s">
        <v>3035</v>
      </c>
      <c r="D30" s="2916" t="s">
        <v>2819</v>
      </c>
      <c r="E30" s="2916" t="s">
        <v>3218</v>
      </c>
      <c r="F30" s="2916" t="s">
        <v>3219</v>
      </c>
      <c r="G30" s="2916" t="s">
        <v>3035</v>
      </c>
      <c r="H30" s="2916">
        <v>38232</v>
      </c>
      <c r="I30" s="2916">
        <v>61171.199999999997</v>
      </c>
      <c r="J30" s="2916" t="s">
        <v>3197</v>
      </c>
      <c r="K30" s="2916" t="s">
        <v>3214</v>
      </c>
      <c r="L30" s="2916" t="s">
        <v>3215</v>
      </c>
      <c r="M30" s="2916" t="s">
        <v>3220</v>
      </c>
      <c r="N30" s="2916">
        <v>51965</v>
      </c>
      <c r="O30" s="2916">
        <v>906.13</v>
      </c>
      <c r="P30" s="2916">
        <v>8495.01</v>
      </c>
      <c r="Q30" s="2916">
        <v>70</v>
      </c>
      <c r="R30" s="2916" t="s">
        <v>3052</v>
      </c>
      <c r="S30" s="2916" t="s">
        <v>3062</v>
      </c>
    </row>
    <row r="31" spans="1:19">
      <c r="A31" s="2916" t="s">
        <v>3221</v>
      </c>
      <c r="B31" s="2916" t="s">
        <v>3034</v>
      </c>
      <c r="C31" s="2916" t="s">
        <v>3053</v>
      </c>
      <c r="D31" s="2916" t="s">
        <v>2819</v>
      </c>
      <c r="E31" s="2916" t="s">
        <v>3222</v>
      </c>
      <c r="F31" s="2916" t="s">
        <v>3223</v>
      </c>
      <c r="G31" s="2916" t="s">
        <v>3224</v>
      </c>
      <c r="H31" s="2916">
        <v>106872</v>
      </c>
      <c r="I31" s="2916">
        <v>277867.2</v>
      </c>
      <c r="J31" s="2916" t="s">
        <v>3225</v>
      </c>
      <c r="K31" s="2916" t="s">
        <v>3226</v>
      </c>
      <c r="L31" s="2916" t="s">
        <v>3227</v>
      </c>
      <c r="M31" s="2916" t="s">
        <v>3228</v>
      </c>
      <c r="N31" s="2916">
        <v>637704</v>
      </c>
      <c r="O31" s="2916">
        <v>3977.99</v>
      </c>
      <c r="P31" s="2916">
        <v>22949.95</v>
      </c>
      <c r="Q31" s="2916">
        <v>70</v>
      </c>
      <c r="R31" s="2916" t="s">
        <v>3201</v>
      </c>
      <c r="S31" s="2916" t="s">
        <v>3023</v>
      </c>
    </row>
    <row r="32" spans="1:19">
      <c r="A32" s="2916" t="s">
        <v>3229</v>
      </c>
      <c r="B32" s="2916" t="s">
        <v>3034</v>
      </c>
      <c r="C32" s="2916" t="s">
        <v>3053</v>
      </c>
      <c r="D32" s="2916" t="s">
        <v>2819</v>
      </c>
      <c r="E32" s="2916" t="s">
        <v>3230</v>
      </c>
      <c r="F32" s="2916" t="s">
        <v>3231</v>
      </c>
      <c r="G32" s="2916" t="s">
        <v>3056</v>
      </c>
      <c r="H32" s="2916">
        <v>46353</v>
      </c>
      <c r="I32" s="2916">
        <v>115882.5</v>
      </c>
      <c r="J32" s="2916" t="s">
        <v>3093</v>
      </c>
      <c r="K32" s="2916" t="s">
        <v>3226</v>
      </c>
      <c r="L32" s="2916" t="s">
        <v>3232</v>
      </c>
      <c r="M32" s="2916" t="s">
        <v>3169</v>
      </c>
      <c r="N32" s="2916">
        <v>229500</v>
      </c>
      <c r="O32" s="2916">
        <v>3300.76</v>
      </c>
      <c r="P32" s="2916">
        <v>19804.54</v>
      </c>
      <c r="Q32" s="2916">
        <v>70</v>
      </c>
      <c r="R32" s="2916" t="s">
        <v>3201</v>
      </c>
      <c r="S32" s="2916" t="s">
        <v>3073</v>
      </c>
    </row>
    <row r="33" spans="1:19">
      <c r="A33" s="2916" t="s">
        <v>3074</v>
      </c>
      <c r="B33" s="2916" t="s">
        <v>3034</v>
      </c>
      <c r="C33" s="2916" t="s">
        <v>3053</v>
      </c>
      <c r="D33" s="2916" t="s">
        <v>2819</v>
      </c>
      <c r="E33" s="2916" t="s">
        <v>3233</v>
      </c>
      <c r="F33" s="2916" t="s">
        <v>3234</v>
      </c>
      <c r="G33" s="2916" t="s">
        <v>3077</v>
      </c>
      <c r="H33" s="2916">
        <v>74357</v>
      </c>
      <c r="I33" s="2916">
        <v>163585.4</v>
      </c>
      <c r="J33" s="2916" t="s">
        <v>3235</v>
      </c>
      <c r="K33" s="2916" t="s">
        <v>3226</v>
      </c>
      <c r="L33" s="2916" t="s">
        <v>3236</v>
      </c>
      <c r="M33" s="2916" t="s">
        <v>3237</v>
      </c>
      <c r="N33" s="2916">
        <v>141831</v>
      </c>
      <c r="O33" s="2916">
        <v>1271.6199999999999</v>
      </c>
      <c r="P33" s="2916">
        <v>8670.14</v>
      </c>
      <c r="Q33" s="2916">
        <v>70</v>
      </c>
      <c r="R33" s="2916" t="s">
        <v>3201</v>
      </c>
      <c r="S33" s="2916" t="s">
        <v>3023</v>
      </c>
    </row>
    <row r="34" spans="1:19">
      <c r="A34" s="2916" t="s">
        <v>3238</v>
      </c>
      <c r="B34" s="2916" t="s">
        <v>3034</v>
      </c>
      <c r="C34" s="2916" t="s">
        <v>3053</v>
      </c>
      <c r="D34" s="2916" t="s">
        <v>2819</v>
      </c>
      <c r="E34" s="2916" t="s">
        <v>3239</v>
      </c>
      <c r="F34" s="2916" t="s">
        <v>3240</v>
      </c>
      <c r="G34" s="2916" t="s">
        <v>3047</v>
      </c>
      <c r="H34" s="2916">
        <v>45394</v>
      </c>
      <c r="I34" s="2916">
        <v>113485</v>
      </c>
      <c r="J34" s="2916" t="s">
        <v>3241</v>
      </c>
      <c r="K34" s="2916" t="s">
        <v>3242</v>
      </c>
      <c r="L34" s="2916" t="s">
        <v>3243</v>
      </c>
      <c r="M34" s="2916" t="s">
        <v>3244</v>
      </c>
      <c r="N34" s="2916">
        <v>178200</v>
      </c>
      <c r="O34" s="2916">
        <v>2617.09</v>
      </c>
      <c r="P34" s="2916">
        <v>15702.52</v>
      </c>
      <c r="Q34" s="2916">
        <v>22.45</v>
      </c>
      <c r="R34" s="2916" t="s">
        <v>3201</v>
      </c>
      <c r="S34" s="2916" t="s">
        <v>3073</v>
      </c>
    </row>
    <row r="35" spans="1:19">
      <c r="A35" s="2916" t="s">
        <v>3245</v>
      </c>
      <c r="B35" s="2916" t="s">
        <v>3034</v>
      </c>
      <c r="C35" s="2916" t="s">
        <v>3053</v>
      </c>
      <c r="D35" s="2916" t="s">
        <v>2819</v>
      </c>
      <c r="E35" s="2916" t="s">
        <v>3246</v>
      </c>
      <c r="F35" s="2916" t="s">
        <v>3247</v>
      </c>
      <c r="G35" s="2916" t="s">
        <v>3047</v>
      </c>
      <c r="H35" s="2916">
        <v>22186</v>
      </c>
      <c r="I35" s="2916">
        <v>59902.2</v>
      </c>
      <c r="J35" s="2916" t="s">
        <v>3248</v>
      </c>
      <c r="K35" s="2916" t="s">
        <v>3242</v>
      </c>
      <c r="L35" s="2916" t="s">
        <v>3249</v>
      </c>
      <c r="M35" s="2916" t="s">
        <v>3250</v>
      </c>
      <c r="N35" s="2916">
        <v>149702</v>
      </c>
      <c r="O35" s="2916">
        <v>4498.3900000000003</v>
      </c>
      <c r="P35" s="2916">
        <v>24991.06</v>
      </c>
      <c r="Q35" s="2916">
        <v>70</v>
      </c>
      <c r="R35" s="2916" t="s">
        <v>3201</v>
      </c>
      <c r="S35" s="2916" t="s">
        <v>3073</v>
      </c>
    </row>
    <row r="36" spans="1:19">
      <c r="A36" s="2916" t="s">
        <v>3251</v>
      </c>
      <c r="B36" s="2916" t="s">
        <v>3034</v>
      </c>
      <c r="C36" s="2916" t="s">
        <v>3053</v>
      </c>
      <c r="D36" s="2916" t="s">
        <v>2819</v>
      </c>
      <c r="E36" s="2916" t="s">
        <v>3252</v>
      </c>
      <c r="F36" s="2916" t="s">
        <v>3253</v>
      </c>
      <c r="G36" s="2916" t="s">
        <v>3047</v>
      </c>
      <c r="H36" s="2916">
        <v>28608</v>
      </c>
      <c r="I36" s="2916">
        <v>62937.599999999999</v>
      </c>
      <c r="J36" s="2916" t="s">
        <v>3235</v>
      </c>
      <c r="K36" s="2916" t="s">
        <v>3242</v>
      </c>
      <c r="L36" s="2916" t="s">
        <v>3254</v>
      </c>
      <c r="M36" s="2916" t="s">
        <v>3255</v>
      </c>
      <c r="N36" s="2916">
        <v>137190</v>
      </c>
      <c r="O36" s="2916">
        <v>3197.01</v>
      </c>
      <c r="P36" s="2916">
        <v>21797.77</v>
      </c>
      <c r="Q36" s="2916">
        <v>70</v>
      </c>
      <c r="R36" s="2916" t="s">
        <v>3061</v>
      </c>
      <c r="S36" s="2916" t="s">
        <v>3073</v>
      </c>
    </row>
    <row r="37" spans="1:19">
      <c r="A37" s="2916" t="s">
        <v>3256</v>
      </c>
      <c r="B37" s="2916" t="s">
        <v>3034</v>
      </c>
      <c r="C37" s="2916" t="s">
        <v>3053</v>
      </c>
      <c r="D37" s="2916" t="s">
        <v>2819</v>
      </c>
      <c r="E37" s="2916" t="s">
        <v>3257</v>
      </c>
      <c r="F37" s="2916" t="s">
        <v>3258</v>
      </c>
      <c r="G37" s="2916" t="s">
        <v>3187</v>
      </c>
      <c r="H37" s="2916">
        <v>14432</v>
      </c>
      <c r="I37" s="2916">
        <v>43296</v>
      </c>
      <c r="J37" s="2916" t="s">
        <v>3259</v>
      </c>
      <c r="K37" s="2916" t="s">
        <v>3260</v>
      </c>
      <c r="L37" s="2916" t="s">
        <v>3261</v>
      </c>
      <c r="M37" s="2916" t="s">
        <v>3262</v>
      </c>
      <c r="N37" s="2916">
        <v>44163</v>
      </c>
      <c r="O37" s="2916">
        <v>2040.05</v>
      </c>
      <c r="P37" s="2916">
        <v>10200.25</v>
      </c>
      <c r="Q37" s="2916">
        <v>70</v>
      </c>
      <c r="R37" s="2916" t="s">
        <v>3061</v>
      </c>
      <c r="S37" s="2916" t="s">
        <v>3024</v>
      </c>
    </row>
    <row r="38" spans="1:19">
      <c r="A38" s="2916" t="s">
        <v>3263</v>
      </c>
      <c r="B38" s="2916" t="s">
        <v>3034</v>
      </c>
      <c r="C38" s="2916" t="s">
        <v>3053</v>
      </c>
      <c r="D38" s="2916" t="s">
        <v>2819</v>
      </c>
      <c r="E38" s="2916" t="s">
        <v>3264</v>
      </c>
      <c r="F38" s="2916" t="s">
        <v>3265</v>
      </c>
      <c r="G38" s="2916" t="s">
        <v>3266</v>
      </c>
      <c r="H38" s="2916">
        <v>27018</v>
      </c>
      <c r="I38" s="2916">
        <v>64843.199999999997</v>
      </c>
      <c r="J38" s="2916" t="s">
        <v>3267</v>
      </c>
      <c r="K38" s="2916" t="s">
        <v>3260</v>
      </c>
      <c r="L38" s="2916" t="s">
        <v>3268</v>
      </c>
      <c r="M38" s="2916" t="s">
        <v>3169</v>
      </c>
      <c r="N38" s="2916">
        <v>108000</v>
      </c>
      <c r="O38" s="2916">
        <v>2664.89</v>
      </c>
      <c r="P38" s="2916">
        <v>16655.560000000001</v>
      </c>
      <c r="Q38" s="2916">
        <v>41.18</v>
      </c>
      <c r="R38" s="2916" t="s">
        <v>3061</v>
      </c>
      <c r="S38" s="2916" t="s">
        <v>3024</v>
      </c>
    </row>
    <row r="39" spans="1:19">
      <c r="A39" s="2916" t="s">
        <v>3269</v>
      </c>
      <c r="B39" s="2916" t="s">
        <v>3034</v>
      </c>
      <c r="C39" s="2916" t="s">
        <v>3053</v>
      </c>
      <c r="D39" s="2916" t="s">
        <v>2819</v>
      </c>
      <c r="E39" s="2916" t="s">
        <v>3270</v>
      </c>
      <c r="F39" s="2916" t="s">
        <v>3271</v>
      </c>
      <c r="G39" s="2916" t="s">
        <v>3272</v>
      </c>
      <c r="H39" s="2916">
        <v>63742</v>
      </c>
      <c r="I39" s="2916">
        <v>140232.4</v>
      </c>
      <c r="J39" s="2916" t="s">
        <v>3235</v>
      </c>
      <c r="K39" s="2916" t="s">
        <v>3260</v>
      </c>
      <c r="L39" s="2916" t="s">
        <v>3273</v>
      </c>
      <c r="M39" s="2916" t="s">
        <v>3274</v>
      </c>
      <c r="N39" s="2916">
        <v>232500</v>
      </c>
      <c r="O39" s="2916">
        <v>2431.6799999999998</v>
      </c>
      <c r="P39" s="2916">
        <v>16579.61</v>
      </c>
      <c r="Q39" s="2916">
        <v>40.479999999999997</v>
      </c>
      <c r="R39" s="2916" t="s">
        <v>3061</v>
      </c>
      <c r="S39" s="2916" t="s">
        <v>3024</v>
      </c>
    </row>
    <row r="40" spans="1:19">
      <c r="A40" s="2916" t="s">
        <v>3275</v>
      </c>
      <c r="B40" s="2916" t="s">
        <v>3034</v>
      </c>
      <c r="C40" s="2916" t="s">
        <v>3035</v>
      </c>
      <c r="D40" s="2916" t="s">
        <v>2819</v>
      </c>
      <c r="E40" s="2916" t="s">
        <v>3276</v>
      </c>
      <c r="F40" s="2916" t="s">
        <v>3277</v>
      </c>
      <c r="G40" s="2916" t="s">
        <v>3047</v>
      </c>
      <c r="H40" s="2916">
        <v>50515</v>
      </c>
      <c r="I40" s="2916">
        <v>85875.5</v>
      </c>
      <c r="J40" s="2916" t="s">
        <v>3278</v>
      </c>
      <c r="K40" s="2916" t="s">
        <v>3260</v>
      </c>
      <c r="L40" s="2916" t="s">
        <v>3279</v>
      </c>
      <c r="M40" s="2916" t="s">
        <v>3169</v>
      </c>
      <c r="N40" s="2916">
        <v>214608</v>
      </c>
      <c r="O40" s="2916">
        <v>2832.27</v>
      </c>
      <c r="P40" s="2916">
        <v>24990.59</v>
      </c>
      <c r="Q40" s="2916">
        <v>70</v>
      </c>
      <c r="R40" s="2916" t="s">
        <v>3052</v>
      </c>
      <c r="S40" s="2916" t="s">
        <v>3073</v>
      </c>
    </row>
    <row r="41" spans="1:19">
      <c r="A41" s="2916" t="s">
        <v>3280</v>
      </c>
      <c r="B41" s="2916" t="s">
        <v>3034</v>
      </c>
      <c r="C41" s="2916" t="s">
        <v>3053</v>
      </c>
      <c r="D41" s="2916" t="s">
        <v>2819</v>
      </c>
      <c r="E41" s="2916" t="s">
        <v>3281</v>
      </c>
      <c r="F41" s="2916" t="s">
        <v>3282</v>
      </c>
      <c r="G41" s="2916" t="s">
        <v>3187</v>
      </c>
      <c r="H41" s="2916">
        <v>11417</v>
      </c>
      <c r="I41" s="2916">
        <v>37676.1</v>
      </c>
      <c r="J41" s="2916" t="s">
        <v>3283</v>
      </c>
      <c r="K41" s="2916" t="s">
        <v>3284</v>
      </c>
      <c r="L41" s="2916" t="s">
        <v>3285</v>
      </c>
      <c r="M41" s="2916" t="s">
        <v>3286</v>
      </c>
      <c r="N41" s="2916">
        <v>72338</v>
      </c>
      <c r="O41" s="2916">
        <v>4223.99</v>
      </c>
      <c r="P41" s="2916">
        <v>19199.97</v>
      </c>
      <c r="Q41" s="2916">
        <v>50</v>
      </c>
      <c r="R41" s="2916" t="s">
        <v>3052</v>
      </c>
      <c r="S41" s="2916" t="s">
        <v>3073</v>
      </c>
    </row>
    <row r="42" spans="1:19">
      <c r="A42" s="2916" t="s">
        <v>3287</v>
      </c>
      <c r="B42" s="2916" t="s">
        <v>3034</v>
      </c>
      <c r="C42" s="2916" t="s">
        <v>3053</v>
      </c>
      <c r="D42" s="2916" t="s">
        <v>2819</v>
      </c>
      <c r="E42" s="2916" t="s">
        <v>3288</v>
      </c>
      <c r="F42" s="2916" t="s">
        <v>3289</v>
      </c>
      <c r="G42" s="2916" t="s">
        <v>3153</v>
      </c>
      <c r="H42" s="2916">
        <v>16741</v>
      </c>
      <c r="I42" s="2916">
        <v>30133.8</v>
      </c>
      <c r="J42" s="2916" t="s">
        <v>3290</v>
      </c>
      <c r="K42" s="2916" t="s">
        <v>3284</v>
      </c>
      <c r="L42" s="2916" t="s">
        <v>3291</v>
      </c>
      <c r="M42" s="2916" t="s">
        <v>3292</v>
      </c>
      <c r="N42" s="2916">
        <v>8235</v>
      </c>
      <c r="O42" s="2916">
        <v>327.94</v>
      </c>
      <c r="P42" s="2916">
        <v>2732.8</v>
      </c>
      <c r="Q42" s="2916">
        <v>51.83</v>
      </c>
      <c r="R42" s="2916" t="s">
        <v>3052</v>
      </c>
      <c r="S42" s="2916" t="s">
        <v>3022</v>
      </c>
    </row>
    <row r="43" spans="1:19">
      <c r="A43" s="2916" t="s">
        <v>3293</v>
      </c>
      <c r="B43" s="2916" t="s">
        <v>3034</v>
      </c>
      <c r="C43" s="2916" t="s">
        <v>3035</v>
      </c>
      <c r="D43" s="2916" t="s">
        <v>2819</v>
      </c>
      <c r="E43" s="2916" t="s">
        <v>3294</v>
      </c>
      <c r="F43" s="2916" t="s">
        <v>3295</v>
      </c>
      <c r="G43" s="2916" t="s">
        <v>3047</v>
      </c>
      <c r="H43" s="2916">
        <v>26601.5</v>
      </c>
      <c r="I43" s="2916">
        <v>71824.05</v>
      </c>
      <c r="J43" s="2916">
        <v>2.7</v>
      </c>
      <c r="K43" s="2916" t="s">
        <v>3284</v>
      </c>
      <c r="L43" s="2916" t="s">
        <v>3295</v>
      </c>
      <c r="M43" s="2916" t="s">
        <v>3296</v>
      </c>
      <c r="N43" s="2916">
        <v>127129</v>
      </c>
      <c r="O43" s="2916">
        <v>3186.01</v>
      </c>
      <c r="P43" s="2916">
        <v>17700.060000000001</v>
      </c>
      <c r="Q43" s="2916">
        <v>50</v>
      </c>
      <c r="R43" s="2916" t="s">
        <v>3052</v>
      </c>
      <c r="S43" s="2916" t="s">
        <v>3062</v>
      </c>
    </row>
    <row r="44" spans="1:19">
      <c r="A44" s="2916" t="s">
        <v>3297</v>
      </c>
      <c r="B44" s="2916" t="s">
        <v>3034</v>
      </c>
      <c r="C44" s="2916" t="s">
        <v>3035</v>
      </c>
      <c r="D44" s="2916" t="s">
        <v>2819</v>
      </c>
      <c r="E44" s="2916" t="s">
        <v>3281</v>
      </c>
      <c r="F44" s="2916" t="s">
        <v>3298</v>
      </c>
      <c r="G44" s="2916" t="s">
        <v>3047</v>
      </c>
      <c r="H44" s="2916">
        <v>31600</v>
      </c>
      <c r="I44" s="2916">
        <v>79000</v>
      </c>
      <c r="J44" s="2916" t="s">
        <v>3093</v>
      </c>
      <c r="K44" s="2916" t="s">
        <v>3284</v>
      </c>
      <c r="L44" s="2916" t="s">
        <v>3299</v>
      </c>
      <c r="M44" s="2916" t="s">
        <v>3169</v>
      </c>
      <c r="N44" s="2916">
        <v>142199</v>
      </c>
      <c r="O44" s="2916">
        <v>2999.98</v>
      </c>
      <c r="P44" s="2916">
        <v>17999.86</v>
      </c>
      <c r="Q44" s="2916">
        <v>50</v>
      </c>
      <c r="R44" s="2916" t="s">
        <v>3052</v>
      </c>
      <c r="S44" s="2916" t="s">
        <v>3073</v>
      </c>
    </row>
    <row r="45" spans="1:19">
      <c r="A45" s="2916" t="s">
        <v>3300</v>
      </c>
      <c r="B45" s="2916" t="s">
        <v>3034</v>
      </c>
      <c r="C45" s="2916" t="s">
        <v>3035</v>
      </c>
      <c r="D45" s="2916" t="s">
        <v>2819</v>
      </c>
      <c r="E45" s="2916" t="s">
        <v>3301</v>
      </c>
      <c r="F45" s="2916" t="s">
        <v>3302</v>
      </c>
      <c r="G45" s="2916" t="s">
        <v>3092</v>
      </c>
      <c r="H45" s="2916">
        <v>84897</v>
      </c>
      <c r="I45" s="2916">
        <v>195263.1</v>
      </c>
      <c r="J45" s="2916" t="s">
        <v>3303</v>
      </c>
      <c r="K45" s="2916" t="s">
        <v>3304</v>
      </c>
      <c r="L45" s="2916" t="s">
        <v>3305</v>
      </c>
      <c r="M45" s="2916" t="s">
        <v>3306</v>
      </c>
      <c r="N45" s="2916">
        <v>100779</v>
      </c>
      <c r="O45" s="2916">
        <v>791.38</v>
      </c>
      <c r="P45" s="2916">
        <v>5161.18</v>
      </c>
      <c r="Q45" s="2916">
        <v>70</v>
      </c>
      <c r="R45" s="2916" t="s">
        <v>3052</v>
      </c>
      <c r="S45" s="2916" t="s">
        <v>3022</v>
      </c>
    </row>
    <row r="46" spans="1:19">
      <c r="A46" s="2916" t="s">
        <v>3307</v>
      </c>
      <c r="B46" s="2916" t="s">
        <v>3034</v>
      </c>
      <c r="C46" s="2916" t="s">
        <v>3053</v>
      </c>
      <c r="D46" s="2916" t="s">
        <v>2819</v>
      </c>
      <c r="E46" s="2916" t="s">
        <v>3308</v>
      </c>
      <c r="F46" s="2916" t="s">
        <v>3309</v>
      </c>
      <c r="G46" s="2916" t="s">
        <v>3178</v>
      </c>
      <c r="H46" s="2916">
        <v>8395</v>
      </c>
      <c r="I46" s="2916">
        <v>10074</v>
      </c>
      <c r="J46" s="2916" t="s">
        <v>3191</v>
      </c>
      <c r="K46" s="2916" t="s">
        <v>3304</v>
      </c>
      <c r="L46" s="2916" t="s">
        <v>3305</v>
      </c>
      <c r="M46" s="2916" t="s">
        <v>3310</v>
      </c>
      <c r="N46" s="2916">
        <v>4800</v>
      </c>
      <c r="O46" s="2916">
        <v>381.18</v>
      </c>
      <c r="P46" s="2916">
        <v>4764.7299999999996</v>
      </c>
      <c r="Q46" s="2916">
        <v>69.97</v>
      </c>
      <c r="R46" s="2916" t="s">
        <v>3052</v>
      </c>
      <c r="S46" s="2916" t="s">
        <v>3023</v>
      </c>
    </row>
    <row r="47" spans="1:19">
      <c r="A47" s="2916" t="s">
        <v>3311</v>
      </c>
      <c r="B47" s="2916" t="s">
        <v>3034</v>
      </c>
      <c r="C47" s="2916" t="s">
        <v>3053</v>
      </c>
      <c r="D47" s="2916" t="s">
        <v>2819</v>
      </c>
      <c r="E47" s="2916" t="s">
        <v>3312</v>
      </c>
      <c r="F47" s="2916" t="s">
        <v>3313</v>
      </c>
      <c r="G47" s="2916" t="s">
        <v>3153</v>
      </c>
      <c r="H47" s="2916">
        <v>48543</v>
      </c>
      <c r="I47" s="2916">
        <v>97086</v>
      </c>
      <c r="J47" s="2916" t="s">
        <v>3314</v>
      </c>
      <c r="K47" s="2916" t="s">
        <v>3315</v>
      </c>
      <c r="L47" s="2916" t="s">
        <v>3316</v>
      </c>
      <c r="M47" s="2916" t="s">
        <v>3317</v>
      </c>
      <c r="N47" s="2916">
        <v>49521</v>
      </c>
      <c r="O47" s="2916">
        <v>680.1</v>
      </c>
      <c r="P47" s="2916">
        <v>5100.7299999999996</v>
      </c>
      <c r="Q47" s="2916">
        <v>70</v>
      </c>
      <c r="R47" s="2916" t="s">
        <v>3318</v>
      </c>
      <c r="S47" s="2916" t="s">
        <v>3062</v>
      </c>
    </row>
    <row r="48" spans="1:19">
      <c r="A48" s="2916" t="s">
        <v>3319</v>
      </c>
      <c r="B48" s="2916" t="s">
        <v>3034</v>
      </c>
      <c r="C48" s="2916" t="s">
        <v>3035</v>
      </c>
      <c r="D48" s="2916" t="s">
        <v>2819</v>
      </c>
      <c r="E48" s="2916" t="s">
        <v>3320</v>
      </c>
      <c r="F48" s="2916" t="s">
        <v>3321</v>
      </c>
      <c r="G48" s="2916" t="s">
        <v>3322</v>
      </c>
      <c r="H48" s="2916">
        <v>53489</v>
      </c>
      <c r="I48" s="2916">
        <v>149769.20000000001</v>
      </c>
      <c r="J48" s="2916" t="s">
        <v>3205</v>
      </c>
      <c r="K48" s="2916" t="s">
        <v>3315</v>
      </c>
      <c r="L48" s="2916" t="s">
        <v>3323</v>
      </c>
      <c r="M48" s="2916" t="s">
        <v>3324</v>
      </c>
      <c r="N48" s="2916">
        <v>300437</v>
      </c>
      <c r="O48" s="2916">
        <v>3744.53</v>
      </c>
      <c r="P48" s="2916">
        <v>20060</v>
      </c>
      <c r="Q48" s="2916">
        <v>70</v>
      </c>
      <c r="R48" s="2916" t="s">
        <v>3052</v>
      </c>
      <c r="S48" s="2916" t="s">
        <v>3023</v>
      </c>
    </row>
    <row r="49" spans="1:19">
      <c r="A49" s="2916" t="s">
        <v>3129</v>
      </c>
      <c r="B49" s="2916" t="s">
        <v>3034</v>
      </c>
      <c r="C49" s="2916" t="s">
        <v>3035</v>
      </c>
      <c r="D49" s="2916" t="s">
        <v>2819</v>
      </c>
      <c r="E49" s="2916" t="s">
        <v>3129</v>
      </c>
      <c r="F49" s="2916" t="s">
        <v>3325</v>
      </c>
      <c r="G49" s="2916" t="s">
        <v>3047</v>
      </c>
      <c r="H49" s="2916">
        <v>47652</v>
      </c>
      <c r="I49" s="2916">
        <v>119130</v>
      </c>
      <c r="J49" s="2916">
        <v>2.5</v>
      </c>
      <c r="K49" s="2916" t="s">
        <v>3326</v>
      </c>
      <c r="L49" s="2916" t="s">
        <v>3325</v>
      </c>
      <c r="M49" s="2916" t="s">
        <v>3327</v>
      </c>
      <c r="N49" s="2916">
        <v>362005</v>
      </c>
      <c r="O49" s="2916">
        <v>5064.57</v>
      </c>
      <c r="P49" s="2916">
        <v>30387.38</v>
      </c>
      <c r="Q49" s="2916">
        <v>78.739999999999995</v>
      </c>
      <c r="R49" s="2916" t="s">
        <v>3052</v>
      </c>
      <c r="S49" s="2916" t="s">
        <v>3073</v>
      </c>
    </row>
    <row r="50" spans="1:19" s="3174" customFormat="1">
      <c r="A50" s="3174" t="s">
        <v>3129</v>
      </c>
      <c r="B50" s="3174" t="s">
        <v>3034</v>
      </c>
      <c r="C50" s="3174" t="s">
        <v>3035</v>
      </c>
      <c r="D50" s="3174" t="s">
        <v>2819</v>
      </c>
      <c r="E50" s="3174" t="s">
        <v>3129</v>
      </c>
      <c r="F50" s="3174" t="s">
        <v>3328</v>
      </c>
      <c r="G50" s="3174" t="s">
        <v>3047</v>
      </c>
      <c r="H50" s="3174">
        <v>47326</v>
      </c>
      <c r="I50" s="3174">
        <v>118315</v>
      </c>
      <c r="J50" s="3174">
        <v>2.5</v>
      </c>
      <c r="K50" s="3174" t="s">
        <v>3326</v>
      </c>
      <c r="L50" s="3174" t="s">
        <v>3328</v>
      </c>
      <c r="M50" s="3174" t="s">
        <v>3329</v>
      </c>
      <c r="N50" s="3174">
        <v>364600</v>
      </c>
      <c r="O50" s="3174">
        <v>5136.01</v>
      </c>
      <c r="P50" s="3174">
        <v>30816.04</v>
      </c>
      <c r="Q50" s="3174">
        <v>81.260000000000005</v>
      </c>
      <c r="R50" s="3174" t="s">
        <v>3052</v>
      </c>
      <c r="S50" s="3174" t="s">
        <v>3073</v>
      </c>
    </row>
    <row r="51" spans="1:19">
      <c r="A51" s="2916" t="s">
        <v>3330</v>
      </c>
      <c r="B51" s="2916" t="s">
        <v>3034</v>
      </c>
      <c r="C51" s="2916" t="s">
        <v>3053</v>
      </c>
      <c r="D51" s="2916" t="s">
        <v>2819</v>
      </c>
      <c r="E51" s="2916" t="s">
        <v>3330</v>
      </c>
      <c r="F51" s="2916" t="s">
        <v>3331</v>
      </c>
      <c r="G51" s="2916" t="s">
        <v>3187</v>
      </c>
      <c r="H51" s="2916">
        <v>48320</v>
      </c>
      <c r="I51" s="2916">
        <v>120800</v>
      </c>
      <c r="J51" s="2916">
        <v>2.5</v>
      </c>
      <c r="K51" s="2916" t="s">
        <v>3332</v>
      </c>
      <c r="L51" s="2916" t="s">
        <v>3331</v>
      </c>
      <c r="M51" s="2916" t="s">
        <v>3333</v>
      </c>
      <c r="N51" s="2916">
        <v>88200</v>
      </c>
      <c r="O51" s="2916">
        <v>1216.8900000000001</v>
      </c>
      <c r="P51" s="2916">
        <v>7301.31</v>
      </c>
      <c r="Q51" s="2916">
        <v>82.53</v>
      </c>
      <c r="R51" s="2916" t="s">
        <v>3201</v>
      </c>
      <c r="S51" s="2916" t="s">
        <v>3023</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C16" sqref="C16"/>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2039</v>
      </c>
      <c r="B1" s="3206"/>
      <c r="C1" s="3206"/>
      <c r="D1" s="3206"/>
      <c r="E1" s="3206"/>
      <c r="F1" s="3206"/>
      <c r="G1" s="3206"/>
      <c r="H1" s="3206"/>
      <c r="I1" s="3206"/>
      <c r="J1" s="3206"/>
      <c r="K1" s="3206"/>
      <c r="L1" s="3206"/>
      <c r="M1" s="3206"/>
      <c r="N1" s="3206"/>
      <c r="O1" s="3206"/>
      <c r="P1" s="3206"/>
      <c r="Q1" s="3206"/>
      <c r="R1" s="3206"/>
    </row>
    <row r="2" spans="1:18">
      <c r="A2" s="1808" t="s">
        <v>2041</v>
      </c>
      <c r="B2" s="1808"/>
      <c r="C2" s="1808"/>
      <c r="D2" s="1808"/>
      <c r="E2" s="1808"/>
      <c r="F2" s="1808"/>
      <c r="G2" s="1808"/>
      <c r="H2" s="1808"/>
      <c r="I2" s="1809"/>
      <c r="J2" s="1809"/>
      <c r="K2" s="1810" t="str">
        <f>"估价期日："&amp;TEXT(项目基本情况!D3,"yyyy年m月d日;;")</f>
        <v>估价期日：2019年1月25日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7" t="s">
        <v>2030</v>
      </c>
      <c r="B3" s="3207" t="s">
        <v>2732</v>
      </c>
      <c r="C3" s="3208" t="s">
        <v>2031</v>
      </c>
      <c r="D3" s="3207" t="s">
        <v>2736</v>
      </c>
      <c r="E3" s="3210" t="s">
        <v>2032</v>
      </c>
      <c r="F3" s="3210"/>
      <c r="G3" s="3210"/>
      <c r="H3" s="3210" t="s">
        <v>2033</v>
      </c>
      <c r="I3" s="3210"/>
      <c r="J3" s="3210"/>
      <c r="K3" s="3208" t="s">
        <v>2034</v>
      </c>
      <c r="L3" s="3208" t="s">
        <v>2035</v>
      </c>
      <c r="M3" s="3207" t="s">
        <v>2733</v>
      </c>
      <c r="N3" s="3209" t="str">
        <f>"（分摊）"&amp;项目基本情况!B16&amp;"国有建设用地使用权面积/㎡"</f>
        <v>（分摊）出让国有建设用地使用权面积/㎡</v>
      </c>
      <c r="O3" s="3207" t="s">
        <v>2064</v>
      </c>
      <c r="P3" s="3208" t="s">
        <v>2044</v>
      </c>
      <c r="Q3" s="3208" t="s">
        <v>2065</v>
      </c>
      <c r="R3" s="3208" t="s">
        <v>2036</v>
      </c>
    </row>
    <row r="4" spans="1:18" ht="36.75" customHeight="1">
      <c r="A4" s="3207"/>
      <c r="B4" s="3207"/>
      <c r="C4" s="3208"/>
      <c r="D4" s="3207"/>
      <c r="E4" s="2627" t="s">
        <v>2043</v>
      </c>
      <c r="F4" s="2627" t="s">
        <v>2745</v>
      </c>
      <c r="G4" s="2627" t="s">
        <v>2037</v>
      </c>
      <c r="H4" s="2627" t="s">
        <v>2038</v>
      </c>
      <c r="I4" s="2627" t="s">
        <v>2746</v>
      </c>
      <c r="J4" s="2627" t="s">
        <v>2037</v>
      </c>
      <c r="K4" s="3208"/>
      <c r="L4" s="3208"/>
      <c r="M4" s="3207"/>
      <c r="N4" s="3209"/>
      <c r="O4" s="3207"/>
      <c r="P4" s="3208"/>
      <c r="Q4" s="3208"/>
      <c r="R4" s="3208"/>
    </row>
    <row r="5" spans="1:18" ht="135" customHeight="1">
      <c r="A5" s="1944" t="s">
        <v>2656</v>
      </c>
      <c r="B5" s="2844" t="s">
        <v>2654</v>
      </c>
      <c r="C5" s="2626">
        <v>22</v>
      </c>
      <c r="D5" s="2625" t="s">
        <v>2655</v>
      </c>
      <c r="E5" s="1811">
        <f>项目基本情况!B12</f>
        <v>0</v>
      </c>
      <c r="F5" s="2625">
        <v>258</v>
      </c>
      <c r="G5" s="1811">
        <f>项目基本情况!B13</f>
        <v>0</v>
      </c>
      <c r="H5" s="2625">
        <v>1.5</v>
      </c>
      <c r="I5" s="2625">
        <v>1.5</v>
      </c>
      <c r="J5" s="2625">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47625</v>
      </c>
      <c r="O5" s="1811">
        <f>项目基本情况!C21</f>
        <v>183566.61000000002</v>
      </c>
      <c r="P5" s="1811">
        <f ca="1">结果表!E42</f>
        <v>65177</v>
      </c>
      <c r="Q5" s="1811">
        <f ca="1">结果表!D42</f>
        <v>16910</v>
      </c>
      <c r="R5" s="1812">
        <f ca="1">结果表!C42</f>
        <v>310405</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3">
        <f ca="1">结果表!O39</f>
        <v>310405</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3" t="str">
        <f>结果表!O40</f>
        <v>——</v>
      </c>
    </row>
    <row r="8" spans="1:18">
      <c r="A8" s="3203" t="str">
        <f>IF(项目基本情况!B9="市场价格","——",项目基本情况!E9)</f>
        <v>——</v>
      </c>
      <c r="B8" s="3204"/>
      <c r="C8" s="3204"/>
      <c r="D8" s="3204"/>
      <c r="E8" s="3204"/>
      <c r="F8" s="3204"/>
      <c r="G8" s="3204"/>
      <c r="H8" s="3204"/>
      <c r="I8" s="3204"/>
      <c r="J8" s="3204"/>
      <c r="K8" s="3204"/>
      <c r="L8" s="3204"/>
      <c r="M8" s="3204"/>
      <c r="N8" s="3204"/>
      <c r="O8" s="3204"/>
      <c r="P8" s="3204"/>
      <c r="Q8" s="3205"/>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12" t="s">
        <v>2066</v>
      </c>
      <c r="B1" s="3212"/>
      <c r="C1" s="3212"/>
      <c r="D1" s="3212"/>
    </row>
    <row r="2" spans="1:4" ht="47.25" customHeight="1">
      <c r="A2" s="3213" t="str">
        <f>"1.权利限制："&amp;项目基本情况!L24&amp;"未设定租赁等其他他项权利。"</f>
        <v>1.权利限制：根据估价对象《不动产权证书》原件、《国有土地使用权》复印件，截至估价期日，估价对象已设定抵押。未设定租赁等其他他项权利。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1" t="s">
        <v>2067</v>
      </c>
      <c r="B5" s="3211"/>
      <c r="C5" s="3211"/>
      <c r="D5" s="3211"/>
    </row>
    <row r="6" spans="1:4">
      <c r="A6" s="3212" t="s">
        <v>2045</v>
      </c>
      <c r="B6" s="3212"/>
      <c r="C6" s="3212"/>
      <c r="D6" s="3212"/>
    </row>
    <row r="7" spans="1:4" ht="33" customHeight="1">
      <c r="A7" s="3212" t="s">
        <v>2576</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1" t="s">
        <v>2069</v>
      </c>
      <c r="B12" s="3211"/>
      <c r="C12" s="3211"/>
      <c r="D12" s="3211"/>
    </row>
    <row r="13" spans="1:4">
      <c r="A13" s="3215" t="s">
        <v>2747</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2703</v>
      </c>
      <c r="B17" s="3212"/>
      <c r="C17" s="3212"/>
      <c r="D17" s="3212"/>
    </row>
    <row r="18" spans="1:4">
      <c r="A18" s="3212" t="s">
        <v>2695</v>
      </c>
      <c r="B18" s="3212"/>
      <c r="C18" s="3212"/>
      <c r="D18" s="3212"/>
    </row>
    <row r="19" spans="1:4">
      <c r="A19" s="2845" t="s">
        <v>2696</v>
      </c>
      <c r="B19" s="2845" t="s">
        <v>2697</v>
      </c>
      <c r="C19" s="2845" t="s">
        <v>2698</v>
      </c>
      <c r="D19" s="2845" t="s">
        <v>2699</v>
      </c>
    </row>
    <row r="20" spans="1:4">
      <c r="A20" s="2845" t="str">
        <f>项目基本情况!B4</f>
        <v>王鹏</v>
      </c>
      <c r="B20" s="2845">
        <f ca="1">项目基本情况!C4</f>
        <v>2002110030</v>
      </c>
      <c r="C20" s="2847"/>
      <c r="D20" s="1801" t="s">
        <v>2704</v>
      </c>
    </row>
    <row r="21" spans="1:4">
      <c r="A21" s="2845" t="str">
        <f>项目基本情况!D4</f>
        <v>郑燚</v>
      </c>
      <c r="B21" s="2845">
        <f ca="1">项目基本情况!E4</f>
        <v>2014110011</v>
      </c>
      <c r="C21" s="2847"/>
      <c r="D21" s="1801" t="s">
        <v>2705</v>
      </c>
    </row>
    <row r="23" spans="1:4">
      <c r="A23" s="3212" t="s">
        <v>2700</v>
      </c>
      <c r="B23" s="3212"/>
      <c r="C23" s="3212"/>
      <c r="D23" s="3212"/>
    </row>
    <row r="24" spans="1:4">
      <c r="A24" s="2845" t="s">
        <v>2696</v>
      </c>
      <c r="B24" s="2845" t="s">
        <v>2701</v>
      </c>
      <c r="C24" s="2845" t="s">
        <v>2698</v>
      </c>
      <c r="D24" s="2845" t="s">
        <v>2699</v>
      </c>
    </row>
    <row r="25" spans="1:4">
      <c r="A25" s="2848" t="s">
        <v>2702</v>
      </c>
      <c r="B25" s="2845" t="s">
        <v>952</v>
      </c>
      <c r="C25" s="2847"/>
      <c r="D25" s="1801" t="s">
        <v>2705</v>
      </c>
    </row>
    <row r="29" spans="1:4">
      <c r="D29" s="2846" t="s">
        <v>2040</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3" t="s">
        <v>53</v>
      </c>
      <c r="B15" s="3224" t="s">
        <v>846</v>
      </c>
      <c r="C15" s="3220"/>
    </row>
    <row r="16" spans="1:7" ht="14.25">
      <c r="A16" s="3223"/>
      <c r="B16" s="3221" t="s">
        <v>54</v>
      </c>
      <c r="C16" s="1172" t="s">
        <v>53</v>
      </c>
    </row>
    <row r="17" spans="1:3" ht="14.25">
      <c r="A17" s="3223"/>
      <c r="B17" s="3221"/>
      <c r="C17" s="1172" t="s">
        <v>55</v>
      </c>
    </row>
    <row r="18" spans="1:3" ht="14.25">
      <c r="A18" s="3223"/>
      <c r="B18" s="3221"/>
      <c r="C18" s="1172" t="s">
        <v>56</v>
      </c>
    </row>
    <row r="19" spans="1:3" ht="14.25">
      <c r="A19" s="3223"/>
      <c r="B19" s="3219" t="s">
        <v>57</v>
      </c>
      <c r="C19" s="3220"/>
    </row>
    <row r="20" spans="1:3" ht="14.25">
      <c r="A20" s="1173" t="s">
        <v>58</v>
      </c>
      <c r="B20" s="1174"/>
      <c r="C20" s="1175"/>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6" t="s">
        <v>837</v>
      </c>
    </row>
    <row r="25" spans="1:3" ht="14.25">
      <c r="A25" s="3222"/>
      <c r="B25" s="3226"/>
      <c r="C25" s="1176" t="s">
        <v>838</v>
      </c>
    </row>
    <row r="26" spans="1:3" ht="14.25">
      <c r="A26" s="3222"/>
      <c r="B26" s="3226"/>
      <c r="C26" s="1176" t="s">
        <v>839</v>
      </c>
    </row>
    <row r="27" spans="1:3" ht="14.25">
      <c r="A27" s="3222"/>
      <c r="B27" s="3226"/>
      <c r="C27" s="1176" t="s">
        <v>840</v>
      </c>
    </row>
    <row r="28" spans="1:3" ht="14.25">
      <c r="A28" s="3222"/>
      <c r="B28" s="3226"/>
      <c r="C28" s="1176" t="s">
        <v>841</v>
      </c>
    </row>
    <row r="29" spans="1:3" ht="14.25">
      <c r="A29" s="3222"/>
      <c r="B29" s="3226"/>
      <c r="C29" s="1176" t="s">
        <v>842</v>
      </c>
    </row>
    <row r="30" spans="1:3" ht="14.25">
      <c r="A30" s="3222"/>
      <c r="B30" s="3226"/>
      <c r="C30" s="1176" t="s">
        <v>843</v>
      </c>
    </row>
    <row r="31" spans="1:3" ht="14.25">
      <c r="A31" s="3222"/>
      <c r="B31" s="3226"/>
      <c r="C31" s="1176" t="s">
        <v>844</v>
      </c>
    </row>
    <row r="32" spans="1:3" ht="14.25">
      <c r="A32" s="3222"/>
      <c r="B32" s="3226"/>
      <c r="C32" s="1176" t="s">
        <v>1647</v>
      </c>
    </row>
    <row r="33" spans="1:3" ht="14.25">
      <c r="A33" s="3222"/>
      <c r="B33" s="3216" t="s">
        <v>1653</v>
      </c>
      <c r="C33" s="1176" t="s">
        <v>1648</v>
      </c>
    </row>
    <row r="34" spans="1:3" ht="14.25">
      <c r="A34" s="3222"/>
      <c r="B34" s="3217"/>
      <c r="C34" s="1181" t="s">
        <v>1649</v>
      </c>
    </row>
    <row r="35" spans="1:3" ht="14.25">
      <c r="A35" s="3222"/>
      <c r="B35" s="3217"/>
      <c r="C35" s="1182" t="s">
        <v>1650</v>
      </c>
    </row>
    <row r="36" spans="1:3" ht="14.25">
      <c r="A36" s="3222"/>
      <c r="B36" s="3217"/>
      <c r="C36" s="1182" t="s">
        <v>1651</v>
      </c>
    </row>
    <row r="37" spans="1:3" ht="14.25">
      <c r="A37" s="3222"/>
      <c r="B37" s="321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43495</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2984</v>
      </c>
      <c r="B14" s="3155">
        <f ca="1">IF(C14&lt;B2,"已过期",1120040230)</f>
        <v>1120040230</v>
      </c>
      <c r="C14" s="3159">
        <v>43835</v>
      </c>
      <c r="D14" s="3160" t="s">
        <v>2985</v>
      </c>
      <c r="E14" s="3155">
        <f ca="1">IF(F14&lt;B2,"已过期",98030020)</f>
        <v>98030020</v>
      </c>
      <c r="F14" s="3158">
        <v>47118</v>
      </c>
    </row>
    <row r="15" spans="1:6" ht="20.25" customHeight="1">
      <c r="A15" s="3155" t="s">
        <v>2575</v>
      </c>
      <c r="B15" s="3155">
        <f ca="1">IF(C15&lt;B2,"已过期",1120070085)</f>
        <v>1120070085</v>
      </c>
      <c r="C15" s="3159">
        <v>43814</v>
      </c>
      <c r="D15" s="3155" t="s">
        <v>2986</v>
      </c>
      <c r="E15" s="3155">
        <f ca="1">IF(F15&lt;B2,"已过期",2004110128)</f>
        <v>2004110128</v>
      </c>
      <c r="F15" s="3161">
        <v>47118</v>
      </c>
    </row>
    <row r="16" spans="1:6" ht="20.25" customHeight="1">
      <c r="A16" s="3155" t="s">
        <v>1924</v>
      </c>
      <c r="B16" s="3155">
        <f ca="1">IF(C16&lt;B2,"已过期",1120140022)</f>
        <v>1120140022</v>
      </c>
      <c r="C16" s="3157">
        <v>44029</v>
      </c>
      <c r="D16" s="3155" t="s">
        <v>2987</v>
      </c>
      <c r="E16" s="3155">
        <f ca="1">IF(F16&lt;B2,"已过期",2008110059)</f>
        <v>2008110059</v>
      </c>
      <c r="F16" s="3158">
        <v>47177</v>
      </c>
    </row>
    <row r="17" spans="1:7" ht="20.25" customHeight="1">
      <c r="A17" s="3155"/>
      <c r="B17" s="3155"/>
      <c r="C17" s="3157"/>
      <c r="D17" s="3160" t="s">
        <v>2988</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2054</v>
      </c>
      <c r="B24" s="3154" t="s">
        <v>2054</v>
      </c>
      <c r="C24" s="3157"/>
      <c r="D24" s="3162" t="s">
        <v>2054</v>
      </c>
      <c r="E24" s="3154" t="s">
        <v>2054</v>
      </c>
      <c r="F24" s="3161"/>
    </row>
    <row r="25" spans="1:7" ht="20.25" customHeight="1">
      <c r="A25" s="3227" t="s">
        <v>1927</v>
      </c>
      <c r="B25" s="3227"/>
      <c r="C25" s="3227"/>
      <c r="D25" s="3227"/>
      <c r="E25" s="3227"/>
      <c r="F25" s="3227"/>
      <c r="G25" s="3227"/>
    </row>
    <row r="26" spans="1:7" ht="20.25" customHeight="1">
      <c r="A26" s="3228" t="s">
        <v>1928</v>
      </c>
      <c r="B26" s="3228"/>
      <c r="C26" s="3228"/>
      <c r="D26" s="3228" t="s">
        <v>1929</v>
      </c>
      <c r="E26" s="3228"/>
      <c r="F26" s="3228"/>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2946</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2546</v>
      </c>
      <c r="R1" s="2560"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7" t="s">
        <v>2958</v>
      </c>
      <c r="C18" s="1555"/>
    </row>
    <row r="19" spans="1:3">
      <c r="A19" s="8" t="s">
        <v>120</v>
      </c>
      <c r="B19" s="3087" t="s">
        <v>2966</v>
      </c>
      <c r="C19" s="1555"/>
    </row>
    <row r="20" spans="1:3">
      <c r="A20" s="8" t="s">
        <v>121</v>
      </c>
      <c r="B20" s="3087" t="s">
        <v>3393</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29"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25日，在规划利用条件下、设定土地开发程度为红线外“七通”、宗地内场地，设定用途为，剩余土地使用年限为的出让国有建设用地使用权价格。</v>
      </c>
      <c r="D53" s="1768"/>
      <c r="E53" s="1768"/>
    </row>
    <row r="54" spans="1:5">
      <c r="A54" s="3229"/>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9"/>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9"/>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9"/>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不动产收益法车库</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2019-01-30T05:15:58Z</dcterms:modified>
</cp:coreProperties>
</file>