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6.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68贵阳经济技术开发区黔江路恒大贵阳项目\"/>
    </mc:Choice>
  </mc:AlternateContent>
  <xr:revisionPtr revIDLastSave="0" documentId="13_ncr:1_{52DA3981-EBB5-4188-BEFA-B9BE5627DBE6}" xr6:coauthVersionLast="47" xr6:coauthVersionMax="47" xr10:uidLastSave="{00000000-0000-0000-0000-000000000000}"/>
  <bookViews>
    <workbookView xWindow="-120" yWindow="-120" windowWidth="29040" windowHeight="15840" tabRatio="917" firstSheet="11"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4" r:id="rId14"/>
    <sheet name="最终面积" sheetId="90" r:id="rId15"/>
    <sheet name="位置" sheetId="87" r:id="rId16"/>
    <sheet name="数据-汇总表" sheetId="6" r:id="rId17"/>
    <sheet name="数据-取费表" sheetId="1" r:id="rId18"/>
    <sheet name="估价对象房地状况" sheetId="20" state="hidden" r:id="rId19"/>
    <sheet name="系统读取表" sheetId="74" r:id="rId20"/>
    <sheet name="结果表" sheetId="9"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土地比较法-住宅、综合" sheetId="39"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土地案例" sheetId="88" r:id="rId36"/>
    <sheet name="假设开发法" sheetId="12" r:id="rId37"/>
    <sheet name="比较法-住宅" sheetId="21" r:id="rId38"/>
    <sheet name="住宅案例" sheetId="89" r:id="rId39"/>
    <sheet name="比较法-车位" sheetId="35" r:id="rId40"/>
    <sheet name="收益法-商业" sheetId="15" r:id="rId41"/>
    <sheet name="收益法-车库" sheetId="85"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31" hidden="1">'比较法-办公'!$A$1:$L$50</definedName>
    <definedName name="_xlnm._FilterDatabase" localSheetId="33" hidden="1">'比较法-仓储'!$A$1:$L$37</definedName>
    <definedName name="_xlnm._FilterDatabase" localSheetId="39" hidden="1">'比较法-车位'!$A$1:$L$39</definedName>
    <definedName name="_xlnm._FilterDatabase" localSheetId="32" hidden="1">'比较法-工业'!$A$1:$L$43</definedName>
    <definedName name="_xlnm._FilterDatabase" localSheetId="30" hidden="1">'比较法-商业'!$A$1:$L$49</definedName>
    <definedName name="_xlnm._FilterDatabase" localSheetId="37" hidden="1">'比较法-住宅'!$A$1:$L$49</definedName>
    <definedName name="_xlnm._FilterDatabase" localSheetId="45"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29"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9">'比较法-车位'!$A$1:$K$44,'比较法-车位'!$A$47:$M$102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37">'比较法-住宅'!$A$1:$K$54,'比较法-住宅'!$A$57:$M$131</definedName>
    <definedName name="_xlnm.Print_Area" localSheetId="45">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36">假设开发法!$A$1:$K$37</definedName>
    <definedName name="_xlnm.Print_Area" localSheetId="20">结果表!$A$1:$I$127</definedName>
    <definedName name="_xlnm.Print_Area" localSheetId="44">'剩余法（现房）'!$A$1:$K$34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41">'收益法-车库'!$A$1:$F$53,'收益法-车库'!$H$3:$M$37,'收益法-车库'!$A$55:$F$84,'收益法-车库'!$I$55:$N$74</definedName>
    <definedName name="_xlnm.Print_Area" localSheetId="40">'收益法-商业'!$A$1:$F$53,'收益法-商业'!$H$3:$M$37,'收益法-商业'!$A$55:$F$84,'收益法-商业'!$I$55:$N$74</definedName>
    <definedName name="_xlnm.Print_Area" localSheetId="16">'数据-汇总表'!$A$1:$P$32</definedName>
    <definedName name="_xlnm.Print_Area" localSheetId="34">'土地比较法-工业'!$A$1:$K$63,'土地比较法-工业'!$A$66:$M$123</definedName>
    <definedName name="_xlnm.Print_Area" localSheetId="29">'土地比较法-住宅、综合'!$A$1:$K$67,'土地比较法-住宅、综合'!$A$70:$M$133</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C14" i="74"/>
  <c r="B14" i="74"/>
  <c r="M16" i="3"/>
  <c r="G22" i="6" s="1"/>
  <c r="L23" i="1"/>
  <c r="D15" i="74" l="1"/>
  <c r="AD13" i="3" l="1"/>
  <c r="K15" i="3"/>
  <c r="I13" i="3"/>
  <c r="R2" i="90"/>
  <c r="Q2" i="90"/>
  <c r="N18" i="84"/>
  <c r="N17" i="84"/>
  <c r="M19" i="84" l="1"/>
  <c r="M17" i="84"/>
  <c r="N30" i="84"/>
  <c r="N11" i="84" s="1"/>
  <c r="M11" i="84" s="1"/>
  <c r="G36" i="6"/>
  <c r="N10" i="84" l="1"/>
  <c r="M10" i="84" s="1"/>
  <c r="N9" i="84"/>
  <c r="M9" i="84" s="1"/>
  <c r="N7" i="1" l="1"/>
  <c r="N8" i="1" s="1"/>
  <c r="N9" i="1" s="1"/>
  <c r="I51" i="21"/>
  <c r="I37" i="21" s="1"/>
  <c r="G51" i="21"/>
  <c r="G37" i="21" s="1"/>
  <c r="E51" i="21"/>
  <c r="E37" i="21" s="1"/>
  <c r="U21" i="1" l="1"/>
  <c r="Q83" i="85" l="1"/>
  <c r="D83" i="85"/>
  <c r="F69" i="85"/>
  <c r="Q68" i="85"/>
  <c r="K68" i="85"/>
  <c r="P85" i="85" s="1"/>
  <c r="F68" i="85"/>
  <c r="Q67" i="85"/>
  <c r="B63" i="85"/>
  <c r="Q60" i="85"/>
  <c r="J59" i="85"/>
  <c r="J60" i="85" s="1"/>
  <c r="M56" i="85"/>
  <c r="F66" i="85" s="1"/>
  <c r="D55" i="85"/>
  <c r="C50" i="85"/>
  <c r="F45" i="85"/>
  <c r="D44" i="85" s="1"/>
  <c r="F43" i="85"/>
  <c r="C43" i="85" s="1"/>
  <c r="F42" i="85"/>
  <c r="F41" i="85"/>
  <c r="F40" i="85"/>
  <c r="F39" i="85"/>
  <c r="F37" i="85"/>
  <c r="K32" i="85"/>
  <c r="F31" i="85"/>
  <c r="E31" i="85"/>
  <c r="M19" i="85"/>
  <c r="F19" i="85"/>
  <c r="F71" i="85" s="1"/>
  <c r="E14" i="85"/>
  <c r="L14" i="85" s="1"/>
  <c r="I11" i="85"/>
  <c r="B11" i="85"/>
  <c r="D45" i="85" l="1"/>
  <c r="D46" i="85"/>
  <c r="F14" i="85"/>
  <c r="M14" i="85"/>
  <c r="E66" i="85"/>
  <c r="P70" i="85"/>
  <c r="C22" i="6" l="1"/>
  <c r="C21" i="6"/>
  <c r="C20" i="6"/>
  <c r="C19" i="6"/>
  <c r="S11" i="84"/>
  <c r="F21" i="6"/>
  <c r="F20" i="6"/>
  <c r="S10" i="84"/>
  <c r="P9" i="84"/>
  <c r="T16" i="84" s="1"/>
  <c r="A3" i="3"/>
  <c r="O6" i="79"/>
  <c r="N6" i="79"/>
  <c r="M6" i="79"/>
  <c r="P6" i="79" s="1"/>
  <c r="L6" i="79"/>
  <c r="K6" i="79"/>
  <c r="N41" i="79"/>
  <c r="M41" i="79"/>
  <c r="P41" i="79" s="1"/>
  <c r="L41" i="79"/>
  <c r="N40" i="79"/>
  <c r="M40" i="79"/>
  <c r="P40" i="79" s="1"/>
  <c r="L40" i="79"/>
  <c r="N39" i="79"/>
  <c r="M39" i="79"/>
  <c r="P39" i="79" s="1"/>
  <c r="L39" i="79"/>
  <c r="N38" i="79"/>
  <c r="M38" i="79"/>
  <c r="P38" i="79" s="1"/>
  <c r="L38" i="79"/>
  <c r="F19" i="6" l="1"/>
  <c r="Q10" i="84"/>
  <c r="Q11" i="84"/>
  <c r="P10" i="84"/>
  <c r="P11" i="84"/>
  <c r="G110" i="34"/>
  <c r="H110" i="34"/>
  <c r="I110" i="34"/>
  <c r="J110" i="34"/>
  <c r="K110" i="34"/>
  <c r="G111" i="21"/>
  <c r="H111" i="21"/>
  <c r="I111" i="21"/>
  <c r="J111" i="21"/>
  <c r="K111" i="21"/>
  <c r="R11" i="84" l="1"/>
  <c r="R10" i="84"/>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F18" i="85" l="1"/>
  <c r="F70" i="85" s="1"/>
  <c r="M18" i="85"/>
  <c r="E15" i="77"/>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37" i="79"/>
  <c r="AG37" i="79" s="1"/>
  <c r="S43" i="79"/>
  <c r="AG43" i="79" s="1"/>
  <c r="S38" i="79"/>
  <c r="AG38" i="79" s="1"/>
  <c r="S42" i="79"/>
  <c r="AG42" i="79" s="1"/>
  <c r="S39" i="79"/>
  <c r="AG39" i="79" s="1"/>
  <c r="S40" i="79"/>
  <c r="AG40" i="79" s="1"/>
  <c r="AA35" i="79"/>
  <c r="AD35" i="79" s="1"/>
  <c r="T48" i="79"/>
  <c r="U54" i="79"/>
  <c r="AI54" i="79" s="1"/>
  <c r="AD55" i="79"/>
  <c r="S56" i="79"/>
  <c r="AG56" i="79" s="1"/>
  <c r="U58" i="79"/>
  <c r="AI58" i="79" s="1"/>
  <c r="AD59" i="79"/>
  <c r="AD43" i="79"/>
  <c r="AD45" i="79"/>
  <c r="AD42" i="79"/>
  <c r="AD46" i="79"/>
  <c r="AD44" i="79"/>
  <c r="AR48" i="79"/>
  <c r="AR49" i="79" s="1"/>
  <c r="AR50" i="79" s="1"/>
  <c r="AR51" i="79" s="1"/>
  <c r="AR52" i="79" s="1"/>
  <c r="AR53" i="79" s="1"/>
  <c r="AR54" i="79" s="1"/>
  <c r="AR55" i="79" s="1"/>
  <c r="AR56" i="79" s="1"/>
  <c r="AR57" i="79" s="1"/>
  <c r="AR58" i="79" s="1"/>
  <c r="AR59" i="79" s="1"/>
  <c r="AR60" i="79" s="1"/>
  <c r="T40" i="79"/>
  <c r="T39" i="79"/>
  <c r="T42" i="79"/>
  <c r="T38" i="79"/>
  <c r="T43" i="79"/>
  <c r="T41" i="79"/>
  <c r="T37" i="79"/>
  <c r="N35" i="79"/>
  <c r="U37" i="79"/>
  <c r="AI37" i="79" s="1"/>
  <c r="U38" i="79"/>
  <c r="AI38" i="79" s="1"/>
  <c r="U39" i="79"/>
  <c r="AI39" i="79" s="1"/>
  <c r="U42" i="79"/>
  <c r="AI42" i="79" s="1"/>
  <c r="U41" i="79"/>
  <c r="AI41"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W39" i="79"/>
  <c r="AK39" i="79" s="1"/>
  <c r="AH39" i="79"/>
  <c r="W42" i="79"/>
  <c r="AK42" i="79" s="1"/>
  <c r="AH42" i="79"/>
  <c r="W43" i="79"/>
  <c r="AK43" i="79" s="1"/>
  <c r="AH43" i="79"/>
  <c r="AH40" i="79"/>
  <c r="W40" i="79"/>
  <c r="AK40" i="79" s="1"/>
  <c r="AH37" i="79"/>
  <c r="W37" i="79"/>
  <c r="AK37" i="79" s="1"/>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D30" i="71"/>
  <c r="D50" i="71"/>
  <c r="P28" i="71"/>
  <c r="U68" i="71"/>
  <c r="E67" i="71"/>
  <c r="E66" i="71" s="1"/>
  <c r="Q28" i="71"/>
  <c r="C63" i="71"/>
  <c r="C64" i="71" s="1"/>
  <c r="D62" i="71"/>
  <c r="T68" i="71"/>
  <c r="O68" i="71"/>
  <c r="D68" i="71"/>
  <c r="C67" i="71"/>
  <c r="D67" i="71" s="1"/>
  <c r="Q68" i="71"/>
  <c r="E71" i="71"/>
  <c r="E70" i="71"/>
  <c r="C75" i="71"/>
  <c r="D76" i="71"/>
  <c r="D80" i="71"/>
  <c r="C87" i="71"/>
  <c r="C86" i="71" s="1"/>
  <c r="D86" i="71" s="1"/>
  <c r="F28" i="71"/>
  <c r="F27" i="71"/>
  <c r="F26"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7" i="40" s="1"/>
  <c r="C22" i="20"/>
  <c r="B100" i="43" s="1"/>
  <c r="S21" i="34"/>
  <c r="H27" i="40"/>
  <c r="AB27" i="40" s="1"/>
  <c r="J27" i="40"/>
  <c r="W27" i="40" s="1"/>
  <c r="H31" i="39"/>
  <c r="AB31" i="39" s="1"/>
  <c r="J31" i="39"/>
  <c r="AC31" i="39" s="1"/>
  <c r="J18" i="36"/>
  <c r="AC18" i="36" s="1"/>
  <c r="H18" i="35"/>
  <c r="AB18" i="35" s="1"/>
  <c r="J18" i="35"/>
  <c r="W18" i="35" s="1"/>
  <c r="H21" i="37"/>
  <c r="F21" i="37"/>
  <c r="AA21" i="37" s="1"/>
  <c r="H21" i="34"/>
  <c r="AB21" i="34" s="1"/>
  <c r="H21" i="33"/>
  <c r="U21" i="33" s="1"/>
  <c r="F21" i="33"/>
  <c r="H1" i="69"/>
  <c r="AC27" i="40"/>
  <c r="W18" i="36"/>
  <c r="AB21" i="37"/>
  <c r="U21" i="37"/>
  <c r="S21" i="37"/>
  <c r="U21" i="34"/>
  <c r="AB21" i="33"/>
  <c r="AA21" i="33"/>
  <c r="S21" i="33"/>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5" i="3" s="1"/>
  <c r="BS16" i="3"/>
  <c r="BS17" i="3"/>
  <c r="BR14" i="3"/>
  <c r="BR15" i="3"/>
  <c r="BR16" i="3"/>
  <c r="BR17" i="3"/>
  <c r="BT13" i="3"/>
  <c r="BT14" i="3"/>
  <c r="BT5" i="3" s="1"/>
  <c r="BT15" i="3"/>
  <c r="BT16" i="3"/>
  <c r="BT17" i="3"/>
  <c r="BM14" i="3"/>
  <c r="BM15" i="3"/>
  <c r="BM16" i="3"/>
  <c r="BM17" i="3"/>
  <c r="BO13" i="3"/>
  <c r="BO14" i="3"/>
  <c r="BO15" i="3"/>
  <c r="BO16" i="3"/>
  <c r="BO17" i="3"/>
  <c r="BN13" i="3"/>
  <c r="BN14" i="3"/>
  <c r="BN15" i="3"/>
  <c r="BN16" i="3"/>
  <c r="BN5" i="3" s="1"/>
  <c r="BN17" i="3"/>
  <c r="BP13" i="3"/>
  <c r="BP14" i="3"/>
  <c r="BP15" i="3"/>
  <c r="BP5" i="3" s="1"/>
  <c r="BP16" i="3"/>
  <c r="BP17" i="3"/>
  <c r="E19" i="6"/>
  <c r="K6" i="1" s="1"/>
  <c r="E20" i="6"/>
  <c r="E21" i="6"/>
  <c r="K8" i="1"/>
  <c r="M8" i="1" s="1"/>
  <c r="F45" i="15"/>
  <c r="D46" i="15" s="1"/>
  <c r="E22" i="6"/>
  <c r="K9" i="1" s="1"/>
  <c r="M9" i="1" s="1"/>
  <c r="E23" i="6"/>
  <c r="K10" i="1" s="1"/>
  <c r="M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5" i="3" s="1"/>
  <c r="H14" i="3"/>
  <c r="AC14" i="3"/>
  <c r="H15" i="3"/>
  <c r="AC15" i="3"/>
  <c r="H16" i="3"/>
  <c r="G16" i="3" s="1"/>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A582" i="3" s="1"/>
  <c r="AZ582" i="3" s="1"/>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F38" i="39" s="1"/>
  <c r="S38"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AB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S40" i="40" s="1"/>
  <c r="D117" i="40"/>
  <c r="E117" i="40" s="1"/>
  <c r="F117" i="40" s="1"/>
  <c r="G117" i="40"/>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U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F12" i="35" s="1"/>
  <c r="B131" i="34"/>
  <c r="B129" i="34"/>
  <c r="F46" i="34" s="1"/>
  <c r="B127" i="34"/>
  <c r="B99" i="34"/>
  <c r="B97" i="34"/>
  <c r="B95" i="34"/>
  <c r="F30" i="34" s="1"/>
  <c r="S30" i="34" s="1"/>
  <c r="B93" i="34"/>
  <c r="B75" i="34"/>
  <c r="B73" i="34"/>
  <c r="B71" i="34"/>
  <c r="J12" i="34" s="1"/>
  <c r="W12" i="34" s="1"/>
  <c r="B130" i="33"/>
  <c r="B128" i="33"/>
  <c r="B126" i="33"/>
  <c r="B98" i="33"/>
  <c r="H31" i="33" s="1"/>
  <c r="B96" i="33"/>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H19" i="21" s="1"/>
  <c r="D77" i="21"/>
  <c r="E77" i="21" s="1"/>
  <c r="B130" i="21"/>
  <c r="B128" i="21"/>
  <c r="J45" i="21"/>
  <c r="W45" i="21" s="1"/>
  <c r="B126" i="2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J19" i="21"/>
  <c r="AC19" i="21" s="1"/>
  <c r="J26" i="21"/>
  <c r="W26" i="21"/>
  <c r="F26" i="21"/>
  <c r="S26" i="21"/>
  <c r="S41" i="21"/>
  <c r="AA41" i="21"/>
  <c r="F47" i="39"/>
  <c r="S47" i="39" s="1"/>
  <c r="J47" i="39"/>
  <c r="W47" i="39" s="1"/>
  <c r="J46" i="39"/>
  <c r="AC46" i="39" s="1"/>
  <c r="J37" i="39"/>
  <c r="AC37" i="39" s="1"/>
  <c r="F37" i="39"/>
  <c r="AA37" i="39"/>
  <c r="U30" i="37"/>
  <c r="E103" i="37"/>
  <c r="F103" i="37" s="1"/>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3" i="33"/>
  <c r="U35" i="33"/>
  <c r="S40" i="33"/>
  <c r="W33" i="33"/>
  <c r="W39" i="33"/>
  <c r="H39" i="37"/>
  <c r="AB39" i="37"/>
  <c r="S27" i="35"/>
  <c r="F13" i="40"/>
  <c r="AA13" i="40" s="1"/>
  <c r="H13" i="40"/>
  <c r="AB13" i="40" s="1"/>
  <c r="W10" i="40"/>
  <c r="AA11" i="40"/>
  <c r="U11" i="40"/>
  <c r="S36" i="40"/>
  <c r="U40" i="40"/>
  <c r="W33" i="40"/>
  <c r="U36" i="40"/>
  <c r="F44" i="39"/>
  <c r="AA44" i="39" s="1"/>
  <c r="F43" i="39"/>
  <c r="S43" i="39" s="1"/>
  <c r="H42" i="39"/>
  <c r="AB42" i="39" s="1"/>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W19" i="39" s="1"/>
  <c r="F11" i="21"/>
  <c r="S11" i="21" s="1"/>
  <c r="U34" i="21"/>
  <c r="C27" i="39"/>
  <c r="H32" i="33"/>
  <c r="AB32" i="33"/>
  <c r="H11" i="21"/>
  <c r="U11" i="21" s="1"/>
  <c r="J11" i="21"/>
  <c r="W11" i="21" s="1"/>
  <c r="H39" i="40"/>
  <c r="U39" i="40" s="1"/>
  <c r="H38" i="40"/>
  <c r="AB38" i="40" s="1"/>
  <c r="F37" i="40"/>
  <c r="AA37" i="40"/>
  <c r="H25" i="40"/>
  <c r="AB25" i="40" s="1"/>
  <c r="H19" i="40"/>
  <c r="U19" i="40" s="1"/>
  <c r="J17" i="40"/>
  <c r="W17" i="40" s="1"/>
  <c r="J13" i="40"/>
  <c r="W13" i="40"/>
  <c r="AB12" i="35"/>
  <c r="AB12" i="36"/>
  <c r="W34" i="40"/>
  <c r="F39" i="39"/>
  <c r="AA39" i="39" s="1"/>
  <c r="J34" i="36"/>
  <c r="W34" i="36" s="1"/>
  <c r="U30" i="36"/>
  <c r="J30" i="35"/>
  <c r="W30" i="35" s="1"/>
  <c r="H30" i="35"/>
  <c r="AB30" i="35" s="1"/>
  <c r="F22" i="35"/>
  <c r="AA22" i="35"/>
  <c r="H10" i="35"/>
  <c r="U10" i="35"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H29" i="35"/>
  <c r="AB29" i="35" s="1"/>
  <c r="H33" i="37"/>
  <c r="F33" i="37"/>
  <c r="AA33" i="37" s="1"/>
  <c r="U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H37" i="33"/>
  <c r="AB37" i="33"/>
  <c r="H15" i="33"/>
  <c r="AB15" i="33" s="1"/>
  <c r="H11" i="33"/>
  <c r="AB11" i="33" s="1"/>
  <c r="F30" i="40"/>
  <c r="AA30" i="40"/>
  <c r="S42" i="34"/>
  <c r="AC38" i="34"/>
  <c r="J37" i="34"/>
  <c r="AC37" i="34" s="1"/>
  <c r="J11" i="33"/>
  <c r="W11" i="33" s="1"/>
  <c r="S28" i="34"/>
  <c r="J44" i="34"/>
  <c r="F44" i="34"/>
  <c r="J10" i="35"/>
  <c r="AC10" i="35" s="1"/>
  <c r="J14" i="21"/>
  <c r="W14" i="21"/>
  <c r="F14" i="21"/>
  <c r="S14" i="21" s="1"/>
  <c r="H14" i="21"/>
  <c r="U14" i="21"/>
  <c r="H28" i="21"/>
  <c r="AB28" i="21" s="1"/>
  <c r="F28" i="21"/>
  <c r="AA28" i="21" s="1"/>
  <c r="J28" i="21"/>
  <c r="W28" i="21" s="1"/>
  <c r="H30" i="21"/>
  <c r="U30" i="21" s="1"/>
  <c r="F30" i="21"/>
  <c r="S30" i="21" s="1"/>
  <c r="J30" i="21"/>
  <c r="AC30"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c r="J13" i="33"/>
  <c r="J29" i="33"/>
  <c r="H29" i="33"/>
  <c r="U29" i="33" s="1"/>
  <c r="F29" i="33"/>
  <c r="S29" i="33" s="1"/>
  <c r="J31" i="33"/>
  <c r="H45" i="33"/>
  <c r="J45" i="33"/>
  <c r="W45" i="33" s="1"/>
  <c r="F45" i="33"/>
  <c r="S45" i="33" s="1"/>
  <c r="AA45" i="33"/>
  <c r="J14" i="34"/>
  <c r="W14" i="34" s="1"/>
  <c r="F14" i="34"/>
  <c r="S14" i="34"/>
  <c r="H14" i="34"/>
  <c r="J30" i="34"/>
  <c r="H32" i="34"/>
  <c r="F32" i="34"/>
  <c r="J32" i="34"/>
  <c r="W32" i="34" s="1"/>
  <c r="H46" i="34"/>
  <c r="U46" i="34" s="1"/>
  <c r="H11" i="35"/>
  <c r="AB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W40" i="37" s="1"/>
  <c r="AC40" i="37"/>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H28" i="37"/>
  <c r="H38" i="37"/>
  <c r="AB38" i="37" s="1"/>
  <c r="J38" i="37"/>
  <c r="AC38" i="37" s="1"/>
  <c r="F38" i="37"/>
  <c r="S38" i="37" s="1"/>
  <c r="F45" i="39"/>
  <c r="AA45" i="39" s="1"/>
  <c r="H45" i="39"/>
  <c r="J16" i="39"/>
  <c r="AC16" i="39" s="1"/>
  <c r="F16" i="39"/>
  <c r="H16" i="39"/>
  <c r="AB16" i="39" s="1"/>
  <c r="F14" i="40"/>
  <c r="S14" i="40"/>
  <c r="H32" i="40"/>
  <c r="AB32" i="40"/>
  <c r="F35" i="40"/>
  <c r="AA35" i="40" s="1"/>
  <c r="H35" i="40"/>
  <c r="U35" i="40"/>
  <c r="J37" i="40"/>
  <c r="AC37" i="40" s="1"/>
  <c r="J39" i="40"/>
  <c r="AC39" i="40"/>
  <c r="H15" i="40"/>
  <c r="U15" i="40" s="1"/>
  <c r="J15" i="40"/>
  <c r="W15" i="40"/>
  <c r="F15" i="40"/>
  <c r="AA15" i="40" s="1"/>
  <c r="F14" i="37"/>
  <c r="AA14" i="37" s="1"/>
  <c r="S14" i="37"/>
  <c r="F27" i="37"/>
  <c r="AA27" i="37" s="1"/>
  <c r="F15" i="39"/>
  <c r="J15" i="39"/>
  <c r="W15" i="39" s="1"/>
  <c r="H15" i="39"/>
  <c r="H16" i="40"/>
  <c r="U16" i="40" s="1"/>
  <c r="J16" i="40"/>
  <c r="W16" i="40" s="1"/>
  <c r="F16" i="40"/>
  <c r="J14" i="37"/>
  <c r="J27" i="37"/>
  <c r="AC27" i="37"/>
  <c r="AA14" i="33"/>
  <c r="J36" i="37"/>
  <c r="AC36" i="37" s="1"/>
  <c r="J10" i="36"/>
  <c r="AC10" i="36" s="1"/>
  <c r="AB26" i="33"/>
  <c r="AB30" i="21"/>
  <c r="S11" i="36"/>
  <c r="AB46" i="34"/>
  <c r="AA14" i="34"/>
  <c r="AC28" i="2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0" i="3"/>
  <c r="AZ580" i="3" s="1"/>
  <c r="BA578" i="3"/>
  <c r="BA576" i="3"/>
  <c r="AZ576" i="3" s="1"/>
  <c r="BA574" i="3"/>
  <c r="BA572" i="3"/>
  <c r="AZ572" i="3" s="1"/>
  <c r="BA570" i="3"/>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1" i="3"/>
  <c r="BA579" i="3"/>
  <c r="BA577" i="3"/>
  <c r="BA575" i="3"/>
  <c r="BA573" i="3"/>
  <c r="BA571" i="3"/>
  <c r="AZ571" i="3" s="1"/>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BQ573" i="3"/>
  <c r="BL573" i="3" s="1"/>
  <c r="BQ571" i="3"/>
  <c r="BL571" i="3"/>
  <c r="BQ569" i="3"/>
  <c r="BL569" i="3" s="1"/>
  <c r="AZ569" i="3" s="1"/>
  <c r="BQ567" i="3"/>
  <c r="BL567" i="3" s="1"/>
  <c r="BQ565" i="3"/>
  <c r="BL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W47" i="34"/>
  <c r="AC36" i="34"/>
  <c r="AC45" i="33"/>
  <c r="W44" i="33"/>
  <c r="U11" i="33"/>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AC45" i="39"/>
  <c r="W45" i="39"/>
  <c r="U47" i="39"/>
  <c r="AB47" i="39"/>
  <c r="AB46" i="39"/>
  <c r="U46" i="39"/>
  <c r="H39" i="39"/>
  <c r="AB39" i="39" s="1"/>
  <c r="AC39" i="39"/>
  <c r="W39" i="39"/>
  <c r="H27" i="39"/>
  <c r="U27" i="39" s="1"/>
  <c r="J27" i="39"/>
  <c r="W27" i="39" s="1"/>
  <c r="F27" i="39"/>
  <c r="AA27" i="39" s="1"/>
  <c r="H43" i="39"/>
  <c r="AB43" i="39" s="1"/>
  <c r="AB36" i="39"/>
  <c r="U42" i="39"/>
  <c r="S44" i="39"/>
  <c r="W10" i="39"/>
  <c r="J21" i="40"/>
  <c r="AC21" i="40" s="1"/>
  <c r="J52" i="40"/>
  <c r="H103" i="9"/>
  <c r="D8" i="53" s="1"/>
  <c r="B16" i="53"/>
  <c r="B33" i="72" s="1"/>
  <c r="W37" i="40"/>
  <c r="A118" i="9"/>
  <c r="A4" i="52"/>
  <c r="B41" i="72"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G169" i="3"/>
  <c r="BA171" i="3"/>
  <c r="AZ171" i="3" s="1"/>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105" i="3"/>
  <c r="AZ120" i="3"/>
  <c r="AZ128" i="3"/>
  <c r="G534" i="3"/>
  <c r="G530" i="3"/>
  <c r="G522" i="3"/>
  <c r="G516" i="3"/>
  <c r="G512" i="3"/>
  <c r="G506" i="3"/>
  <c r="G498" i="3"/>
  <c r="G494"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500"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J5" i="3"/>
  <c r="BH5" i="3"/>
  <c r="BF5" i="3"/>
  <c r="BD5" i="3"/>
  <c r="AZ341" i="3"/>
  <c r="AZ506" i="3"/>
  <c r="AZ496" i="3"/>
  <c r="G548" i="3"/>
  <c r="G538" i="3"/>
  <c r="G520" i="3"/>
  <c r="G502" i="3"/>
  <c r="BE5" i="3"/>
  <c r="G17" i="3"/>
  <c r="BA17" i="3"/>
  <c r="AZ380" i="3"/>
  <c r="AZ392" i="3"/>
  <c r="AZ499" i="3"/>
  <c r="AZ509" i="3"/>
  <c r="G509" i="3"/>
  <c r="BL493" i="3"/>
  <c r="AZ493" i="3" s="1"/>
  <c r="U38" i="40"/>
  <c r="F83" i="43"/>
  <c r="H85" i="43" s="1"/>
  <c r="F50" i="43"/>
  <c r="H54" i="43" s="1"/>
  <c r="F72" i="43"/>
  <c r="H75" i="43" s="1"/>
  <c r="U19" i="39"/>
  <c r="S14" i="35"/>
  <c r="U43" i="21"/>
  <c r="U35" i="21"/>
  <c r="AC35" i="21"/>
  <c r="AZ563" i="3"/>
  <c r="AZ501" i="3"/>
  <c r="W37" i="37"/>
  <c r="W44" i="34"/>
  <c r="AC44" i="34"/>
  <c r="S15" i="37"/>
  <c r="U13" i="37"/>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E98" i="39"/>
  <c r="F98" i="39" s="1"/>
  <c r="G98" i="39" s="1"/>
  <c r="AZ251" i="3"/>
  <c r="AZ69" i="3"/>
  <c r="AZ72"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AC26" i="33"/>
  <c r="W26" i="33"/>
  <c r="W27" i="34"/>
  <c r="AC27" i="34"/>
  <c r="AB34" i="36"/>
  <c r="U34" i="36"/>
  <c r="W12" i="33"/>
  <c r="AC12" i="33"/>
  <c r="AA32" i="36"/>
  <c r="S32" i="36"/>
  <c r="U30" i="33"/>
  <c r="AC13" i="34"/>
  <c r="AA47" i="34"/>
  <c r="W28" i="37"/>
  <c r="F12" i="33"/>
  <c r="H14" i="39"/>
  <c r="AB14" i="39" s="1"/>
  <c r="F41" i="40"/>
  <c r="AA41" i="40" s="1"/>
  <c r="AZ367" i="3"/>
  <c r="AZ254" i="3"/>
  <c r="AZ189"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M20" i="67"/>
  <c r="F20" i="15"/>
  <c r="F72" i="15" s="1"/>
  <c r="BL17" i="3"/>
  <c r="AZ17" i="3" s="1"/>
  <c r="BL13" i="3"/>
  <c r="J56" i="9"/>
  <c r="J57" i="9" s="1"/>
  <c r="J59" i="9" s="1"/>
  <c r="J61" i="9" s="1"/>
  <c r="U29" i="34"/>
  <c r="G1" i="68"/>
  <c r="E17" i="68"/>
  <c r="E1" i="73"/>
  <c r="G22" i="69"/>
  <c r="G23" i="68"/>
  <c r="G30" i="12"/>
  <c r="G22" i="11"/>
  <c r="C6" i="43"/>
  <c r="B19" i="53"/>
  <c r="B37" i="72" s="1"/>
  <c r="A4" i="51"/>
  <c r="B6" i="72" s="1"/>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S16" i="39"/>
  <c r="AA16" i="39"/>
  <c r="U45" i="39"/>
  <c r="AB45" i="39"/>
  <c r="AC19" i="39"/>
  <c r="W33" i="39"/>
  <c r="AC33" i="39"/>
  <c r="AA47" i="39"/>
  <c r="W36" i="39"/>
  <c r="S20" i="36"/>
  <c r="AC25" i="36"/>
  <c r="U32" i="36"/>
  <c r="W29" i="36"/>
  <c r="AC20" i="36"/>
  <c r="U25" i="36"/>
  <c r="AB28" i="36"/>
  <c r="AA13" i="36"/>
  <c r="W9" i="36"/>
  <c r="W22" i="36"/>
  <c r="AB20" i="35"/>
  <c r="AC25" i="35"/>
  <c r="U25" i="35"/>
  <c r="U24" i="35"/>
  <c r="S35" i="35"/>
  <c r="W35" i="35"/>
  <c r="AA16" i="35"/>
  <c r="AA35" i="37"/>
  <c r="W36" i="37"/>
  <c r="S27"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W39" i="21"/>
  <c r="AC14" i="21"/>
  <c r="W30" i="21"/>
  <c r="S46" i="21"/>
  <c r="H45" i="21"/>
  <c r="U45" i="21" s="1"/>
  <c r="F29" i="21"/>
  <c r="AA29" i="21" s="1"/>
  <c r="F13" i="21"/>
  <c r="AA13" i="21" s="1"/>
  <c r="AC38" i="21"/>
  <c r="H32" i="21"/>
  <c r="H9" i="21"/>
  <c r="U9" i="21" s="1"/>
  <c r="J9" i="21"/>
  <c r="W9" i="21" s="1"/>
  <c r="J32" i="21"/>
  <c r="W32" i="21" s="1"/>
  <c r="F32" i="21"/>
  <c r="AA31" i="21"/>
  <c r="W29" i="21"/>
  <c r="S9" i="21"/>
  <c r="AA9" i="21"/>
  <c r="K141" i="21"/>
  <c r="K144" i="21"/>
  <c r="K143" i="21"/>
  <c r="AB25" i="21"/>
  <c r="AA30" i="21"/>
  <c r="W13" i="21"/>
  <c r="AC45" i="21"/>
  <c r="F10" i="21"/>
  <c r="AA10" i="21" s="1"/>
  <c r="K145" i="21"/>
  <c r="W25" i="21"/>
  <c r="W31" i="21"/>
  <c r="AC26" i="21"/>
  <c r="AB29" i="21"/>
  <c r="S28" i="21"/>
  <c r="AC34" i="21"/>
  <c r="AB36" i="21"/>
  <c r="C21" i="39"/>
  <c r="C17" i="40"/>
  <c r="C19" i="40"/>
  <c r="C25" i="40"/>
  <c r="C23" i="40"/>
  <c r="U32" i="40"/>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J23" i="21"/>
  <c r="W23" i="21" s="1"/>
  <c r="F85" i="21"/>
  <c r="G85" i="21" s="1"/>
  <c r="H23" i="21"/>
  <c r="U23" i="21" s="1"/>
  <c r="S13" i="21"/>
  <c r="AB45" i="21"/>
  <c r="AA32" i="21"/>
  <c r="S32" i="21"/>
  <c r="AB32" i="21"/>
  <c r="U32" i="21"/>
  <c r="U34" i="39"/>
  <c r="J63" i="37"/>
  <c r="K63" i="37" s="1"/>
  <c r="L63" i="37" s="1"/>
  <c r="M63" i="37" s="1"/>
  <c r="J11" i="37"/>
  <c r="AC11" i="37" s="1"/>
  <c r="H70" i="34"/>
  <c r="I70" i="34" s="1"/>
  <c r="J70" i="34" s="1"/>
  <c r="K70" i="34"/>
  <c r="L70" i="34" s="1"/>
  <c r="M70" i="34" s="1"/>
  <c r="J11" i="34"/>
  <c r="W11" i="34" s="1"/>
  <c r="AC27" i="33"/>
  <c r="W25" i="33"/>
  <c r="AC25" i="33"/>
  <c r="AB19" i="33"/>
  <c r="U19" i="33"/>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E13" i="76"/>
  <c r="F7" i="73"/>
  <c r="F4" i="73"/>
  <c r="B7" i="76"/>
  <c r="E7" i="76"/>
  <c r="B11" i="76"/>
  <c r="E2" i="69"/>
  <c r="F6" i="73"/>
  <c r="B9" i="76"/>
  <c r="B13" i="76"/>
  <c r="B10" i="76"/>
  <c r="E11" i="76"/>
  <c r="AO13" i="1"/>
  <c r="D6" i="73"/>
  <c r="F5" i="73"/>
  <c r="B12" i="76"/>
  <c r="F20" i="31"/>
  <c r="E10" i="76"/>
  <c r="B8" i="76"/>
  <c r="E12" i="76"/>
  <c r="E9" i="76"/>
  <c r="F3" i="73"/>
  <c r="J41" i="39" l="1"/>
  <c r="AC41" i="39" s="1"/>
  <c r="F41" i="39"/>
  <c r="S41" i="39" s="1"/>
  <c r="H41" i="39"/>
  <c r="U41" i="39" s="1"/>
  <c r="W14" i="39"/>
  <c r="C9" i="12"/>
  <c r="E32" i="6"/>
  <c r="BM5" i="3"/>
  <c r="F29" i="6" s="1"/>
  <c r="E29" i="6" s="1"/>
  <c r="G13" i="3"/>
  <c r="D9" i="12"/>
  <c r="F9" i="12"/>
  <c r="H42" i="21"/>
  <c r="U42" i="21" s="1"/>
  <c r="F34" i="67"/>
  <c r="F62" i="67" s="1"/>
  <c r="F20" i="85"/>
  <c r="F72" i="85" s="1"/>
  <c r="M20" i="85"/>
  <c r="G1" i="85"/>
  <c r="J42" i="21"/>
  <c r="AC42" i="21" s="1"/>
  <c r="S37" i="21"/>
  <c r="S42" i="21"/>
  <c r="AB42" i="21"/>
  <c r="AB19" i="21"/>
  <c r="U19" i="21"/>
  <c r="F81" i="21"/>
  <c r="G81" i="21" s="1"/>
  <c r="F79" i="21"/>
  <c r="G79" i="21" s="1"/>
  <c r="J17" i="21"/>
  <c r="AC17" i="21" s="1"/>
  <c r="F17" i="21"/>
  <c r="AA17" i="21" s="1"/>
  <c r="H17" i="21"/>
  <c r="AB17" i="21" s="1"/>
  <c r="AC21" i="21"/>
  <c r="AC23" i="21"/>
  <c r="AB15" i="21"/>
  <c r="AA23" i="21"/>
  <c r="W19" i="21"/>
  <c r="S19" i="21"/>
  <c r="S17" i="21"/>
  <c r="U17" i="21"/>
  <c r="AA15" i="21"/>
  <c r="AC9" i="21"/>
  <c r="AB9" i="21"/>
  <c r="F13" i="39"/>
  <c r="S13" i="39" s="1"/>
  <c r="J13" i="39"/>
  <c r="W13" i="39" s="1"/>
  <c r="H13" i="39"/>
  <c r="AB13" i="39" s="1"/>
  <c r="U21" i="39"/>
  <c r="W25" i="39"/>
  <c r="S19" i="39"/>
  <c r="AA14" i="39"/>
  <c r="AB10" i="39"/>
  <c r="S11" i="39"/>
  <c r="W11" i="39"/>
  <c r="U11" i="39"/>
  <c r="S10" i="39"/>
  <c r="AB29" i="39"/>
  <c r="AC27" i="39"/>
  <c r="S25" i="39"/>
  <c r="S21" i="39"/>
  <c r="W21" i="39"/>
  <c r="D45" i="15"/>
  <c r="G1" i="15"/>
  <c r="K1" i="12"/>
  <c r="K7" i="1"/>
  <c r="G1" i="67"/>
  <c r="G1" i="69"/>
  <c r="BB5" i="3"/>
  <c r="E5" i="6" s="1"/>
  <c r="D22" i="83" s="1"/>
  <c r="C22" i="83" s="1"/>
  <c r="BA16" i="3"/>
  <c r="BA15" i="3"/>
  <c r="BA13" i="3"/>
  <c r="AZ13" i="3" s="1"/>
  <c r="BG5" i="3"/>
  <c r="BK5" i="3"/>
  <c r="BI5" i="3"/>
  <c r="BR5" i="3"/>
  <c r="BL14" i="3"/>
  <c r="G29" i="6"/>
  <c r="B67" i="43"/>
  <c r="B56" i="43"/>
  <c r="C31" i="39"/>
  <c r="B68" i="43"/>
  <c r="B57" i="43"/>
  <c r="AZ365" i="3"/>
  <c r="AA17" i="33"/>
  <c r="AC23" i="37"/>
  <c r="W17" i="21"/>
  <c r="AZ387" i="3"/>
  <c r="AZ366" i="3"/>
  <c r="AZ360" i="3"/>
  <c r="AZ570" i="3"/>
  <c r="AB45" i="33"/>
  <c r="U45" i="33"/>
  <c r="AA44" i="34"/>
  <c r="S44" i="34"/>
  <c r="S29" i="35"/>
  <c r="AA29" i="35"/>
  <c r="S40" i="21"/>
  <c r="AA40" i="21"/>
  <c r="AB23" i="21"/>
  <c r="W34" i="39"/>
  <c r="AC15" i="21"/>
  <c r="U14" i="39"/>
  <c r="AZ349" i="3"/>
  <c r="AZ322" i="3"/>
  <c r="AZ389" i="3"/>
  <c r="AZ155" i="3"/>
  <c r="AC31" i="33"/>
  <c r="W31" i="33"/>
  <c r="F102" i="39"/>
  <c r="G102" i="39" s="1"/>
  <c r="J29" i="39"/>
  <c r="W29" i="39" s="1"/>
  <c r="H44" i="21"/>
  <c r="J44" i="21"/>
  <c r="AZ303" i="3"/>
  <c r="AZ347" i="3"/>
  <c r="AZ124" i="3"/>
  <c r="S25" i="21"/>
  <c r="AA25" i="21"/>
  <c r="AZ527" i="3"/>
  <c r="AZ579" i="3"/>
  <c r="F29" i="39"/>
  <c r="S29" i="39" s="1"/>
  <c r="AC8" i="34"/>
  <c r="W8" i="34"/>
  <c r="S13" i="33"/>
  <c r="AA13" i="33"/>
  <c r="AZ388" i="3"/>
  <c r="S16" i="40"/>
  <c r="AA16" i="40"/>
  <c r="BA586" i="3"/>
  <c r="BL585" i="3"/>
  <c r="BA585" i="3"/>
  <c r="F27" i="21"/>
  <c r="J27" i="21"/>
  <c r="H27" i="21"/>
  <c r="C17" i="39"/>
  <c r="B72" i="43"/>
  <c r="AZ519" i="3"/>
  <c r="AZ573" i="3"/>
  <c r="AZ583" i="3"/>
  <c r="AZ568" i="3"/>
  <c r="AA44" i="33"/>
  <c r="H14" i="40"/>
  <c r="F28" i="37"/>
  <c r="F40" i="37"/>
  <c r="J11" i="35"/>
  <c r="H30" i="34"/>
  <c r="H13" i="33"/>
  <c r="U13" i="33" s="1"/>
  <c r="AA38" i="34"/>
  <c r="S34" i="37"/>
  <c r="AC12" i="34"/>
  <c r="W25" i="37"/>
  <c r="G587" i="3"/>
  <c r="H33" i="36"/>
  <c r="AB26" i="37"/>
  <c r="AA40" i="40"/>
  <c r="U41" i="21"/>
  <c r="AZ228" i="3"/>
  <c r="J46" i="34"/>
  <c r="F31" i="33"/>
  <c r="J33" i="36"/>
  <c r="AC33" i="36" s="1"/>
  <c r="W31" i="37"/>
  <c r="J38" i="39"/>
  <c r="AC38" i="39" s="1"/>
  <c r="H38" i="39"/>
  <c r="B79" i="43"/>
  <c r="H9" i="34"/>
  <c r="F12" i="34"/>
  <c r="S12" i="34" s="1"/>
  <c r="H23" i="35"/>
  <c r="J23" i="36"/>
  <c r="BL550" i="3"/>
  <c r="AZ338" i="3"/>
  <c r="AZ311" i="3"/>
  <c r="AZ364" i="3"/>
  <c r="AZ346" i="3"/>
  <c r="AZ329" i="3"/>
  <c r="AZ304" i="3"/>
  <c r="AZ139" i="3"/>
  <c r="AZ306" i="3"/>
  <c r="F24" i="35"/>
  <c r="AZ535" i="3"/>
  <c r="AZ577" i="3"/>
  <c r="AZ557" i="3"/>
  <c r="AZ513" i="3"/>
  <c r="AZ575" i="3"/>
  <c r="AZ528" i="3"/>
  <c r="AZ566" i="3"/>
  <c r="AZ574" i="3"/>
  <c r="AZ540" i="3"/>
  <c r="AZ502" i="3"/>
  <c r="W31" i="34"/>
  <c r="S41" i="33"/>
  <c r="AB23" i="34"/>
  <c r="U31" i="36"/>
  <c r="G585" i="3"/>
  <c r="BL587" i="3"/>
  <c r="AZ587" i="3" s="1"/>
  <c r="BL586" i="3"/>
  <c r="J9" i="34"/>
  <c r="H12" i="34"/>
  <c r="F46" i="39"/>
  <c r="J41" i="40"/>
  <c r="H41" i="40"/>
  <c r="G552" i="3"/>
  <c r="AZ443" i="3"/>
  <c r="AZ476" i="3"/>
  <c r="BA551" i="3"/>
  <c r="AZ551" i="3" s="1"/>
  <c r="BA550" i="3"/>
  <c r="BL548" i="3"/>
  <c r="AZ548" i="3" s="1"/>
  <c r="BL398" i="3"/>
  <c r="BL403" i="3"/>
  <c r="BA408" i="3"/>
  <c r="AZ408" i="3" s="1"/>
  <c r="BA409" i="3"/>
  <c r="AZ409" i="3" s="1"/>
  <c r="BA411" i="3"/>
  <c r="BL414" i="3"/>
  <c r="BL415" i="3"/>
  <c r="BA417" i="3"/>
  <c r="BL421" i="3"/>
  <c r="BL422" i="3"/>
  <c r="BL425" i="3"/>
  <c r="BL426" i="3"/>
  <c r="BA428" i="3"/>
  <c r="BA429" i="3"/>
  <c r="BA430" i="3"/>
  <c r="AZ430" i="3" s="1"/>
  <c r="BA432" i="3"/>
  <c r="BA434" i="3"/>
  <c r="AZ434" i="3" s="1"/>
  <c r="BA436" i="3"/>
  <c r="BA438" i="3"/>
  <c r="BA446" i="3"/>
  <c r="AZ453" i="3"/>
  <c r="BL461" i="3"/>
  <c r="BL463" i="3"/>
  <c r="AZ487" i="3"/>
  <c r="BL317" i="3"/>
  <c r="BA349" i="3"/>
  <c r="BA353" i="3"/>
  <c r="BL353" i="3"/>
  <c r="BA358" i="3"/>
  <c r="AZ358" i="3" s="1"/>
  <c r="BL365" i="3"/>
  <c r="BA368" i="3"/>
  <c r="BL368" i="3"/>
  <c r="BA374" i="3"/>
  <c r="AZ374" i="3" s="1"/>
  <c r="BA388" i="3"/>
  <c r="BA396" i="3"/>
  <c r="BA209" i="3"/>
  <c r="BA211" i="3"/>
  <c r="AZ211" i="3" s="1"/>
  <c r="G558" i="3"/>
  <c r="BA398" i="3"/>
  <c r="BA399" i="3"/>
  <c r="AZ399" i="3" s="1"/>
  <c r="BL401" i="3"/>
  <c r="AZ401" i="3" s="1"/>
  <c r="BL404" i="3"/>
  <c r="BL405" i="3"/>
  <c r="BL407" i="3"/>
  <c r="BA412" i="3"/>
  <c r="AZ412" i="3" s="1"/>
  <c r="BA414" i="3"/>
  <c r="AZ414" i="3" s="1"/>
  <c r="BA415" i="3"/>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BA457" i="3"/>
  <c r="AZ457" i="3" s="1"/>
  <c r="BA459" i="3"/>
  <c r="BA460" i="3"/>
  <c r="AZ460" i="3" s="1"/>
  <c r="BA461" i="3"/>
  <c r="AZ461" i="3" s="1"/>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G349" i="3"/>
  <c r="G374" i="3"/>
  <c r="BA384" i="3"/>
  <c r="AZ384" i="3" s="1"/>
  <c r="AZ403" i="3"/>
  <c r="AZ404" i="3"/>
  <c r="AZ405" i="3"/>
  <c r="AZ407" i="3"/>
  <c r="AZ419" i="3"/>
  <c r="AZ422" i="3"/>
  <c r="AZ448" i="3"/>
  <c r="BL449" i="3"/>
  <c r="BL450" i="3"/>
  <c r="BL452" i="3"/>
  <c r="BL456" i="3"/>
  <c r="AZ456" i="3" s="1"/>
  <c r="BA464" i="3"/>
  <c r="AZ464" i="3" s="1"/>
  <c r="BL467" i="3"/>
  <c r="BL468" i="3"/>
  <c r="BL470" i="3"/>
  <c r="BL473" i="3"/>
  <c r="AZ473" i="3" s="1"/>
  <c r="BL474" i="3"/>
  <c r="BA482" i="3"/>
  <c r="BA484" i="3"/>
  <c r="AZ484" i="3" s="1"/>
  <c r="BA303" i="3"/>
  <c r="BA307" i="3"/>
  <c r="AZ307" i="3" s="1"/>
  <c r="BL314" i="3"/>
  <c r="AZ314" i="3" s="1"/>
  <c r="BA386" i="3"/>
  <c r="AZ386" i="3" s="1"/>
  <c r="BA224" i="3"/>
  <c r="AZ224" i="3" s="1"/>
  <c r="BL225" i="3"/>
  <c r="BL226" i="3"/>
  <c r="BA237" i="3"/>
  <c r="AZ237" i="3" s="1"/>
  <c r="BA240" i="3"/>
  <c r="AZ240" i="3" s="1"/>
  <c r="G574" i="3"/>
  <c r="BL16"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AZ436" i="3" s="1"/>
  <c r="BA439" i="3"/>
  <c r="BA440" i="3"/>
  <c r="AZ440" i="3" s="1"/>
  <c r="BA442" i="3"/>
  <c r="BA445" i="3"/>
  <c r="AZ445" i="3" s="1"/>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BA397" i="3"/>
  <c r="AZ397" i="3" s="1"/>
  <c r="BL397" i="3"/>
  <c r="BA210" i="3"/>
  <c r="BL210" i="3"/>
  <c r="BL213" i="3"/>
  <c r="BL215" i="3"/>
  <c r="BA222" i="3"/>
  <c r="AZ222" i="3" s="1"/>
  <c r="BA239" i="3"/>
  <c r="AZ239" i="3" s="1"/>
  <c r="BA245" i="3"/>
  <c r="AZ245" i="3" s="1"/>
  <c r="BA265" i="3"/>
  <c r="AZ265" i="3" s="1"/>
  <c r="AZ284" i="3"/>
  <c r="AZ2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2" i="3"/>
  <c r="AZ252" i="3" s="1"/>
  <c r="G255" i="3"/>
  <c r="BL255" i="3"/>
  <c r="G257" i="3"/>
  <c r="BL257" i="3"/>
  <c r="AZ257" i="3" s="1"/>
  <c r="BL258" i="3"/>
  <c r="G259" i="3"/>
  <c r="BL260" i="3"/>
  <c r="G262" i="3"/>
  <c r="BL263" i="3"/>
  <c r="G264" i="3"/>
  <c r="BA268" i="3"/>
  <c r="BL293" i="3"/>
  <c r="BL294" i="3"/>
  <c r="BA297" i="3"/>
  <c r="AZ297" i="3" s="1"/>
  <c r="BL297" i="3"/>
  <c r="BL300" i="3"/>
  <c r="BA302" i="3"/>
  <c r="G134" i="3"/>
  <c r="BL134" i="3"/>
  <c r="BL137" i="3"/>
  <c r="G143" i="3"/>
  <c r="BA144" i="3"/>
  <c r="AZ144" i="3" s="1"/>
  <c r="BA149" i="3"/>
  <c r="BA153" i="3"/>
  <c r="BA164" i="3"/>
  <c r="AZ164" i="3" s="1"/>
  <c r="BA166" i="3"/>
  <c r="AZ166" i="3" s="1"/>
  <c r="BA176" i="3"/>
  <c r="AZ176" i="3" s="1"/>
  <c r="AZ100" i="3"/>
  <c r="BL239" i="3"/>
  <c r="BA241" i="3"/>
  <c r="AZ241" i="3" s="1"/>
  <c r="BL241" i="3"/>
  <c r="BA244" i="3"/>
  <c r="AZ244" i="3" s="1"/>
  <c r="BL244" i="3"/>
  <c r="BA246" i="3"/>
  <c r="BL264" i="3"/>
  <c r="BL266" i="3"/>
  <c r="BL269" i="3"/>
  <c r="BA273" i="3"/>
  <c r="AZ273" i="3" s="1"/>
  <c r="BA278" i="3"/>
  <c r="AZ278" i="3" s="1"/>
  <c r="BA280" i="3"/>
  <c r="AZ280" i="3" s="1"/>
  <c r="BL283" i="3"/>
  <c r="AZ283" i="3" s="1"/>
  <c r="BL284" i="3"/>
  <c r="BL287" i="3"/>
  <c r="BA290" i="3"/>
  <c r="AZ290" i="3" s="1"/>
  <c r="BL291" i="3"/>
  <c r="AZ291" i="3" s="1"/>
  <c r="BA168" i="3"/>
  <c r="AZ168" i="3" s="1"/>
  <c r="G184" i="3"/>
  <c r="G202" i="3"/>
  <c r="BA30" i="3"/>
  <c r="BA40" i="3"/>
  <c r="BA55" i="3"/>
  <c r="AZ55" i="3" s="1"/>
  <c r="AZ64" i="3"/>
  <c r="BL217" i="3"/>
  <c r="AZ217" i="3" s="1"/>
  <c r="BA219" i="3"/>
  <c r="AZ219" i="3" s="1"/>
  <c r="BA221" i="3"/>
  <c r="BA223" i="3"/>
  <c r="AZ223" i="3" s="1"/>
  <c r="BL228" i="3"/>
  <c r="BA230" i="3"/>
  <c r="AZ230" i="3" s="1"/>
  <c r="BL232" i="3"/>
  <c r="BL234" i="3"/>
  <c r="BA236" i="3"/>
  <c r="BA238" i="3"/>
  <c r="BA243" i="3"/>
  <c r="AZ243" i="3" s="1"/>
  <c r="BL248" i="3"/>
  <c r="AZ248" i="3" s="1"/>
  <c r="G250" i="3"/>
  <c r="G251" i="3"/>
  <c r="BA253" i="3"/>
  <c r="BA256" i="3"/>
  <c r="AZ256" i="3" s="1"/>
  <c r="BL256" i="3"/>
  <c r="BA258" i="3"/>
  <c r="BL267" i="3"/>
  <c r="G269" i="3"/>
  <c r="BL270" i="3"/>
  <c r="AZ270" i="3" s="1"/>
  <c r="BA272" i="3"/>
  <c r="AZ272" i="3" s="1"/>
  <c r="BL275" i="3"/>
  <c r="AZ275" i="3" s="1"/>
  <c r="G277" i="3"/>
  <c r="G280" i="3"/>
  <c r="G282" i="3"/>
  <c r="BL285" i="3"/>
  <c r="BA293" i="3"/>
  <c r="AZ293" i="3" s="1"/>
  <c r="BA294" i="3"/>
  <c r="AZ294" i="3" s="1"/>
  <c r="BL295" i="3"/>
  <c r="BA298" i="3"/>
  <c r="AZ298" i="3" s="1"/>
  <c r="BL301" i="3"/>
  <c r="AZ301" i="3" s="1"/>
  <c r="BL302" i="3"/>
  <c r="BA114" i="3"/>
  <c r="BA125" i="3"/>
  <c r="AZ125" i="3" s="1"/>
  <c r="BL146" i="3"/>
  <c r="AZ146" i="3" s="1"/>
  <c r="BL154" i="3"/>
  <c r="BL155" i="3"/>
  <c r="BA162" i="3"/>
  <c r="BL167" i="3"/>
  <c r="AZ167" i="3" s="1"/>
  <c r="G178" i="3"/>
  <c r="BL178" i="3"/>
  <c r="AZ178" i="3" s="1"/>
  <c r="BA180" i="3"/>
  <c r="AZ180" i="3" s="1"/>
  <c r="BL182" i="3"/>
  <c r="G183" i="3"/>
  <c r="BA194" i="3"/>
  <c r="BA22" i="3"/>
  <c r="BA33" i="3"/>
  <c r="BA43" i="3"/>
  <c r="AZ62"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BA54" i="3"/>
  <c r="AZ54" i="3" s="1"/>
  <c r="BL57" i="3"/>
  <c r="G62" i="3"/>
  <c r="BL62" i="3"/>
  <c r="BL63" i="3"/>
  <c r="BL82" i="3"/>
  <c r="AZ82" i="3" s="1"/>
  <c r="BL86" i="3"/>
  <c r="G87" i="3"/>
  <c r="BL93" i="3"/>
  <c r="BL94" i="3"/>
  <c r="AZ94" i="3" s="1"/>
  <c r="BA109" i="3"/>
  <c r="AA34" i="71"/>
  <c r="AA30" i="71"/>
  <c r="D56" i="71"/>
  <c r="T56" i="71"/>
  <c r="C60" i="71"/>
  <c r="D59" i="71"/>
  <c r="N67" i="71"/>
  <c r="B66" i="71"/>
  <c r="F66" i="71"/>
  <c r="Q65" i="71" s="1"/>
  <c r="Q67" i="71"/>
  <c r="T80" i="71"/>
  <c r="C79" i="71"/>
  <c r="AA27" i="71"/>
  <c r="B13" i="1"/>
  <c r="E13" i="1" s="1"/>
  <c r="K13" i="1"/>
  <c r="M13" i="1" s="1"/>
  <c r="O13" i="1" s="1"/>
  <c r="P13" i="1" s="1"/>
  <c r="AC21" i="33"/>
  <c r="AA18" i="36"/>
  <c r="S18" i="36"/>
  <c r="D55" i="71"/>
  <c r="D54" i="71"/>
  <c r="F34" i="71"/>
  <c r="F35" i="71" s="1"/>
  <c r="F36" i="71" s="1"/>
  <c r="V36" i="71" s="1"/>
  <c r="AB33" i="71"/>
  <c r="AB28" i="71"/>
  <c r="T72" i="71"/>
  <c r="C71" i="71"/>
  <c r="U76" i="71"/>
  <c r="E75" i="71"/>
  <c r="E74" i="71" s="1"/>
  <c r="C23" i="71"/>
  <c r="B22" i="71"/>
  <c r="B21" i="71" s="1"/>
  <c r="B20" i="71" s="1"/>
  <c r="BA117" i="3"/>
  <c r="BA130" i="3"/>
  <c r="AZ130" i="3" s="1"/>
  <c r="BL130" i="3"/>
  <c r="BA137" i="3"/>
  <c r="AZ137" i="3" s="1"/>
  <c r="BL138" i="3"/>
  <c r="BA140" i="3"/>
  <c r="AZ140" i="3" s="1"/>
  <c r="BA142" i="3"/>
  <c r="BL149" i="3"/>
  <c r="BL150" i="3"/>
  <c r="AZ150" i="3" s="1"/>
  <c r="BA152" i="3"/>
  <c r="AZ152" i="3" s="1"/>
  <c r="BA154" i="3"/>
  <c r="AZ154" i="3" s="1"/>
  <c r="BA160" i="3"/>
  <c r="AZ160" i="3" s="1"/>
  <c r="BL162" i="3"/>
  <c r="BL165" i="3"/>
  <c r="BL170" i="3"/>
  <c r="BA173" i="3"/>
  <c r="AZ173" i="3" s="1"/>
  <c r="BA174" i="3"/>
  <c r="BL179" i="3"/>
  <c r="AZ179" i="3" s="1"/>
  <c r="BA181" i="3"/>
  <c r="AZ181" i="3" s="1"/>
  <c r="BA182" i="3"/>
  <c r="AZ182" i="3" s="1"/>
  <c r="BL185" i="3"/>
  <c r="BL193" i="3"/>
  <c r="BL194" i="3"/>
  <c r="BA198" i="3"/>
  <c r="AZ198" i="3" s="1"/>
  <c r="G199" i="3"/>
  <c r="G205" i="3"/>
  <c r="BL206" i="3"/>
  <c r="G27" i="3"/>
  <c r="BA27" i="3"/>
  <c r="BL30" i="3"/>
  <c r="BL31" i="3"/>
  <c r="AZ31" i="3" s="1"/>
  <c r="G37" i="3"/>
  <c r="BL40" i="3"/>
  <c r="BL41" i="3"/>
  <c r="AZ41" i="3" s="1"/>
  <c r="BL45" i="3"/>
  <c r="BA48" i="3"/>
  <c r="AZ48" i="3" s="1"/>
  <c r="BA49" i="3"/>
  <c r="BA51" i="3"/>
  <c r="G55" i="3"/>
  <c r="BL56" i="3"/>
  <c r="AZ56" i="3" s="1"/>
  <c r="BA58" i="3"/>
  <c r="BL59" i="3"/>
  <c r="AZ59" i="3" s="1"/>
  <c r="BL60" i="3"/>
  <c r="BA61" i="3"/>
  <c r="AZ61" i="3" s="1"/>
  <c r="BA75" i="3"/>
  <c r="AZ75" i="3" s="1"/>
  <c r="BL85" i="3"/>
  <c r="BA86" i="3"/>
  <c r="AZ86" i="3" s="1"/>
  <c r="BA95" i="3"/>
  <c r="AZ95" i="3" s="1"/>
  <c r="BL101" i="3"/>
  <c r="BL102" i="3"/>
  <c r="AZ102" i="3" s="1"/>
  <c r="G105" i="3"/>
  <c r="BL106" i="3"/>
  <c r="AZ106" i="3" s="1"/>
  <c r="BA108" i="3"/>
  <c r="E28" i="71"/>
  <c r="AA28" i="71"/>
  <c r="B26" i="71"/>
  <c r="D38" i="71"/>
  <c r="C39" i="71"/>
  <c r="Y30" i="71"/>
  <c r="Z30" i="71" s="1"/>
  <c r="C31" i="71"/>
  <c r="AA39" i="71"/>
  <c r="AA38" i="71"/>
  <c r="D84" i="71"/>
  <c r="C83" i="71"/>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L64" i="3"/>
  <c r="G65" i="3"/>
  <c r="BL65" i="3"/>
  <c r="AZ65" i="3" s="1"/>
  <c r="BL66" i="3"/>
  <c r="BL67" i="3"/>
  <c r="AZ67" i="3" s="1"/>
  <c r="G69" i="3"/>
  <c r="G72" i="3"/>
  <c r="BL73" i="3"/>
  <c r="BA74" i="3"/>
  <c r="AZ74" i="3" s="1"/>
  <c r="BL76" i="3"/>
  <c r="G78" i="3"/>
  <c r="G79" i="3"/>
  <c r="G81" i="3"/>
  <c r="G89" i="3"/>
  <c r="BA90" i="3"/>
  <c r="BL97" i="3"/>
  <c r="AZ97" i="3" s="1"/>
  <c r="BA111" i="3"/>
  <c r="B88" i="43"/>
  <c r="D52" i="71"/>
  <c r="D51" i="71"/>
  <c r="D72" i="71"/>
  <c r="P65" i="71"/>
  <c r="P66" i="71"/>
  <c r="C28" i="71"/>
  <c r="Y28" i="71"/>
  <c r="Z28" i="71" s="1"/>
  <c r="Y26" i="71"/>
  <c r="Z26" i="71" s="1"/>
  <c r="Y37" i="71"/>
  <c r="Z37" i="71" s="1"/>
  <c r="Y35" i="71"/>
  <c r="Z35" i="71" s="1"/>
  <c r="X35" i="71"/>
  <c r="X38" i="71"/>
  <c r="X36" i="71"/>
  <c r="D46" i="71"/>
  <c r="C47" i="71"/>
  <c r="D47" i="71" s="1"/>
  <c r="X25" i="71"/>
  <c r="V24" i="71"/>
  <c r="E23" i="71"/>
  <c r="E22" i="71" s="1"/>
  <c r="E21" i="71" s="1"/>
  <c r="E20" i="71" s="1"/>
  <c r="V20" i="71" s="1"/>
  <c r="E35" i="71"/>
  <c r="E36" i="71" s="1"/>
  <c r="U36" i="71" s="1"/>
  <c r="AB31" i="71"/>
  <c r="AA36" i="71"/>
  <c r="B47" i="71"/>
  <c r="B48" i="71" s="1"/>
  <c r="S48" i="71" s="1"/>
  <c r="BA68" i="3"/>
  <c r="BA73" i="3"/>
  <c r="BA80" i="3"/>
  <c r="G84" i="3"/>
  <c r="BL84" i="3"/>
  <c r="BA89" i="3"/>
  <c r="G99" i="3"/>
  <c r="G103" i="3"/>
  <c r="BA103" i="3"/>
  <c r="AZ103" i="3" s="1"/>
  <c r="BA104" i="3"/>
  <c r="BA106" i="3"/>
  <c r="BL108" i="3"/>
  <c r="G110" i="3"/>
  <c r="BL111" i="3"/>
  <c r="B77" i="43"/>
  <c r="AA18" i="35"/>
  <c r="O67" i="71"/>
  <c r="AB27" i="71"/>
  <c r="E79" i="71"/>
  <c r="E78" i="71" s="1"/>
  <c r="AB25" i="71"/>
  <c r="C43" i="71"/>
  <c r="C35" i="71"/>
  <c r="N68" i="71"/>
  <c r="E38" i="71"/>
  <c r="E39" i="71" s="1"/>
  <c r="E40" i="71" s="1"/>
  <c r="U40" i="71" s="1"/>
  <c r="X33" i="71"/>
  <c r="AB37" i="71"/>
  <c r="BA60" i="3"/>
  <c r="BA63" i="3"/>
  <c r="AZ63" i="3" s="1"/>
  <c r="BA66" i="3"/>
  <c r="BA71" i="3"/>
  <c r="AZ71" i="3" s="1"/>
  <c r="G76" i="3"/>
  <c r="BL77" i="3"/>
  <c r="AZ77" i="3" s="1"/>
  <c r="BA79" i="3"/>
  <c r="AZ79" i="3" s="1"/>
  <c r="G82" i="3"/>
  <c r="G83" i="3"/>
  <c r="BA84" i="3"/>
  <c r="AZ84" i="3" s="1"/>
  <c r="BL88" i="3"/>
  <c r="AZ88" i="3" s="1"/>
  <c r="G90" i="3"/>
  <c r="BL90" i="3"/>
  <c r="BL92" i="3"/>
  <c r="BA101" i="3"/>
  <c r="AZ101" i="3" s="1"/>
  <c r="G108" i="3"/>
  <c r="BL112" i="3"/>
  <c r="C66" i="71"/>
  <c r="AB26" i="71"/>
  <c r="S28" i="71"/>
  <c r="AA37" i="71"/>
  <c r="X28" i="71"/>
  <c r="X32" i="71"/>
  <c r="F40" i="71"/>
  <c r="V40" i="71" s="1"/>
  <c r="AB38" i="71"/>
  <c r="F75" i="71"/>
  <c r="F74" i="71" s="1"/>
  <c r="M14" i="15"/>
  <c r="F14" i="15"/>
  <c r="E14" i="15"/>
  <c r="F66" i="15"/>
  <c r="U29" i="35"/>
  <c r="AB36" i="33"/>
  <c r="S36" i="33"/>
  <c r="S37" i="34"/>
  <c r="S42" i="39"/>
  <c r="D6" i="52"/>
  <c r="C9" i="39"/>
  <c r="C69" i="39" s="1"/>
  <c r="C71" i="39" s="1"/>
  <c r="C9" i="40"/>
  <c r="C65" i="40" s="1"/>
  <c r="C67"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A43" i="39"/>
  <c r="U43" i="39"/>
  <c r="AC43" i="39"/>
  <c r="AA13"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J60" i="15"/>
  <c r="C7" i="35"/>
  <c r="C48" i="35" s="1"/>
  <c r="D48" i="35" s="1"/>
  <c r="E48" i="35" s="1"/>
  <c r="J60" i="81"/>
  <c r="F48" i="68"/>
  <c r="C48" i="68" s="1"/>
  <c r="C22" i="68"/>
  <c r="C40" i="11"/>
  <c r="E19" i="69"/>
  <c r="C7" i="21"/>
  <c r="E7"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2" i="3"/>
  <c r="AZ467" i="3"/>
  <c r="AZ468" i="3"/>
  <c r="AZ470" i="3"/>
  <c r="W37" i="39"/>
  <c r="F27" i="34"/>
  <c r="C23" i="39"/>
  <c r="U9" i="36"/>
  <c r="U14" i="37"/>
  <c r="H12" i="21"/>
  <c r="G526" i="3"/>
  <c r="AZ420" i="3"/>
  <c r="AZ424"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BL43" i="3"/>
  <c r="AZ43" i="3" s="1"/>
  <c r="BL46" i="3"/>
  <c r="AZ90" i="3"/>
  <c r="AZ92" i="3"/>
  <c r="BL78" i="3"/>
  <c r="BA83" i="3"/>
  <c r="AZ83" i="3" s="1"/>
  <c r="G91" i="3"/>
  <c r="BL95" i="3"/>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G30" i="6"/>
  <c r="G31" i="6" s="1"/>
  <c r="M6" i="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40" i="1" s="1"/>
  <c r="B13" i="70"/>
  <c r="D15" i="80"/>
  <c r="D21" i="12"/>
  <c r="D15" i="68"/>
  <c r="L57" i="85"/>
  <c r="M28" i="67"/>
  <c r="M22" i="85"/>
  <c r="D3" i="73"/>
  <c r="M30" i="81"/>
  <c r="C71" i="85"/>
  <c r="F7" i="81"/>
  <c r="F30" i="81"/>
  <c r="L57" i="15"/>
  <c r="M6" i="85"/>
  <c r="M8" i="67"/>
  <c r="F32" i="81"/>
  <c r="M24" i="67"/>
  <c r="M28" i="81"/>
  <c r="F36" i="67"/>
  <c r="M24" i="85"/>
  <c r="F6" i="67"/>
  <c r="F13" i="67"/>
  <c r="F52" i="15"/>
  <c r="F30" i="85"/>
  <c r="F9" i="67"/>
  <c r="M36" i="81"/>
  <c r="F6" i="85"/>
  <c r="M22" i="81"/>
  <c r="M36" i="85"/>
  <c r="M8" i="15"/>
  <c r="M29" i="67"/>
  <c r="C76" i="67"/>
  <c r="M6" i="15"/>
  <c r="D7" i="73"/>
  <c r="F26" i="15"/>
  <c r="F9" i="15"/>
  <c r="L56" i="85"/>
  <c r="M31" i="15"/>
  <c r="F9" i="81"/>
  <c r="F52" i="81"/>
  <c r="M31" i="81"/>
  <c r="L56" i="81"/>
  <c r="F8" i="85"/>
  <c r="F26" i="67"/>
  <c r="F43" i="67"/>
  <c r="M26" i="81"/>
  <c r="F9" i="85"/>
  <c r="M23" i="67"/>
  <c r="M30" i="15"/>
  <c r="D4" i="73"/>
  <c r="F32" i="15"/>
  <c r="F37" i="67"/>
  <c r="F8" i="67"/>
  <c r="F28" i="81"/>
  <c r="F42" i="67"/>
  <c r="M8" i="81"/>
  <c r="F48" i="15"/>
  <c r="C71" i="15"/>
  <c r="M9" i="81"/>
  <c r="M28" i="85"/>
  <c r="F22" i="85"/>
  <c r="F38" i="67"/>
  <c r="L57" i="81"/>
  <c r="M31" i="85"/>
  <c r="F30" i="15"/>
  <c r="M26" i="85"/>
  <c r="F38" i="15"/>
  <c r="M9" i="67"/>
  <c r="D5" i="73"/>
  <c r="F48" i="81"/>
  <c r="F52" i="85"/>
  <c r="F16" i="67"/>
  <c r="J15" i="67"/>
  <c r="M6" i="81"/>
  <c r="C19" i="81"/>
  <c r="C88" i="85"/>
  <c r="F22" i="15"/>
  <c r="M28" i="15"/>
  <c r="C88" i="15"/>
  <c r="M30" i="85"/>
  <c r="F7" i="15"/>
  <c r="C88" i="81"/>
  <c r="F7" i="67"/>
  <c r="C71" i="81"/>
  <c r="M26" i="67"/>
  <c r="M6" i="67"/>
  <c r="F40" i="67"/>
  <c r="F6" i="15"/>
  <c r="F48" i="85"/>
  <c r="F8" i="81"/>
  <c r="M24" i="81"/>
  <c r="M9" i="85"/>
  <c r="M36" i="15"/>
  <c r="F28" i="85"/>
  <c r="F6" i="81"/>
  <c r="F8" i="15"/>
  <c r="F26" i="85"/>
  <c r="F28" i="15"/>
  <c r="M8" i="85"/>
  <c r="L48" i="67"/>
  <c r="F24" i="15"/>
  <c r="F38" i="85"/>
  <c r="L56" i="15"/>
  <c r="M22" i="67"/>
  <c r="F32" i="85"/>
  <c r="M22" i="15"/>
  <c r="M9" i="15"/>
  <c r="F26" i="81"/>
  <c r="M24" i="15"/>
  <c r="F24" i="81"/>
  <c r="F7" i="85"/>
  <c r="L47" i="67"/>
  <c r="F22" i="81"/>
  <c r="M26" i="15"/>
  <c r="F38" i="81"/>
  <c r="F24" i="85"/>
  <c r="AB41" i="39" l="1"/>
  <c r="AA41" i="39"/>
  <c r="D9" i="69"/>
  <c r="C9" i="69" s="1"/>
  <c r="AZ16" i="3"/>
  <c r="Q16" i="1"/>
  <c r="F27" i="69" s="1"/>
  <c r="K15" i="1"/>
  <c r="L20" i="6"/>
  <c r="Q82" i="85"/>
  <c r="F77" i="85"/>
  <c r="F60" i="85"/>
  <c r="E8" i="85"/>
  <c r="C7" i="85"/>
  <c r="C9" i="85" s="1"/>
  <c r="C6" i="85" s="1"/>
  <c r="F80" i="85"/>
  <c r="F59" i="85"/>
  <c r="M7" i="85"/>
  <c r="J7" i="85" s="1"/>
  <c r="J9" i="85" s="1"/>
  <c r="J6" i="85" s="1"/>
  <c r="J16" i="85" s="1"/>
  <c r="C49" i="85"/>
  <c r="N68" i="85"/>
  <c r="L68" i="85" s="1"/>
  <c r="L67" i="85"/>
  <c r="M68" i="85"/>
  <c r="F84" i="85"/>
  <c r="L66" i="85"/>
  <c r="I63" i="85"/>
  <c r="J68" i="85"/>
  <c r="J66" i="85"/>
  <c r="J64" i="85" s="1"/>
  <c r="J67" i="85" s="1"/>
  <c r="Q59" i="85" s="1"/>
  <c r="J69" i="85"/>
  <c r="Q57" i="85" s="1"/>
  <c r="L65" i="85"/>
  <c r="L69" i="85"/>
  <c r="J62" i="85"/>
  <c r="F1" i="85" s="1"/>
  <c r="F75" i="85"/>
  <c r="L8" i="85"/>
  <c r="F78" i="85"/>
  <c r="C19" i="82"/>
  <c r="M7" i="1"/>
  <c r="O7" i="1" s="1"/>
  <c r="P7" i="1" s="1"/>
  <c r="AP7" i="1"/>
  <c r="C36" i="69" s="1"/>
  <c r="I7" i="21"/>
  <c r="G7" i="21"/>
  <c r="W42" i="21"/>
  <c r="U13" i="39"/>
  <c r="AA29" i="39"/>
  <c r="M11" i="85"/>
  <c r="J10" i="85" s="1"/>
  <c r="F11" i="85"/>
  <c r="F80" i="15"/>
  <c r="F84" i="15"/>
  <c r="Q82" i="15"/>
  <c r="C49" i="15"/>
  <c r="F77" i="15"/>
  <c r="F59" i="15"/>
  <c r="M7" i="15"/>
  <c r="J7" i="15" s="1"/>
  <c r="J9" i="15" s="1"/>
  <c r="F60" i="15"/>
  <c r="E60" i="15" s="1"/>
  <c r="E8" i="15"/>
  <c r="N68" i="15"/>
  <c r="L68" i="15" s="1"/>
  <c r="Q70" i="15" s="1"/>
  <c r="M68" i="15"/>
  <c r="L8" i="15"/>
  <c r="F75" i="15"/>
  <c r="C7" i="15"/>
  <c r="C9" i="15" s="1"/>
  <c r="F78" i="15"/>
  <c r="F50" i="67"/>
  <c r="M7" i="67"/>
  <c r="J6" i="67" s="1"/>
  <c r="F68" i="67"/>
  <c r="F66" i="67"/>
  <c r="H16" i="1"/>
  <c r="E12" i="6"/>
  <c r="E59" i="40" s="1"/>
  <c r="E13" i="6"/>
  <c r="G5" i="3"/>
  <c r="B3" i="3" s="1"/>
  <c r="E63" i="3" s="1"/>
  <c r="F30" i="6"/>
  <c r="D69" i="39"/>
  <c r="D71" i="39" s="1"/>
  <c r="J7" i="36"/>
  <c r="F51" i="67"/>
  <c r="N59" i="67"/>
  <c r="L59" i="67"/>
  <c r="Q61" i="67" s="1"/>
  <c r="M59" i="67"/>
  <c r="C27" i="67"/>
  <c r="F65" i="67"/>
  <c r="F71" i="67"/>
  <c r="F64" i="67"/>
  <c r="Q71" i="67"/>
  <c r="C6" i="67"/>
  <c r="F31" i="67"/>
  <c r="O65" i="71"/>
  <c r="O66" i="71"/>
  <c r="D66" i="71"/>
  <c r="C82" i="71"/>
  <c r="D82" i="71" s="1"/>
  <c r="D83" i="71"/>
  <c r="D71" i="71"/>
  <c r="C70" i="71"/>
  <c r="D70" i="71" s="1"/>
  <c r="AZ411" i="3"/>
  <c r="AZ33" i="3"/>
  <c r="AZ300" i="3"/>
  <c r="AZ266" i="3"/>
  <c r="AZ481" i="3"/>
  <c r="AZ121" i="3"/>
  <c r="AZ274" i="3"/>
  <c r="D23" i="71"/>
  <c r="C22" i="71"/>
  <c r="C78" i="71"/>
  <c r="D78" i="71" s="1"/>
  <c r="D79" i="71"/>
  <c r="N65" i="71"/>
  <c r="N66" i="71"/>
  <c r="AZ53" i="3"/>
  <c r="AZ39" i="3"/>
  <c r="AZ21" i="3"/>
  <c r="AZ162" i="3"/>
  <c r="AZ149" i="3"/>
  <c r="AZ229" i="3"/>
  <c r="AZ218" i="3"/>
  <c r="AZ210" i="3"/>
  <c r="AZ491" i="3"/>
  <c r="AZ415" i="3"/>
  <c r="AZ398" i="3"/>
  <c r="AZ368" i="3"/>
  <c r="AZ353" i="3"/>
  <c r="AZ432" i="3"/>
  <c r="AZ417" i="3"/>
  <c r="AA46" i="39"/>
  <c r="S46" i="39"/>
  <c r="AC23" i="36"/>
  <c r="W23" i="36"/>
  <c r="AA28" i="37"/>
  <c r="S28" i="37"/>
  <c r="AZ585" i="3"/>
  <c r="T28" i="71"/>
  <c r="D28" i="71"/>
  <c r="U28" i="71" s="1"/>
  <c r="C27" i="71"/>
  <c r="B19" i="71"/>
  <c r="B18" i="71" s="1"/>
  <c r="B17" i="71" s="1"/>
  <c r="B16" i="71" s="1"/>
  <c r="S20" i="71"/>
  <c r="T60" i="71"/>
  <c r="D60" i="71"/>
  <c r="AB9" i="34"/>
  <c r="U9" i="34"/>
  <c r="AA40" i="37"/>
  <c r="S40" i="37"/>
  <c r="AA27" i="21"/>
  <c r="S27" i="21"/>
  <c r="D65" i="40"/>
  <c r="AZ209" i="3"/>
  <c r="AZ234" i="3"/>
  <c r="AC29" i="39"/>
  <c r="C36" i="71"/>
  <c r="D35" i="71"/>
  <c r="C40" i="71"/>
  <c r="D39" i="71"/>
  <c r="AZ51" i="3"/>
  <c r="AZ194" i="3"/>
  <c r="AZ238" i="3"/>
  <c r="AZ459" i="3"/>
  <c r="AZ421" i="3"/>
  <c r="AZ550" i="3"/>
  <c r="AB12" i="34"/>
  <c r="U12" i="34"/>
  <c r="S24" i="35"/>
  <c r="AA24" i="35"/>
  <c r="U23" i="35"/>
  <c r="AB23" i="35"/>
  <c r="AB38" i="39"/>
  <c r="U38" i="39"/>
  <c r="S31" i="33"/>
  <c r="AA31" i="33"/>
  <c r="U30" i="34"/>
  <c r="AB30" i="34"/>
  <c r="AB14" i="40"/>
  <c r="U14" i="40"/>
  <c r="AB27" i="21"/>
  <c r="U27" i="21"/>
  <c r="AC44" i="21"/>
  <c r="W44" i="21"/>
  <c r="C32" i="71"/>
  <c r="D31" i="71"/>
  <c r="AZ454" i="3"/>
  <c r="AZ428" i="3"/>
  <c r="AC41" i="40"/>
  <c r="W41" i="40"/>
  <c r="B20" i="31"/>
  <c r="B21" i="31" s="1"/>
  <c r="AZ333" i="3"/>
  <c r="AZ66" i="3"/>
  <c r="C44" i="71"/>
  <c r="D43" i="71"/>
  <c r="AZ111" i="3"/>
  <c r="AZ271" i="3"/>
  <c r="AZ108" i="3"/>
  <c r="AZ58" i="3"/>
  <c r="AZ49" i="3"/>
  <c r="AZ302" i="3"/>
  <c r="AZ483" i="3"/>
  <c r="AZ418" i="3"/>
  <c r="AZ429" i="3"/>
  <c r="U41" i="40"/>
  <c r="AB41" i="40"/>
  <c r="AC9" i="34"/>
  <c r="W9" i="34"/>
  <c r="W46" i="34"/>
  <c r="AC46" i="34"/>
  <c r="AB33" i="36"/>
  <c r="U33" i="36"/>
  <c r="W11" i="35"/>
  <c r="AC11" i="35"/>
  <c r="W27" i="21"/>
  <c r="AC27" i="21"/>
  <c r="AZ586" i="3"/>
  <c r="U44" i="21"/>
  <c r="AB44" i="21"/>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J7" i="37"/>
  <c r="AC7" i="37" s="1"/>
  <c r="K1" i="73"/>
  <c r="E512" i="3"/>
  <c r="E220" i="3"/>
  <c r="E393" i="3"/>
  <c r="J6" i="3"/>
  <c r="E276" i="3"/>
  <c r="E346" i="3"/>
  <c r="E38" i="3"/>
  <c r="E170" i="3"/>
  <c r="E339" i="3"/>
  <c r="E340" i="3"/>
  <c r="E364" i="3"/>
  <c r="E265" i="3"/>
  <c r="E165" i="3"/>
  <c r="E460" i="3"/>
  <c r="E90" i="3"/>
  <c r="E24" i="3"/>
  <c r="E51" i="3"/>
  <c r="E244" i="3"/>
  <c r="E520" i="3"/>
  <c r="E57" i="3"/>
  <c r="E209" i="3"/>
  <c r="E19" i="3"/>
  <c r="E464" i="3"/>
  <c r="E297" i="3"/>
  <c r="E341" i="3"/>
  <c r="E373" i="3"/>
  <c r="E374" i="3"/>
  <c r="E66" i="3"/>
  <c r="AD6" i="3"/>
  <c r="E488" i="3"/>
  <c r="E167" i="3"/>
  <c r="E98" i="3"/>
  <c r="E127" i="3"/>
  <c r="E352" i="3"/>
  <c r="E306" i="3"/>
  <c r="E313" i="3"/>
  <c r="E288" i="3"/>
  <c r="E537" i="3"/>
  <c r="E168" i="3"/>
  <c r="E257" i="3"/>
  <c r="E397" i="3"/>
  <c r="E207" i="3"/>
  <c r="E548" i="3"/>
  <c r="E547" i="3"/>
  <c r="E403" i="3"/>
  <c r="E272" i="3"/>
  <c r="E317" i="3"/>
  <c r="E319" i="3"/>
  <c r="E328" i="3"/>
  <c r="E574" i="3"/>
  <c r="E97" i="3"/>
  <c r="E523" i="3"/>
  <c r="E418" i="3"/>
  <c r="E321" i="3"/>
  <c r="E304" i="3"/>
  <c r="E565" i="3"/>
  <c r="E213" i="3"/>
  <c r="E254" i="3"/>
  <c r="E303" i="3"/>
  <c r="AN6" i="3"/>
  <c r="AA6" i="3"/>
  <c r="E434" i="3"/>
  <c r="E128" i="3"/>
  <c r="E330" i="3"/>
  <c r="Q6" i="3"/>
  <c r="E481" i="3"/>
  <c r="E429" i="3"/>
  <c r="E496" i="3"/>
  <c r="E203" i="3"/>
  <c r="E274" i="3"/>
  <c r="E32" i="3"/>
  <c r="I6" i="3"/>
  <c r="E576" i="3"/>
  <c r="E448" i="3"/>
  <c r="P6" i="3"/>
  <c r="E444" i="3"/>
  <c r="E404" i="3"/>
  <c r="E166" i="3"/>
  <c r="E334" i="3"/>
  <c r="E480" i="3"/>
  <c r="E366" i="3"/>
  <c r="E239" i="3"/>
  <c r="E516" i="3"/>
  <c r="E569" i="3"/>
  <c r="E358" i="3"/>
  <c r="E551" i="3"/>
  <c r="E407" i="3"/>
  <c r="E230" i="3"/>
  <c r="E415" i="3"/>
  <c r="E395" i="3"/>
  <c r="E290" i="3"/>
  <c r="E61" i="3"/>
  <c r="E382" i="3"/>
  <c r="E336" i="3"/>
  <c r="E583" i="3"/>
  <c r="E85" i="3"/>
  <c r="E511" i="3"/>
  <c r="E193" i="3"/>
  <c r="E519" i="3"/>
  <c r="E457" i="3"/>
  <c r="E571" i="3"/>
  <c r="E450" i="3"/>
  <c r="E150" i="3"/>
  <c r="E279" i="3"/>
  <c r="E31" i="3"/>
  <c r="E567" i="3"/>
  <c r="E269" i="3"/>
  <c r="E107" i="3"/>
  <c r="E515" i="3"/>
  <c r="E478" i="3"/>
  <c r="E505" i="3"/>
  <c r="AS6" i="3"/>
  <c r="E476" i="3"/>
  <c r="E162" i="3"/>
  <c r="E186" i="3"/>
  <c r="E331" i="3"/>
  <c r="E44" i="3"/>
  <c r="E175" i="3"/>
  <c r="E530" i="3"/>
  <c r="E508" i="3"/>
  <c r="E388" i="3"/>
  <c r="E555" i="3"/>
  <c r="E143" i="3"/>
  <c r="E270" i="3"/>
  <c r="AR6" i="3"/>
  <c r="E538" i="3"/>
  <c r="E380" i="3"/>
  <c r="E231" i="3"/>
  <c r="E261" i="3"/>
  <c r="E528" i="3"/>
  <c r="E183" i="3"/>
  <c r="E180" i="3"/>
  <c r="E91" i="3"/>
  <c r="E134" i="3"/>
  <c r="E350" i="3"/>
  <c r="E586" i="3"/>
  <c r="E495" i="3"/>
  <c r="E399" i="3"/>
  <c r="E347" i="3"/>
  <c r="E7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15" i="68"/>
  <c r="E72" i="43"/>
  <c r="B70" i="43" s="1"/>
  <c r="C29" i="69"/>
  <c r="D27" i="69" s="1"/>
  <c r="F45" i="69"/>
  <c r="F27" i="11"/>
  <c r="C29" i="11" s="1"/>
  <c r="D27" i="11" s="1"/>
  <c r="E60" i="40"/>
  <c r="E64" i="39"/>
  <c r="D5" i="43"/>
  <c r="C7" i="43"/>
  <c r="C5" i="43" s="1"/>
  <c r="D10" i="52"/>
  <c r="H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P29" i="43"/>
  <c r="P27" i="43"/>
  <c r="B72" i="39" s="1"/>
  <c r="M11" i="67"/>
  <c r="J10" i="67" s="1"/>
  <c r="F11" i="15"/>
  <c r="M11" i="15"/>
  <c r="J10" i="15" s="1"/>
  <c r="F11" i="67"/>
  <c r="AE11" i="1"/>
  <c r="AE12" i="1"/>
  <c r="AE10" i="1"/>
  <c r="F33" i="12"/>
  <c r="C18" i="12"/>
  <c r="F27" i="68"/>
  <c r="G1" i="73"/>
  <c r="C16" i="67"/>
  <c r="C38" i="81"/>
  <c r="C38" i="15"/>
  <c r="C38" i="85"/>
  <c r="E111" i="3" l="1"/>
  <c r="E458" i="3"/>
  <c r="E314" i="3"/>
  <c r="E518" i="3"/>
  <c r="E260" i="3"/>
  <c r="E294" i="3"/>
  <c r="E151" i="3"/>
  <c r="E553" i="3"/>
  <c r="E295" i="3"/>
  <c r="E581" i="3"/>
  <c r="E252" i="3"/>
  <c r="E256" i="3"/>
  <c r="E344" i="3"/>
  <c r="E262" i="3"/>
  <c r="E280" i="3"/>
  <c r="E221" i="3"/>
  <c r="E298" i="3"/>
  <c r="E390" i="3"/>
  <c r="E501" i="3"/>
  <c r="E126" i="3"/>
  <c r="E379" i="3"/>
  <c r="E208" i="3"/>
  <c r="E474" i="3"/>
  <c r="E82" i="3"/>
  <c r="E154" i="3"/>
  <c r="E163" i="3"/>
  <c r="E375" i="3"/>
  <c r="E48" i="3"/>
  <c r="E500" i="3"/>
  <c r="E521" i="3"/>
  <c r="E524" i="3"/>
  <c r="E52" i="3"/>
  <c r="E60" i="3"/>
  <c r="AH6" i="3"/>
  <c r="E235" i="3"/>
  <c r="O6" i="3"/>
  <c r="E29" i="3"/>
  <c r="E546" i="3"/>
  <c r="E411" i="3"/>
  <c r="E93" i="3"/>
  <c r="E471" i="3"/>
  <c r="E532" i="3"/>
  <c r="E136" i="3"/>
  <c r="E187" i="3"/>
  <c r="E459" i="3"/>
  <c r="E259" i="3"/>
  <c r="E47" i="3"/>
  <c r="E149" i="3"/>
  <c r="E138" i="3"/>
  <c r="E312" i="3"/>
  <c r="E65" i="3"/>
  <c r="E566" i="3"/>
  <c r="E62" i="3"/>
  <c r="AQ6" i="3"/>
  <c r="E473" i="3"/>
  <c r="E40" i="3"/>
  <c r="E188" i="3"/>
  <c r="E33" i="3"/>
  <c r="E356" i="3"/>
  <c r="E543" i="3"/>
  <c r="E178" i="3"/>
  <c r="E43" i="3"/>
  <c r="E234" i="3"/>
  <c r="E147" i="3"/>
  <c r="E176" i="3"/>
  <c r="E141"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580" i="3"/>
  <c r="E164" i="3"/>
  <c r="E443" i="3"/>
  <c r="E121" i="3"/>
  <c r="E30" i="3"/>
  <c r="E282" i="3"/>
  <c r="E229" i="3"/>
  <c r="V6" i="3"/>
  <c r="E130" i="3"/>
  <c r="E117" i="3"/>
  <c r="E578" i="3"/>
  <c r="E253" i="3"/>
  <c r="E45" i="3"/>
  <c r="E527" i="3"/>
  <c r="E433" i="3"/>
  <c r="E318" i="3"/>
  <c r="E271" i="3"/>
  <c r="E414" i="3"/>
  <c r="E27" i="3"/>
  <c r="E384" i="3"/>
  <c r="E343" i="3"/>
  <c r="E337" i="3"/>
  <c r="E561" i="3"/>
  <c r="E216" i="3"/>
  <c r="E503" i="3"/>
  <c r="E301" i="3"/>
  <c r="E124" i="3"/>
  <c r="E568" i="3"/>
  <c r="E228" i="3"/>
  <c r="E560" i="3"/>
  <c r="E587" i="3"/>
  <c r="E106" i="3"/>
  <c r="E315" i="3"/>
  <c r="E368" i="3"/>
  <c r="Z6" i="3"/>
  <c r="E345" i="3"/>
  <c r="E28" i="3"/>
  <c r="E273" i="3"/>
  <c r="E217" i="3"/>
  <c r="AJ6" i="3"/>
  <c r="E247" i="3"/>
  <c r="E570" i="3"/>
  <c r="E335" i="3"/>
  <c r="E278" i="3"/>
  <c r="E535" i="3"/>
  <c r="E263" i="3"/>
  <c r="AT6" i="3"/>
  <c r="E64" i="3"/>
  <c r="E205" i="3"/>
  <c r="E232" i="3"/>
  <c r="E422" i="3"/>
  <c r="E108" i="3"/>
  <c r="E333" i="3"/>
  <c r="E455" i="3"/>
  <c r="E299" i="3"/>
  <c r="E112" i="3"/>
  <c r="E20" i="3"/>
  <c r="E365" i="3"/>
  <c r="E552"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498" i="3"/>
  <c r="E486" i="3"/>
  <c r="E329" i="3"/>
  <c r="E497" i="3"/>
  <c r="AL6" i="3"/>
  <c r="E544" i="3"/>
  <c r="E155" i="3"/>
  <c r="E398" i="3"/>
  <c r="E101" i="3"/>
  <c r="E218" i="3"/>
  <c r="E50" i="3"/>
  <c r="E123" i="3"/>
  <c r="E392" i="3"/>
  <c r="E137" i="3"/>
  <c r="E15" i="3"/>
  <c r="L6" i="3"/>
  <c r="E202" i="3"/>
  <c r="E463" i="3"/>
  <c r="E440" i="3"/>
  <c r="E493" i="3"/>
  <c r="E80" i="3"/>
  <c r="E225" i="3"/>
  <c r="E86" i="3"/>
  <c r="E184" i="3"/>
  <c r="E95" i="3"/>
  <c r="E16" i="3"/>
  <c r="E35" i="3"/>
  <c r="E13" i="3"/>
  <c r="E308" i="3"/>
  <c r="E281" i="3"/>
  <c r="E267" i="3"/>
  <c r="E517" i="3"/>
  <c r="E449" i="3"/>
  <c r="E401" i="3"/>
  <c r="E490" i="3"/>
  <c r="E427" i="3"/>
  <c r="E105" i="3"/>
  <c r="E158" i="3"/>
  <c r="E324" i="3"/>
  <c r="E41" i="3"/>
  <c r="E525" i="3"/>
  <c r="E383" i="3"/>
  <c r="E513" i="3"/>
  <c r="E249" i="3"/>
  <c r="E389" i="3"/>
  <c r="E442" i="3"/>
  <c r="E289" i="3"/>
  <c r="E36" i="3"/>
  <c r="E325" i="3"/>
  <c r="E194" i="3"/>
  <c r="E79" i="3"/>
  <c r="E540" i="3"/>
  <c r="E372" i="3"/>
  <c r="E226" i="3"/>
  <c r="E25" i="3"/>
  <c r="E419" i="3"/>
  <c r="E376" i="3"/>
  <c r="E507" i="3"/>
  <c r="E564" i="3"/>
  <c r="E116" i="3"/>
  <c r="E326" i="3"/>
  <c r="E49" i="3"/>
  <c r="E190" i="3"/>
  <c r="E420" i="3"/>
  <c r="E456" i="3"/>
  <c r="E102" i="3"/>
  <c r="E482" i="3"/>
  <c r="E81" i="3"/>
  <c r="E84" i="3"/>
  <c r="E484" i="3"/>
  <c r="E37" i="3"/>
  <c r="E499" i="3"/>
  <c r="E428" i="3"/>
  <c r="E26" i="3"/>
  <c r="E408" i="3"/>
  <c r="E173" i="3"/>
  <c r="AF6" i="3"/>
  <c r="E18" i="3"/>
  <c r="E494" i="3"/>
  <c r="E68" i="3"/>
  <c r="E310" i="3"/>
  <c r="E467" i="3"/>
  <c r="E258" i="3"/>
  <c r="E554" i="3"/>
  <c r="E286" i="3"/>
  <c r="E292" i="3"/>
  <c r="E491" i="3"/>
  <c r="E430" i="3"/>
  <c r="E212" i="3"/>
  <c r="E556" i="3"/>
  <c r="T6" i="3"/>
  <c r="E22" i="3"/>
  <c r="E206" i="3"/>
  <c r="E96" i="3"/>
  <c r="E391" i="3"/>
  <c r="E309" i="3"/>
  <c r="E233" i="3"/>
  <c r="E492" i="3"/>
  <c r="E160" i="3"/>
  <c r="E59" i="3"/>
  <c r="E241" i="3"/>
  <c r="E479" i="3"/>
  <c r="E255" i="3"/>
  <c r="E502" i="3"/>
  <c r="E536" i="3"/>
  <c r="E412" i="3"/>
  <c r="E115" i="3"/>
  <c r="E470" i="3"/>
  <c r="E451" i="3"/>
  <c r="E405" i="3"/>
  <c r="E197" i="3"/>
  <c r="E113" i="3"/>
  <c r="E34" i="3"/>
  <c r="E174" i="3"/>
  <c r="E42" i="3"/>
  <c r="E198" i="3"/>
  <c r="E283" i="3"/>
  <c r="E355" i="3"/>
  <c r="E67" i="3"/>
  <c r="E371" i="3"/>
  <c r="E46" i="3"/>
  <c r="E409" i="3"/>
  <c r="E349" i="3"/>
  <c r="E152" i="3"/>
  <c r="E417" i="3"/>
  <c r="AP6" i="3"/>
  <c r="E466" i="3"/>
  <c r="E575" i="3"/>
  <c r="E539"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L55" i="85"/>
  <c r="J5" i="85"/>
  <c r="J26" i="85" s="1"/>
  <c r="Q61" i="85"/>
  <c r="Q69" i="85"/>
  <c r="Q84" i="85"/>
  <c r="E60" i="85"/>
  <c r="C59" i="85"/>
  <c r="C61" i="85" s="1"/>
  <c r="C58" i="85" s="1"/>
  <c r="C68" i="85" s="1"/>
  <c r="Q70" i="85"/>
  <c r="Q85" i="85"/>
  <c r="W7" i="37"/>
  <c r="Q66" i="85"/>
  <c r="Q75" i="85"/>
  <c r="C19" i="85"/>
  <c r="C16" i="85"/>
  <c r="C62" i="85"/>
  <c r="C10" i="85"/>
  <c r="C5" i="85" s="1"/>
  <c r="C6" i="15"/>
  <c r="C10" i="15" s="1"/>
  <c r="Q85" i="15"/>
  <c r="C59" i="15"/>
  <c r="C61" i="15" s="1"/>
  <c r="C49" i="67"/>
  <c r="E62" i="40"/>
  <c r="E16" i="6"/>
  <c r="Q74" i="67"/>
  <c r="G16" i="1"/>
  <c r="J12" i="39" s="1"/>
  <c r="W12" i="39" s="1"/>
  <c r="J18" i="67"/>
  <c r="J5" i="67"/>
  <c r="J24" i="67" s="1"/>
  <c r="AB7" i="36"/>
  <c r="T36" i="36" s="1"/>
  <c r="G36" i="36" s="1"/>
  <c r="G40" i="36" s="1"/>
  <c r="H40" i="36" s="1"/>
  <c r="T32" i="71"/>
  <c r="D32" i="71"/>
  <c r="T36" i="71"/>
  <c r="D36" i="71"/>
  <c r="C21" i="71"/>
  <c r="D22" i="71"/>
  <c r="T44" i="71"/>
  <c r="D44" i="71"/>
  <c r="T40" i="71"/>
  <c r="D40" i="71"/>
  <c r="C26" i="71"/>
  <c r="D26" i="71" s="1"/>
  <c r="D27" i="71"/>
  <c r="Q61" i="15"/>
  <c r="F1" i="15"/>
  <c r="J9" i="8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Q61" i="81"/>
  <c r="F1" i="81"/>
  <c r="C34" i="12"/>
  <c r="J6" i="15"/>
  <c r="J5" i="15" s="1"/>
  <c r="C29" i="68"/>
  <c r="C54" i="68"/>
  <c r="F52" i="68"/>
  <c r="C32" i="67"/>
  <c r="F48" i="69"/>
  <c r="C48" i="69"/>
  <c r="C30" i="69"/>
  <c r="C48" i="11"/>
  <c r="C30" i="11"/>
  <c r="B41" i="1"/>
  <c r="F46" i="85"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40"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1" i="36"/>
  <c r="H41" i="36" s="1"/>
  <c r="G46" i="37"/>
  <c r="H46" i="37" s="1"/>
  <c r="G47" i="37"/>
  <c r="H47" i="37" s="1"/>
  <c r="I46" i="37"/>
  <c r="J46" i="37" s="1"/>
  <c r="G48" i="35"/>
  <c r="U7" i="33"/>
  <c r="AB7" i="33"/>
  <c r="T48" i="33" s="1"/>
  <c r="G48" i="33" s="1"/>
  <c r="C53" i="67"/>
  <c r="C10" i="67"/>
  <c r="C5" i="67" s="1"/>
  <c r="C38" i="67" s="1"/>
  <c r="AE7" i="1"/>
  <c r="AE6" i="1"/>
  <c r="AE9" i="1"/>
  <c r="M29" i="85"/>
  <c r="M29" i="81"/>
  <c r="AE8" i="1"/>
  <c r="M27" i="67"/>
  <c r="F29" i="81"/>
  <c r="F41" i="67"/>
  <c r="M29" i="15"/>
  <c r="C57" i="85" l="1"/>
  <c r="C78" i="85" s="1"/>
  <c r="AC6" i="3"/>
  <c r="E6" i="3" s="1"/>
  <c r="D19" i="11"/>
  <c r="C19" i="11" s="1"/>
  <c r="L18" i="9"/>
  <c r="D37" i="11"/>
  <c r="F40" i="39"/>
  <c r="H40" i="39"/>
  <c r="J40" i="39"/>
  <c r="C19" i="15"/>
  <c r="J28" i="85"/>
  <c r="C26" i="85"/>
  <c r="C46" i="85"/>
  <c r="C16" i="15"/>
  <c r="C58" i="15"/>
  <c r="C57" i="15" s="1"/>
  <c r="C5" i="15"/>
  <c r="C26" i="15" s="1"/>
  <c r="C48" i="67"/>
  <c r="C66" i="67" s="1"/>
  <c r="H12" i="39"/>
  <c r="U12" i="39" s="1"/>
  <c r="F12" i="39"/>
  <c r="AA12" i="39" s="1"/>
  <c r="J12" i="40"/>
  <c r="H12" i="40"/>
  <c r="AB12" i="40" s="1"/>
  <c r="F12" i="40"/>
  <c r="S12" i="40" s="1"/>
  <c r="D21" i="71"/>
  <c r="C20" i="71"/>
  <c r="J6" i="81"/>
  <c r="J16" i="81" s="1"/>
  <c r="D16" i="80"/>
  <c r="C16" i="80" s="1"/>
  <c r="C14"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9" i="85"/>
  <c r="C14" i="67"/>
  <c r="C36" i="81"/>
  <c r="F29" i="85"/>
  <c r="C39" i="15"/>
  <c r="C39" i="81"/>
  <c r="C17" i="67"/>
  <c r="F29" i="15"/>
  <c r="F81" i="85" l="1"/>
  <c r="J31" i="85"/>
  <c r="J32" i="85" s="1"/>
  <c r="H24" i="6"/>
  <c r="H21" i="6"/>
  <c r="F81" i="15"/>
  <c r="S12" i="39"/>
  <c r="W40" i="39"/>
  <c r="AC40" i="39"/>
  <c r="AB40" i="39"/>
  <c r="U40" i="39"/>
  <c r="AA40" i="39"/>
  <c r="S40" i="39"/>
  <c r="J36" i="1"/>
  <c r="J33" i="1"/>
  <c r="C68" i="15"/>
  <c r="AB12" i="39"/>
  <c r="C60" i="67"/>
  <c r="D17" i="80"/>
  <c r="D18" i="80" s="1"/>
  <c r="U12" i="40"/>
  <c r="AA12" i="40"/>
  <c r="AC12" i="40"/>
  <c r="W12" i="40"/>
  <c r="C19" i="71"/>
  <c r="T20" i="71"/>
  <c r="D20" i="71"/>
  <c r="U20" i="71"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36" i="85"/>
  <c r="M21" i="85"/>
  <c r="E6" i="76"/>
  <c r="F21" i="85"/>
  <c r="B6" i="76"/>
  <c r="C41" i="85" l="1"/>
  <c r="C37" i="85"/>
  <c r="C40" i="85"/>
  <c r="J20" i="85"/>
  <c r="F73" i="85"/>
  <c r="C72" i="85" s="1"/>
  <c r="C20" i="85"/>
  <c r="C17" i="80"/>
  <c r="D31" i="6"/>
  <c r="I5" i="6" s="1"/>
  <c r="C18" i="80"/>
  <c r="C44" i="80" s="1"/>
  <c r="C18" i="71"/>
  <c r="D19" i="7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2" i="11"/>
  <c r="C31" i="1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C35" i="85"/>
  <c r="C42" i="85" s="1"/>
  <c r="C40" i="80"/>
  <c r="C47" i="80" s="1"/>
  <c r="C53" i="80" s="1"/>
  <c r="C52" i="80" s="1"/>
  <c r="C13" i="80"/>
  <c r="C9" i="80" s="1"/>
  <c r="C21" i="80" s="1"/>
  <c r="C28" i="80" s="1"/>
  <c r="C27" i="80" s="1"/>
  <c r="D18" i="71"/>
  <c r="C17" i="71"/>
  <c r="C51" i="12"/>
  <c r="C41" i="68"/>
  <c r="C20" i="68"/>
  <c r="C46" i="68" s="1"/>
  <c r="C19" i="68"/>
  <c r="C45" i="68" s="1"/>
  <c r="C42" i="68"/>
  <c r="C31" i="83"/>
  <c r="C32" i="83" s="1"/>
  <c r="C33" i="83" s="1"/>
  <c r="C45" i="81"/>
  <c r="C44" i="81" s="1"/>
  <c r="C26" i="82"/>
  <c r="C25" i="82" s="1"/>
  <c r="C28" i="82"/>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8" i="85" l="1"/>
  <c r="C47" i="85" s="1"/>
  <c r="C45" i="85"/>
  <c r="C44" i="85" s="1"/>
  <c r="C50" i="80"/>
  <c r="C49" i="80" s="1"/>
  <c r="D17" i="71"/>
  <c r="C16" i="71"/>
  <c r="C25" i="80"/>
  <c r="C23"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M21" i="81"/>
  <c r="M21" i="15"/>
  <c r="M21" i="67"/>
  <c r="F21" i="81"/>
  <c r="C56" i="80" l="1"/>
  <c r="C57" i="80" s="1"/>
  <c r="C31" i="80" s="1"/>
  <c r="C51" i="85"/>
  <c r="Q58" i="85" s="1"/>
  <c r="C5" i="80"/>
  <c r="T16" i="71"/>
  <c r="C15" i="71"/>
  <c r="D16" i="71"/>
  <c r="U16" i="71"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59" i="12"/>
  <c r="F73" i="81"/>
  <c r="C72" i="81" s="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10" i="12" s="1"/>
  <c r="C48" i="21"/>
  <c r="G42" i="35"/>
  <c r="H42" i="35" s="1"/>
  <c r="K67" i="40"/>
  <c r="L65" i="40"/>
  <c r="C32" i="80" l="1"/>
  <c r="C33" i="80" s="1"/>
  <c r="D3" i="80" s="1"/>
  <c r="B2" i="80" s="1"/>
  <c r="J35" i="85"/>
  <c r="M23" i="85" s="1"/>
  <c r="J19" i="85"/>
  <c r="F74" i="85"/>
  <c r="C74" i="85" s="1"/>
  <c r="C22" i="85"/>
  <c r="C52" i="85"/>
  <c r="F23" i="85"/>
  <c r="E53" i="21"/>
  <c r="F53" i="21" s="1"/>
  <c r="C14" i="71"/>
  <c r="D15" i="71"/>
  <c r="F25" i="8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J36" i="85"/>
  <c r="J37" i="85" s="1"/>
  <c r="M25" i="85" s="1"/>
  <c r="J22" i="85"/>
  <c r="B3" i="80"/>
  <c r="Q81" i="85"/>
  <c r="C53" i="85"/>
  <c r="C13" i="71"/>
  <c r="D14" i="71"/>
  <c r="C70" i="81"/>
  <c r="C18" i="81"/>
  <c r="J24" i="81"/>
  <c r="J17" i="81" s="1"/>
  <c r="M25" i="81"/>
  <c r="F23" i="15"/>
  <c r="Q58" i="15"/>
  <c r="J68" i="15"/>
  <c r="F74" i="15"/>
  <c r="C74" i="15" s="1"/>
  <c r="C22" i="15"/>
  <c r="C52" i="15"/>
  <c r="Q81" i="15" s="1"/>
  <c r="J35" i="15"/>
  <c r="C57" i="69"/>
  <c r="C56" i="69" s="1"/>
  <c r="C59" i="68"/>
  <c r="C80" i="67"/>
  <c r="C79" i="67" s="1"/>
  <c r="C40" i="67"/>
  <c r="C45" i="67" s="1"/>
  <c r="C56" i="11"/>
  <c r="C57" i="11" s="1"/>
  <c r="B3" i="21"/>
  <c r="O69" i="39"/>
  <c r="O71" i="39" s="1"/>
  <c r="N71" i="39"/>
  <c r="F9" i="39"/>
  <c r="C39" i="35"/>
  <c r="C38" i="35"/>
  <c r="N65" i="40"/>
  <c r="M67" i="40"/>
  <c r="E43" i="35"/>
  <c r="F43" i="35" s="1"/>
  <c r="E42" i="35"/>
  <c r="F42" i="35" s="1"/>
  <c r="I43" i="35"/>
  <c r="J43" i="35" s="1"/>
  <c r="F2" i="33"/>
  <c r="L51" i="67"/>
  <c r="J24" i="85" l="1"/>
  <c r="J17" i="85" s="1"/>
  <c r="J18" i="85" s="1"/>
  <c r="J15" i="85" s="1"/>
  <c r="J14" i="85" s="1"/>
  <c r="J13" i="85" s="1"/>
  <c r="J27" i="85" s="1"/>
  <c r="C24" i="85"/>
  <c r="C17" i="85" s="1"/>
  <c r="C18" i="85" s="1"/>
  <c r="C15" i="85" s="1"/>
  <c r="C14" i="85" s="1"/>
  <c r="C13" i="85" s="1"/>
  <c r="C27" i="85" s="1"/>
  <c r="C87" i="85"/>
  <c r="F76" i="85"/>
  <c r="C76" i="85" s="1"/>
  <c r="C69" i="85" s="1"/>
  <c r="C70" i="85" s="1"/>
  <c r="C67" i="85" s="1"/>
  <c r="C66" i="85" s="1"/>
  <c r="C65" i="85" s="1"/>
  <c r="C79" i="85" s="1"/>
  <c r="C80" i="85" s="1"/>
  <c r="C83" i="85" s="1"/>
  <c r="C84" i="85" s="1"/>
  <c r="F25" i="85"/>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L60" i="85"/>
  <c r="F2" i="37"/>
  <c r="L60" i="81"/>
  <c r="F2" i="35"/>
  <c r="F2" i="36"/>
  <c r="F2" i="34"/>
  <c r="D35" i="9"/>
  <c r="D34" i="9"/>
  <c r="Q77" i="85" l="1"/>
  <c r="C92" i="85"/>
  <c r="C91" i="85" s="1"/>
  <c r="F33" i="85"/>
  <c r="Q80" i="85"/>
  <c r="Q79" i="85" s="1"/>
  <c r="C28" i="85"/>
  <c r="C11" i="71"/>
  <c r="T12" i="71"/>
  <c r="D12" i="71"/>
  <c r="U12" i="71"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5" l="1"/>
  <c r="C95" i="85"/>
  <c r="C94" i="85" s="1"/>
  <c r="Q65" i="85"/>
  <c r="Q71" i="85" s="1"/>
  <c r="C31" i="85"/>
  <c r="C32" i="85" s="1"/>
  <c r="Q56" i="85"/>
  <c r="Q62" i="85" s="1"/>
  <c r="Q74" i="85"/>
  <c r="Q86" i="85" s="1"/>
  <c r="B2" i="85"/>
  <c r="F10" i="12" s="1"/>
  <c r="D11" i="71"/>
  <c r="C10" i="7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B3" i="85" l="1"/>
  <c r="F8" i="12" s="1"/>
  <c r="C9" i="71"/>
  <c r="D10" i="71"/>
  <c r="J15" i="15"/>
  <c r="J14" i="15" s="1"/>
  <c r="J13" i="15" s="1"/>
  <c r="J27" i="15" s="1"/>
  <c r="J28" i="15" s="1"/>
  <c r="J31" i="15" s="1"/>
  <c r="C15" i="15"/>
  <c r="C14" i="15" s="1"/>
  <c r="C13" i="15" s="1"/>
  <c r="C27" i="15" s="1"/>
  <c r="C28" i="15" s="1"/>
  <c r="C31" i="15" s="1"/>
  <c r="C49" i="39"/>
  <c r="B2" i="81"/>
  <c r="B3" i="81"/>
  <c r="C84" i="15"/>
  <c r="B58" i="39"/>
  <c r="F58" i="39" s="1"/>
  <c r="C7" i="68" s="1"/>
  <c r="C8" i="68" s="1"/>
  <c r="C6" i="68"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4" i="68" l="1"/>
  <c r="C21" i="68"/>
  <c r="C25" i="68" s="1"/>
  <c r="C8" i="7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C19" i="9"/>
  <c r="L60" i="15"/>
  <c r="C23" i="68" l="1"/>
  <c r="C28" i="68"/>
  <c r="C5" i="68" s="1"/>
  <c r="C32" i="68" s="1"/>
  <c r="C102" i="9"/>
  <c r="Q77" i="15"/>
  <c r="D8" i="71"/>
  <c r="C7" i="71"/>
  <c r="B3" i="39"/>
  <c r="B4" i="39"/>
  <c r="B5" i="39"/>
  <c r="L55" i="15"/>
  <c r="B2" i="15" s="1"/>
  <c r="E10" i="12" s="1"/>
  <c r="C13" i="12"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0" i="9"/>
  <c r="C21" i="9"/>
  <c r="C27" i="68" l="1"/>
  <c r="C64" i="68"/>
  <c r="C63" i="68" s="1"/>
  <c r="C33" i="68"/>
  <c r="B2" i="68" s="1"/>
  <c r="B3" i="68" s="1"/>
  <c r="C103" i="9"/>
  <c r="C46" i="12"/>
  <c r="C32" i="12"/>
  <c r="C62" i="12" s="1"/>
  <c r="C28" i="12"/>
  <c r="D7" i="71"/>
  <c r="C6" i="71"/>
  <c r="B3" i="40"/>
  <c r="B4" i="40"/>
  <c r="B5" i="40"/>
  <c r="C95" i="15"/>
  <c r="C94" i="15" s="1"/>
  <c r="AO8" i="1"/>
  <c r="AO9" i="1"/>
  <c r="AO6" i="1"/>
  <c r="C61" i="12" l="1"/>
  <c r="C60" i="12" s="1"/>
  <c r="C31" i="12"/>
  <c r="C29" i="12" s="1"/>
  <c r="C63" i="12" s="1"/>
  <c r="C35" i="12"/>
  <c r="C33" i="12" s="1"/>
  <c r="C64" i="12" s="1"/>
  <c r="D6" i="71"/>
  <c r="C5" i="71"/>
  <c r="D5" i="71" s="1"/>
  <c r="M24" i="43" s="1"/>
  <c r="B9" i="70"/>
  <c r="B8" i="70"/>
  <c r="B6" i="70"/>
  <c r="B3" i="15"/>
  <c r="E8" i="12" s="1"/>
  <c r="B6" i="74"/>
  <c r="C48" i="12" l="1"/>
  <c r="C36" i="12"/>
  <c r="D6" i="74"/>
  <c r="C6" i="74"/>
  <c r="B2" i="70"/>
  <c r="B3" i="70" s="1"/>
  <c r="C37" i="12" l="1"/>
  <c r="B2" i="12" s="1"/>
  <c r="C65" i="12"/>
  <c r="D19" i="9"/>
  <c r="I19" i="9" l="1"/>
  <c r="D22" i="9"/>
  <c r="D102" i="9"/>
  <c r="G19" i="9"/>
  <c r="B3" i="12"/>
  <c r="B4" i="12"/>
  <c r="B5" i="12"/>
  <c r="D21" i="9"/>
  <c r="D20" i="9"/>
  <c r="G22" i="9" l="1"/>
  <c r="D14" i="74"/>
  <c r="G21" i="9"/>
  <c r="D103" i="9"/>
  <c r="G20" i="9"/>
  <c r="C32" i="9" s="1"/>
  <c r="E14" i="74" l="1"/>
  <c r="B5" i="74"/>
  <c r="F14" i="74"/>
  <c r="N117" i="9"/>
  <c r="H118" i="9" s="1"/>
  <c r="C35" i="9"/>
  <c r="C34" i="9" s="1"/>
  <c r="N119" i="9"/>
  <c r="I118" i="9" s="1"/>
  <c r="C5" i="74" l="1"/>
  <c r="D5" i="74"/>
  <c r="L117" i="9"/>
  <c r="L119" i="9"/>
  <c r="H119" i="9"/>
  <c r="H5" i="52" s="1"/>
  <c r="C104" i="9"/>
  <c r="H101" i="9"/>
  <c r="H4" i="52"/>
  <c r="M117" i="9"/>
  <c r="M119" i="9"/>
  <c r="G118" i="9" s="1"/>
  <c r="I4" i="52"/>
  <c r="H102" i="9"/>
  <c r="D7" i="53" s="1"/>
  <c r="B21" i="72" s="1"/>
  <c r="C105" i="9"/>
  <c r="E118" i="9" l="1"/>
  <c r="D119" i="9" s="1"/>
  <c r="D5" i="52" s="1"/>
  <c r="B49" i="72" s="1"/>
  <c r="F118" i="9"/>
  <c r="F4" i="52"/>
  <c r="B51" i="72" s="1"/>
  <c r="F119" i="9"/>
  <c r="F5" i="52" s="1"/>
  <c r="B53" i="72" s="1"/>
  <c r="D5" i="53"/>
  <c r="D45" i="9"/>
  <c r="H107" i="9"/>
  <c r="M48" i="9"/>
  <c r="D4" i="52" l="1"/>
  <c r="B47" i="72" s="1"/>
  <c r="M49" i="9"/>
  <c r="D13" i="53"/>
  <c r="H122" i="9"/>
  <c r="H108" i="9"/>
  <c r="D15" i="53" s="1"/>
  <c r="B31" i="72" s="1"/>
  <c r="D52" i="9"/>
  <c r="D55" i="9"/>
  <c r="M53" i="9" s="1"/>
  <c r="H65" i="9"/>
  <c r="H64" i="9" s="1"/>
  <c r="H63" i="9" s="1"/>
  <c r="C64" i="9"/>
  <c r="C63" i="9" s="1"/>
  <c r="C67" i="9" s="1"/>
  <c r="B20" i="72"/>
  <c r="D6" i="53"/>
  <c r="B22" i="72" s="1"/>
  <c r="D118" i="9"/>
  <c r="E4" i="52" s="1"/>
  <c r="B48" i="72" s="1"/>
  <c r="G4" i="52"/>
  <c r="B52" i="72" s="1"/>
  <c r="D53" i="9" l="1"/>
  <c r="D54" i="9"/>
  <c r="H123" i="9"/>
  <c r="D9" i="52" s="1"/>
  <c r="D8" i="52"/>
  <c r="D14" i="53"/>
  <c r="B32" i="72" s="1"/>
  <c r="B30" i="72"/>
  <c r="C68" i="9"/>
  <c r="D59" i="9"/>
  <c r="M55" i="9" s="1"/>
  <c r="L67" i="9"/>
  <c r="M67" i="9" s="1"/>
  <c r="L68" i="9"/>
  <c r="M68" i="9" s="1"/>
  <c r="L66" i="9"/>
  <c r="M66" i="9" s="1"/>
  <c r="L65" i="9"/>
  <c r="M65" i="9" s="1"/>
  <c r="L64" i="9"/>
  <c r="M64" i="9" s="1"/>
  <c r="L63" i="9"/>
  <c r="M63" i="9" s="1"/>
  <c r="M69" i="9" l="1"/>
  <c r="N69" i="9" s="1"/>
  <c r="C78" i="9"/>
  <c r="C73" i="9" s="1"/>
  <c r="C72" i="9"/>
  <c r="C93" i="9"/>
  <c r="C86" i="9" s="1"/>
  <c r="C85" i="9"/>
  <c r="C95" i="9" l="1"/>
  <c r="C96" i="9" s="1"/>
  <c r="E96" i="9" s="1"/>
  <c r="E97" i="9" s="1"/>
  <c r="D56" i="9"/>
  <c r="C79" i="9"/>
  <c r="C97" i="9" l="1"/>
  <c r="D58" i="9" s="1"/>
  <c r="C80" i="9"/>
  <c r="E80" i="9" s="1"/>
  <c r="E81" i="9" s="1"/>
  <c r="M54" i="9"/>
  <c r="N57" i="9" s="1"/>
  <c r="C81" i="9" l="1"/>
  <c r="N59" i="9"/>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96F3AF90-2766-4660-88F0-EE8291EB9003}">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974D6ACC-B62A-4073-9329-ED458358C4F6}">
      <text>
        <r>
          <rPr>
            <sz val="9"/>
            <color indexed="81"/>
            <rFont val="宋体"/>
            <family val="3"/>
            <charset val="134"/>
          </rPr>
          <t>依据一般经验，应比建筑物资本化率高0.5%</t>
        </r>
      </text>
    </comment>
    <comment ref="L61" authorId="0" shapeId="0" xr:uid="{09540279-EE3D-4E5B-A2FD-0680979E72A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B797568C-5979-4AAD-999B-A3DCA8028504}">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42F23E09-B66D-4241-9AB6-819C16004E82}">
      <text>
        <r>
          <rPr>
            <sz val="9"/>
            <color indexed="81"/>
            <rFont val="宋体"/>
            <family val="3"/>
            <charset val="134"/>
          </rPr>
          <t>在建项目均选择“是”</t>
        </r>
      </text>
    </comment>
    <comment ref="F66" authorId="1" shapeId="0" xr:uid="{3EAE5CD4-6ADD-43BC-8AFE-B7FA1CBCCF1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988EE004-EC65-4ED0-9B3E-80F5A10EBB1A}">
      <text>
        <r>
          <rPr>
            <sz val="10"/>
            <color indexed="81"/>
            <rFont val="宋体"/>
            <family val="3"/>
            <charset val="134"/>
          </rPr>
          <t xml:space="preserve">在建
</t>
        </r>
      </text>
    </comment>
    <comment ref="N68" authorId="0" shapeId="0" xr:uid="{0166E3FD-7419-4680-B126-B7F3D25F891F}">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<sst xmlns="http://schemas.openxmlformats.org/spreadsheetml/2006/main" count="9914" uniqueCount="4205">
  <si>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</si>
  <si>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</si>
  <si>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</si>
  <si>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</si>
  <si>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</si>
  <si>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</si>
  <si>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</si>
  <si>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</si>
  <si>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</si>
  <si>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</si>
  <si>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</si>
  <si>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</si>
  <si>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</si>
  <si>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</si>
  <si>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</si>
  <si>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</si>
  <si>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</si>
  <si>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</si>
  <si>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</si>
  <si>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</si>
  <si>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</si>
  <si>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</si>
  <si>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</si>
  <si>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</si>
  <si>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</si>
  <si>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</si>
  <si>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</si>
  <si>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</si>
  <si>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</si>
  <si>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</si>
  <si>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</si>
  <si>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</si>
  <si>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</si>
  <si>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</si>
  <si>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</si>
  <si>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</si>
  <si>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</si>
  <si>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</si>
  <si>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</si>
  <si>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</si>
  <si>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</si>
  <si>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</si>
  <si>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</si>
  <si>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</si>
  <si>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</si>
  <si>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</si>
  <si>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</si>
  <si>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</si>
  <si>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</si>
  <si>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</si>
  <si>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</si>
  <si>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</si>
  <si>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</si>
  <si>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</si>
  <si>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</si>
  <si>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</si>
  <si>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</si>
  <si>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</si>
  <si>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</si>
  <si>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</si>
  <si>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</si>
  <si>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</si>
  <si>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</si>
  <si>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</si>
  <si>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</si>
  <si>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</si>
  <si>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</si>
  <si>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</si>
  <si>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</si>
  <si>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</si>
  <si>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</si>
  <si>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</si>
  <si>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</si>
  <si>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</si>
  <si>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</si>
  <si>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</si>
  <si>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</si>
  <si>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</si>
  <si>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</si>
  <si>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</si>
  <si>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</si>
  <si>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</si>
  <si>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</si>
  <si>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</si>
  <si>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</si>
  <si>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</si>
  <si>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</si>
  <si>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</si>
  <si>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</si>
  <si>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</si>
  <si>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</si>
  <si>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</si>
  <si>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</si>
  <si>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</si>
  <si>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</si>
  <si>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</si>
  <si>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</si>
  <si>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</si>
  <si>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</si>
  <si>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</si>
  <si>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</si>
  <si>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</si>
  <si>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</si>
  <si>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</si>
  <si>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</si>
  <si>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</si>
  <si>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</si>
  <si>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</si>
  <si>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</si>
  <si>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</si>
  <si>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</si>
  <si>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</si>
  <si>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</si>
  <si>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</si>
  <si>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</si>
  <si>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</si>
  <si>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</si>
  <si>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</si>
  <si>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</si>
  <si>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</si>
  <si>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</si>
  <si>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</si>
  <si>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</si>
  <si>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</si>
  <si>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</si>
  <si>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</si>
  <si>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</si>
  <si>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</si>
  <si>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</si>
  <si>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</si>
  <si>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</si>
  <si>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</si>
  <si>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</si>
  <si>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</si>
  <si>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</si>
  <si>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</si>
  <si>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</si>
  <si>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</si>
  <si>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</si>
  <si>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</si>
  <si>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</si>
  <si>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</si>
  <si>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</si>
  <si>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</si>
  <si>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</si>
  <si>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</si>
  <si>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</si>
  <si>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</si>
  <si>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</si>
  <si>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</si>
  <si>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</si>
  <si>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</si>
  <si>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</si>
  <si>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</si>
  <si>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</si>
  <si>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</si>
  <si>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</si>
  <si>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</si>
  <si>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</si>
  <si>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</si>
  <si>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</si>
  <si>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</si>
  <si>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</si>
  <si>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</si>
  <si>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</si>
  <si>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</si>
  <si>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</si>
  <si>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</si>
  <si>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</si>
  <si>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</si>
  <si>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</si>
  <si>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</si>
  <si>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</si>
  <si>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</si>
  <si>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</si>
  <si>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</si>
  <si>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</si>
  <si>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</si>
  <si>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</si>
  <si>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</si>
  <si>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</si>
  <si>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</si>
  <si>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</si>
  <si>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</si>
  <si>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</si>
  <si>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</si>
  <si>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</si>
  <si>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</si>
  <si>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</si>
  <si>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</si>
  <si>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</si>
  <si>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</si>
  <si>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</si>
  <si>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</si>
  <si>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</si>
  <si>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</si>
  <si>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</si>
  <si>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</si>
  <si>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</si>
  <si>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</si>
  <si>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</si>
  <si>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</si>
  <si>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</si>
  <si>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</si>
  <si>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</si>
  <si>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</si>
  <si>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</si>
  <si>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</si>
  <si>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</si>
  <si>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</si>
  <si>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</si>
  <si>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</si>
  <si>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</si>
  <si>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</si>
  <si>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</si>
  <si>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</si>
  <si>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</si>
  <si>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</si>
  <si>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</si>
  <si>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</si>
  <si>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</si>
  <si>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</si>
  <si>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</si>
  <si>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</si>
  <si>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</si>
  <si>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</si>
  <si>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</si>
  <si>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</si>
  <si>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</si>
  <si>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</si>
  <si>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</si>
  <si>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</si>
  <si>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</si>
  <si>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</si>
  <si>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</si>
  <si>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</si>
  <si>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</si>
  <si>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</si>
  <si>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</si>
  <si>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</si>
  <si>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</si>
  <si>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</si>
  <si>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</si>
  <si>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</si>
  <si>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</si>
  <si>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</si>
  <si>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</si>
  <si>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</si>
  <si>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</si>
  <si>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</si>
  <si>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</si>
  <si>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</si>
  <si>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</si>
  <si>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</si>
  <si>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</si>
  <si>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</si>
  <si>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</si>
  <si>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</si>
  <si>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</si>
  <si>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</si>
  <si>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</si>
  <si>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</si>
  <si>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</si>
  <si>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</si>
  <si>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</si>
  <si>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</si>
  <si>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</si>
  <si>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</si>
  <si>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</si>
  <si>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</si>
  <si>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</si>
  <si>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</si>
  <si>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</si>
  <si>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</si>
  <si>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</si>
  <si>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</si>
  <si>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</si>
  <si>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</si>
  <si>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</si>
  <si>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</si>
  <si>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</si>
  <si>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</si>
  <si>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</si>
  <si>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</si>
  <si>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</si>
  <si>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</si>
  <si>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</si>
  <si>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</si>
  <si>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</si>
  <si>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</si>
  <si>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</si>
  <si>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</si>
  <si>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</si>
  <si>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</si>
  <si>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</si>
  <si>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</si>
  <si>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</si>
  <si>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</si>
  <si>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</si>
  <si>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</si>
  <si>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</si>
  <si>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</si>
  <si>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</si>
  <si>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</si>
  <si>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</si>
  <si>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</si>
  <si>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</si>
  <si>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</si>
  <si>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</si>
  <si>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</si>
  <si>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</si>
  <si>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</si>
  <si>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</si>
  <si>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</si>
  <si>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</si>
  <si>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</si>
  <si>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</si>
  <si>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</si>
  <si>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</si>
  <si>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</si>
  <si>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</si>
  <si>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</si>
  <si>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</si>
  <si>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</si>
  <si>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</si>
  <si>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</si>
  <si>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</si>
  <si>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</si>
  <si>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</si>
  <si>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</si>
  <si>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</si>
  <si>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</si>
  <si>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</si>
  <si>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</si>
  <si>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</si>
  <si>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</si>
  <si>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</si>
  <si>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</si>
  <si>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</si>
  <si>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</si>
  <si>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</si>
  <si>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</si>
  <si>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</si>
  <si>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</si>
  <si>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</si>
  <si>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</si>
  <si>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</si>
  <si>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</si>
  <si>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</si>
  <si>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</si>
  <si>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</si>
  <si>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</si>
  <si>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</si>
  <si>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</si>
  <si>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</si>
  <si>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</si>
  <si>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</si>
  <si>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</si>
  <si>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</si>
  <si>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</si>
  <si>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</si>
  <si>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</si>
  <si>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</si>
  <si>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</si>
  <si>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</si>
  <si>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</si>
  <si>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</si>
  <si>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</si>
  <si>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</si>
  <si>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</si>
  <si>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</si>
  <si>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</si>
  <si>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</si>
  <si>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</si>
  <si>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</si>
  <si>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</si>
  <si>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</si>
  <si>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</si>
  <si>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</si>
  <si>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</si>
  <si>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</si>
  <si>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</si>
  <si>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</si>
  <si>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</si>
  <si>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</si>
  <si>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</si>
  <si>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</si>
  <si>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</si>
  <si>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</si>
  <si>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</si>
  <si>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</si>
  <si>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</si>
  <si>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</si>
  <si>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</si>
  <si>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</si>
  <si>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</si>
  <si>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</si>
  <si>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</si>
  <si>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</si>
  <si>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</si>
  <si>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</si>
  <si>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</si>
  <si>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</si>
  <si>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</si>
  <si>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</si>
  <si>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</si>
  <si>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</si>
  <si>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</si>
  <si>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</si>
  <si>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</si>
  <si>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</si>
  <si>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</si>
  <si>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</si>
  <si>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</si>
  <si>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</si>
  <si>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</si>
  <si>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</si>
  <si>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</si>
  <si>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</si>
  <si>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</si>
  <si>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</si>
  <si>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</si>
  <si>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</si>
  <si>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</si>
  <si>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</si>
  <si>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</si>
  <si>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</si>
  <si>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</si>
  <si>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</si>
  <si>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</si>
  <si>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</si>
  <si>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</si>
  <si>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</si>
  <si>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</si>
  <si>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</si>
  <si>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</si>
  <si>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</si>
  <si>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</si>
  <si>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</si>
  <si>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</si>
  <si>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</si>
  <si>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</si>
  <si>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</si>
  <si>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</si>
  <si>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</si>
  <si>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</si>
  <si>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</si>
  <si>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</si>
  <si>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</si>
  <si>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</si>
  <si>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</si>
  <si>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</si>
  <si>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</si>
  <si>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</si>
  <si>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</si>
  <si>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</si>
  <si>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</si>
  <si>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</si>
  <si>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</si>
  <si>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</si>
  <si>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</si>
  <si>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</si>
  <si>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</si>
  <si>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</si>
  <si>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</si>
  <si>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</si>
  <si>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</si>
  <si>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</si>
  <si>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</si>
  <si>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</si>
  <si>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</si>
  <si>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</si>
  <si>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</si>
  <si>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</si>
  <si>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</si>
  <si>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</si>
  <si>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</si>
  <si>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</si>
  <si>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</si>
  <si>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</si>
  <si>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</si>
  <si>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</si>
  <si>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</si>
  <si>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</si>
  <si>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</si>
  <si>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</si>
  <si>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</si>
  <si>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</si>
  <si>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</si>
  <si>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</si>
  <si>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</si>
  <si>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</si>
  <si>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</si>
  <si>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</si>
  <si>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</si>
  <si>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</si>
  <si>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</si>
  <si>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</si>
  <si>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</si>
  <si>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</si>
  <si>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</si>
  <si>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</si>
  <si>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</si>
  <si>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</si>
  <si>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</si>
  <si>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</si>
  <si>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</si>
  <si>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</si>
  <si>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</si>
  <si>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</si>
  <si>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</si>
  <si>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</si>
  <si>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</si>
  <si>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</si>
  <si>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</si>
  <si>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</si>
  <si>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</si>
  <si>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</si>
  <si>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</si>
  <si>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</si>
  <si>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</si>
  <si>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</si>
  <si>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</si>
  <si>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</si>
  <si>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</si>
  <si>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</si>
  <si>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</si>
  <si>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</si>
  <si>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</si>
  <si>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</si>
  <si>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</si>
  <si>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</si>
  <si>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</si>
  <si>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</si>
  <si>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</si>
  <si>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</si>
  <si>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</si>
  <si>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</si>
  <si>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</si>
  <si>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</si>
  <si>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</si>
  <si>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</si>
  <si>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</si>
  <si>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</si>
  <si>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</si>
  <si>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</si>
  <si>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</si>
  <si>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</si>
  <si>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</si>
  <si>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</si>
  <si>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</si>
  <si>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</si>
  <si>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</si>
  <si>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</si>
  <si>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</si>
  <si>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</si>
  <si>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</si>
  <si>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</si>
  <si>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</si>
  <si>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</si>
  <si>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</si>
  <si>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</si>
  <si>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</si>
  <si>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</si>
  <si>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</si>
  <si>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</si>
  <si>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</si>
  <si>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</si>
  <si>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</si>
  <si>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</si>
  <si>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</si>
  <si>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</si>
  <si>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</si>
  <si>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</si>
  <si>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</si>
  <si>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</si>
  <si>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</si>
  <si>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</si>
  <si>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</si>
  <si>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</si>
  <si>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</si>
  <si>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</si>
  <si>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</si>
  <si>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</si>
  <si>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</si>
  <si>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</si>
  <si>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</si>
  <si>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</si>
  <si>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</si>
  <si>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</si>
  <si>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</si>
  <si>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</si>
  <si>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</si>
  <si>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</si>
  <si>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</si>
  <si>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</si>
  <si>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</si>
  <si>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</si>
  <si>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</si>
  <si>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</si>
  <si>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</si>
  <si>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</si>
  <si>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</si>
  <si>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</si>
  <si>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</si>
  <si>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</si>
  <si>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</si>
  <si>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</si>
  <si>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</si>
  <si>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</si>
  <si>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</si>
  <si>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</si>
  <si>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</si>
  <si>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</si>
  <si>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</si>
  <si>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</si>
  <si>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</si>
  <si>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</si>
  <si>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</si>
  <si>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</si>
  <si>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</si>
  <si>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</si>
  <si>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</si>
  <si>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</si>
  <si>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</si>
  <si>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</si>
  <si>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</si>
  <si>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</si>
  <si>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</si>
  <si>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</si>
  <si>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</si>
  <si>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</si>
  <si>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</si>
  <si>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</si>
  <si>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</si>
  <si>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</si>
  <si>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</si>
  <si>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</si>
  <si>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</si>
  <si>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</si>
  <si>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</si>
  <si>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</si>
  <si>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</si>
  <si>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</si>
  <si>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</si>
  <si>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</si>
  <si>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</si>
  <si>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</si>
  <si>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</si>
  <si>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</si>
  <si>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</si>
  <si>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</si>
  <si>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</si>
  <si>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</si>
  <si>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</si>
  <si>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</si>
  <si>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</si>
  <si>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</si>
  <si>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</si>
  <si>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</si>
  <si>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</si>
  <si>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</si>
  <si>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</si>
  <si>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</si>
  <si>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</si>
  <si>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</si>
  <si>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</si>
  <si>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</si>
  <si>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</si>
  <si>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</si>
  <si>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</si>
  <si>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</si>
  <si>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</si>
  <si>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</si>
  <si>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</si>
  <si>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</si>
  <si>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</si>
  <si>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</si>
  <si>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</si>
  <si>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</si>
  <si>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</si>
  <si>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</si>
  <si>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</si>
  <si>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</si>
  <si>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</si>
  <si>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</si>
  <si>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</si>
  <si>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</si>
  <si>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</si>
  <si>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</si>
  <si>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</si>
  <si>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</si>
  <si>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</si>
  <si>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</si>
  <si>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</si>
  <si>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</si>
  <si>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</si>
  <si>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</si>
  <si>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</si>
  <si>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</si>
  <si>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</si>
  <si>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</si>
  <si>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</si>
  <si>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</si>
  <si>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</si>
  <si>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</si>
  <si>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</si>
  <si>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</si>
  <si>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</si>
  <si>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</si>
  <si>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</si>
  <si>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</si>
  <si>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</si>
  <si>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</si>
  <si>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</si>
  <si>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</si>
  <si>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</si>
  <si>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</si>
  <si>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</si>
  <si>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</si>
  <si>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</si>
  <si>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</si>
  <si>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</si>
  <si>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</si>
  <si>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</si>
  <si>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</si>
  <si>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</si>
  <si>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</si>
  <si>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</si>
  <si>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</si>
  <si>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</si>
  <si>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</si>
  <si>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</si>
  <si>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</si>
  <si>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</si>
  <si>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</si>
  <si>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</si>
  <si>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</si>
  <si>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</si>
  <si>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</si>
  <si>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</si>
  <si>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</si>
  <si>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</si>
  <si>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</si>
  <si>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</si>
  <si>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</si>
  <si>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</si>
  <si>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</si>
  <si>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</si>
  <si>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</si>
  <si>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</si>
  <si>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</si>
  <si>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</si>
  <si>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</si>
  <si>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</si>
  <si>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</si>
  <si>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</si>
  <si>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</si>
  <si>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</si>
  <si>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</si>
  <si>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</si>
  <si>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</si>
  <si>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</si>
  <si>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</si>
  <si>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</si>
  <si>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</si>
  <si>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</si>
  <si>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</si>
  <si>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</si>
  <si>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</si>
  <si>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</si>
  <si>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</si>
  <si>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</si>
  <si>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</si>
  <si>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</si>
  <si>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</si>
  <si>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</si>
  <si>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</si>
  <si>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</si>
  <si>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</si>
  <si>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</si>
  <si>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</si>
  <si>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</si>
  <si>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</si>
  <si>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</si>
  <si>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</si>
  <si>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</si>
  <si>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</si>
  <si>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</si>
  <si>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</si>
  <si>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</si>
  <si>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</si>
  <si>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</si>
  <si>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</si>
  <si>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</si>
  <si>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</si>
  <si>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</si>
  <si>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</si>
  <si>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</si>
  <si>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</si>
  <si>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</si>
  <si>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</si>
  <si>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</si>
  <si>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</si>
  <si>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</si>
  <si>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</si>
  <si>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</si>
  <si>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</si>
  <si>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</si>
  <si>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</si>
  <si>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</si>
  <si>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</si>
  <si>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</si>
  <si>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</si>
  <si>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</si>
  <si>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</si>
  <si>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</si>
  <si>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</si>
  <si>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</si>
  <si>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</si>
  <si>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</si>
  <si>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</si>
  <si>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</si>
  <si>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</si>
  <si>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</si>
  <si>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</si>
  <si>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</si>
  <si>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</si>
  <si>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</si>
  <si>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</si>
  <si>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</si>
  <si>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</si>
  <si>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</si>
  <si>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</si>
  <si>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</si>
  <si>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</si>
  <si>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</si>
  <si>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</si>
  <si>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</si>
  <si>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</si>
  <si>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</si>
  <si>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</si>
  <si>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</si>
  <si>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</si>
  <si>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</si>
  <si>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</si>
  <si>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</si>
  <si>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</si>
  <si>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</si>
  <si>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</si>
  <si>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</si>
  <si>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</si>
  <si>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</si>
  <si>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</si>
  <si>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</si>
  <si>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</si>
  <si>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</si>
  <si>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</si>
  <si>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</si>
  <si>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</si>
  <si>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</si>
  <si>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</si>
  <si>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</si>
  <si>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</si>
  <si>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</si>
  <si>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</si>
  <si>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</si>
  <si>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</si>
  <si>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</si>
  <si>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</si>
  <si>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</si>
  <si>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</si>
  <si>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</si>
  <si>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</si>
  <si>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</si>
  <si>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</si>
  <si>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</si>
  <si>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</si>
  <si>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</si>
  <si>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</si>
  <si>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</si>
  <si>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</si>
  <si>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</si>
  <si>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</si>
  <si>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</si>
  <si>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</si>
  <si>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</si>
  <si>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</si>
  <si>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</si>
  <si>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</si>
  <si>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</si>
  <si>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</si>
  <si>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</si>
  <si>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</si>
  <si>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</si>
  <si>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</si>
  <si>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</si>
  <si>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</si>
  <si>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</si>
  <si>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</si>
  <si>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</si>
  <si>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</si>
  <si>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</si>
  <si>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</si>
  <si>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</si>
  <si>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</si>
  <si>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</si>
  <si>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</si>
  <si>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</si>
  <si>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</si>
  <si>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</si>
  <si>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</si>
  <si>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</si>
  <si>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</si>
  <si>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</si>
  <si>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</si>
  <si>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</si>
  <si>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</si>
  <si>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</si>
  <si>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</si>
  <si>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</si>
  <si>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</si>
  <si>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</si>
  <si>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</si>
  <si>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</si>
  <si>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</si>
  <si>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</si>
  <si>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</si>
  <si>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</si>
  <si>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</si>
  <si>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</si>
  <si>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</si>
  <si>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</si>
  <si>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</si>
  <si>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</si>
  <si>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</si>
  <si>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</si>
  <si>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</si>
  <si>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</si>
  <si>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</si>
  <si>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</si>
  <si>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</si>
  <si>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</si>
  <si>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</si>
  <si>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</si>
  <si>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</si>
  <si>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</si>
  <si>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</si>
  <si>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</si>
  <si>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</si>
  <si>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</si>
  <si>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</si>
  <si>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</si>
  <si>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</si>
  <si>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</si>
  <si>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</si>
  <si>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</si>
  <si>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</si>
  <si>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</si>
  <si>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</si>
  <si>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</si>
  <si>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</si>
  <si>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</si>
  <si>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</si>
  <si>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</si>
  <si>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</si>
  <si>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</si>
  <si>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</si>
  <si>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</si>
  <si>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</si>
  <si>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</si>
  <si>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</si>
  <si>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</si>
  <si>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</si>
  <si>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</si>
  <si>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</si>
  <si>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</si>
  <si>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</si>
  <si>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</si>
  <si>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</si>
  <si>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</si>
  <si>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</si>
  <si>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</si>
  <si>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</si>
  <si>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</si>
  <si>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</si>
  <si>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</si>
  <si>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</si>
  <si>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</si>
  <si>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</si>
  <si>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</si>
  <si>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</si>
  <si>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</si>
  <si>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</si>
  <si>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</si>
  <si>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</si>
  <si>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</si>
  <si>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</si>
  <si>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</si>
  <si>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</si>
  <si>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</si>
  <si>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</si>
  <si>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</si>
  <si>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</si>
  <si>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</si>
  <si>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</si>
  <si>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</si>
  <si>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</si>
  <si>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</si>
  <si>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</si>
  <si>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</si>
  <si>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</si>
  <si>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</si>
  <si>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</si>
  <si>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</si>
  <si>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</si>
  <si>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</si>
  <si>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</si>
  <si>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</si>
  <si>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</si>
  <si>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</si>
  <si>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</si>
  <si>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</si>
  <si>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</si>
  <si>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</si>
  <si>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</si>
  <si>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</si>
  <si>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</si>
  <si>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</si>
  <si>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</si>
  <si>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</si>
  <si>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</si>
  <si>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</si>
  <si>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</si>
  <si>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</si>
  <si>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</si>
  <si>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</si>
  <si>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</si>
  <si>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</si>
  <si>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</si>
  <si>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</si>
  <si>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</si>
  <si>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</si>
  <si>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</si>
  <si>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</si>
  <si>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</si>
  <si>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</si>
  <si>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</si>
  <si>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</si>
  <si>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</si>
  <si>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</si>
  <si>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</si>
  <si>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</si>
  <si>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</si>
  <si>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</si>
  <si>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</si>
  <si>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</si>
  <si>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</si>
  <si>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</si>
  <si>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</si>
  <si>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</si>
  <si>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</si>
  <si>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</si>
  <si>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</si>
  <si>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</si>
  <si>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</si>
  <si>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</si>
  <si>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</si>
  <si>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</si>
  <si>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</si>
  <si>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</si>
  <si>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</si>
  <si>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</si>
  <si>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</si>
  <si>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</si>
  <si>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</si>
  <si>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</si>
  <si>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</si>
  <si>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</si>
  <si>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</si>
  <si>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</si>
  <si>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</si>
  <si>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</si>
  <si>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</si>
  <si>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</si>
  <si>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</si>
  <si>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</si>
  <si>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</si>
  <si>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</si>
  <si>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</si>
  <si>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</si>
  <si>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</si>
  <si>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</si>
  <si>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</si>
  <si>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</si>
  <si>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</si>
  <si>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</si>
  <si>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</si>
  <si>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</si>
  <si>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</si>
  <si>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</si>
  <si>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</si>
  <si>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</si>
  <si>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</si>
  <si>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</si>
  <si>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</si>
  <si>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</si>
  <si>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</si>
  <si>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</si>
  <si>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</si>
  <si>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</si>
  <si>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</si>
  <si>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</si>
  <si>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</si>
  <si>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</si>
  <si>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</si>
  <si>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</si>
  <si>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</si>
  <si>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</si>
  <si>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</si>
  <si>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</si>
  <si>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</si>
  <si>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</si>
  <si>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</si>
  <si>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</si>
  <si>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</si>
  <si>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</si>
  <si>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</si>
  <si>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</si>
  <si>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</si>
  <si>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</si>
  <si>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</si>
  <si>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</si>
  <si>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</si>
  <si>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</si>
  <si>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</si>
  <si>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</si>
  <si>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</si>
  <si>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</si>
  <si>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</si>
  <si>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</si>
  <si>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</si>
  <si>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</si>
  <si>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</si>
  <si>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</si>
  <si>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</si>
  <si>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</si>
  <si>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</si>
  <si>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</si>
  <si>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</si>
  <si>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</si>
  <si>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</si>
  <si>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</si>
  <si>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</si>
  <si>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</si>
  <si>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</si>
  <si>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</si>
  <si>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</si>
  <si>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</si>
  <si>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</si>
  <si>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</si>
  <si>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</si>
  <si>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</si>
  <si>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</si>
  <si>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</si>
  <si>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</si>
  <si>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</si>
  <si>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</si>
  <si>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</si>
  <si>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</si>
  <si>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</si>
  <si>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</si>
  <si>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</si>
  <si>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</si>
  <si>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</si>
  <si>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</si>
  <si>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</si>
  <si>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</si>
  <si>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</si>
  <si>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</si>
  <si>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</si>
  <si>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</si>
  <si>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</si>
  <si>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</si>
  <si>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</si>
  <si>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</si>
  <si>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</si>
  <si>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</si>
  <si>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</si>
  <si>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</si>
  <si>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</si>
  <si>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</si>
  <si>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</si>
  <si>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</si>
  <si>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</si>
  <si>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</si>
  <si>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</si>
  <si>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</si>
  <si>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</si>
  <si>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</si>
  <si>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</si>
  <si>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</si>
  <si>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</si>
  <si>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</si>
  <si>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</si>
  <si>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</si>
  <si>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</si>
  <si>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</si>
  <si>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</si>
  <si>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</si>
  <si>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</si>
  <si>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</si>
  <si>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</si>
  <si>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</si>
  <si>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</si>
  <si>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</si>
  <si>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</si>
  <si>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</si>
  <si>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</si>
  <si>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</si>
  <si>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</si>
  <si>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</si>
  <si>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</si>
  <si>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</si>
  <si>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</si>
  <si>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</si>
  <si>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</si>
  <si>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</si>
  <si>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</si>
  <si>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</si>
  <si>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</si>
  <si>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</si>
  <si>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</si>
  <si>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</si>
  <si>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</si>
  <si>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</si>
  <si>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</si>
  <si>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</si>
  <si>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</si>
  <si>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</si>
  <si>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</si>
  <si>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</si>
  <si>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</si>
  <si>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</si>
  <si>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</si>
  <si>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</si>
  <si>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</si>
  <si>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</si>
  <si>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</si>
  <si>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</si>
  <si>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</si>
  <si>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</si>
  <si>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</si>
  <si>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</si>
  <si>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</si>
  <si>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</si>
  <si>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</si>
  <si>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</si>
  <si>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</si>
  <si>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</si>
  <si>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</si>
  <si>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</si>
  <si>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</si>
  <si>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</si>
  <si>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</si>
  <si>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</si>
  <si>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</si>
  <si>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</si>
  <si>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</si>
  <si>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</si>
  <si>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</si>
  <si>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</si>
  <si>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</si>
  <si>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</si>
  <si>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</si>
  <si>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</si>
  <si>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</si>
  <si>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</si>
  <si>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</si>
  <si>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</si>
  <si>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</si>
  <si>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</si>
  <si>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</si>
  <si>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</si>
  <si>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</si>
  <si>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</si>
  <si>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</si>
  <si>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</si>
  <si>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</si>
  <si>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</si>
  <si>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</si>
  <si>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</si>
  <si>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</si>
  <si>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</si>
  <si>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</si>
  <si>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</si>
  <si>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</si>
  <si>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</si>
  <si>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</si>
  <si>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</si>
  <si>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</si>
  <si>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</si>
  <si>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</si>
  <si>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</si>
  <si>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</si>
  <si>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</si>
  <si>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</si>
  <si>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</si>
  <si>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</si>
  <si>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</si>
  <si>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</si>
  <si>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</si>
  <si>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</si>
  <si>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</si>
  <si>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</si>
  <si>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</si>
  <si>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</si>
  <si>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</si>
  <si>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</si>
  <si>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</si>
  <si>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</si>
  <si>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</si>
  <si>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</si>
  <si>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</si>
  <si>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</si>
  <si>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</si>
  <si>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</si>
  <si>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</si>
  <si>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</si>
  <si>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</si>
  <si>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</si>
  <si>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</si>
  <si>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</si>
  <si>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</si>
  <si>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</si>
  <si>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</si>
  <si>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</si>
  <si>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</si>
  <si>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</si>
  <si>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</si>
  <si>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</si>
  <si>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</si>
  <si>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</si>
  <si>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</si>
  <si>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</si>
  <si>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</si>
  <si>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</si>
  <si>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</si>
  <si>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</si>
  <si>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</si>
  <si>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</si>
  <si>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</si>
  <si>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</si>
  <si>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</si>
  <si>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</si>
  <si>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</si>
  <si>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</si>
  <si>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</si>
  <si>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</si>
  <si>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</si>
  <si>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</si>
  <si>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</si>
  <si>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</si>
  <si>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</si>
  <si>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</si>
  <si>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</si>
  <si>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</si>
  <si>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</si>
  <si>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</si>
  <si>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</si>
  <si>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</si>
  <si>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</si>
  <si>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</si>
  <si>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</si>
  <si>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</si>
  <si>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</si>
  <si>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</si>
  <si>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</si>
  <si>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</si>
  <si>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</si>
  <si>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</si>
  <si>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</si>
  <si>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</si>
  <si>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</si>
  <si>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</si>
  <si>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</si>
  <si>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</si>
  <si>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</si>
  <si>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</si>
  <si>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</si>
  <si>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</si>
  <si>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</si>
  <si>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</si>
  <si>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</si>
  <si>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</si>
  <si>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</si>
  <si>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</si>
  <si>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</si>
  <si>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</si>
  <si>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</si>
  <si>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</si>
  <si>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</si>
  <si>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</si>
  <si>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</si>
  <si>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</si>
  <si>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</si>
  <si>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</si>
  <si>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</si>
  <si>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</si>
  <si>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</si>
  <si>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</si>
  <si>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</si>
  <si>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</si>
  <si>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</si>
  <si>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</si>
  <si>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</si>
  <si>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</si>
  <si>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</si>
  <si>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</si>
  <si>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</si>
  <si>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</si>
  <si>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</si>
  <si>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</si>
  <si>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</si>
  <si>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</si>
  <si>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</si>
  <si>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</si>
  <si>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</si>
  <si>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</si>
  <si>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</si>
  <si>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</si>
  <si>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</si>
  <si>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</si>
  <si>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</si>
  <si>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</si>
  <si>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</si>
  <si>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</si>
  <si>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</si>
  <si>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</si>
  <si>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</si>
  <si>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</si>
  <si>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</si>
  <si>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</si>
  <si>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</si>
  <si>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</si>
  <si>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</si>
  <si>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</si>
  <si>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</si>
  <si>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</si>
  <si>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</si>
  <si>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</si>
  <si>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</si>
  <si>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</si>
  <si>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</si>
  <si>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</si>
  <si>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</si>
  <si>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</si>
  <si>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</si>
  <si>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</si>
  <si>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</si>
  <si>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</si>
  <si>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</si>
  <si>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</si>
  <si>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</si>
  <si>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</si>
  <si>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</si>
  <si>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</si>
  <si>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</si>
  <si>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</si>
  <si>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</si>
  <si>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</si>
  <si>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</si>
  <si>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</si>
  <si>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</si>
  <si>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</si>
  <si>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</si>
  <si>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</si>
  <si>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</si>
  <si>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</si>
  <si>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</si>
  <si>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</si>
  <si>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</si>
  <si>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</si>
  <si>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</si>
  <si>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</si>
  <si>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</si>
  <si>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</si>
  <si>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</si>
  <si>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</si>
  <si>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</si>
  <si>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</si>
  <si>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</si>
  <si>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</si>
  <si>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</si>
  <si>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</si>
  <si>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</si>
  <si>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</si>
  <si>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</si>
  <si>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</si>
  <si>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</si>
  <si>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</si>
  <si>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</si>
  <si>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</si>
  <si>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</si>
  <si>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</si>
  <si>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</si>
  <si>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</si>
  <si>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</si>
  <si>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</si>
  <si>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</si>
  <si>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</si>
  <si>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</si>
  <si>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</si>
  <si>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</si>
  <si>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</si>
  <si>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</si>
  <si>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</si>
  <si>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</si>
  <si>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</si>
  <si>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</si>
  <si>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</si>
  <si>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</si>
  <si>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</si>
  <si>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</si>
  <si>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</si>
  <si>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</si>
  <si>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</si>
  <si>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</si>
  <si>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</si>
  <si>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</si>
  <si>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</si>
  <si>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</si>
  <si>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</si>
  <si>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</si>
  <si>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</si>
  <si>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</si>
  <si>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</si>
  <si>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</si>
  <si>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</si>
  <si>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</si>
  <si>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</si>
  <si>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</si>
  <si>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</si>
  <si>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</si>
  <si>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</si>
  <si>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</si>
  <si>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</si>
  <si>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</si>
  <si>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</si>
  <si>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</si>
  <si>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</si>
  <si>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</si>
  <si>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</si>
  <si>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</si>
  <si>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</si>
  <si>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</si>
  <si>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</si>
  <si>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</si>
  <si>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</si>
  <si>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</si>
  <si>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</si>
  <si>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</si>
  <si>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</si>
  <si>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</si>
  <si>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</si>
  <si>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</si>
  <si>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</si>
  <si>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</si>
  <si>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</si>
  <si>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</si>
  <si>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</si>
  <si>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</si>
  <si>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</si>
  <si>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</si>
  <si>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</si>
  <si>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</si>
  <si>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</si>
  <si>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</si>
  <si>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</si>
  <si>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</si>
  <si>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</si>
  <si>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</si>
  <si>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</si>
  <si>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</si>
  <si>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</si>
  <si>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</si>
  <si>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</si>
  <si>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</si>
  <si>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</si>
  <si>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</si>
  <si>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</si>
  <si>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</si>
  <si>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</si>
  <si>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</si>
  <si>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</si>
  <si>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</si>
  <si>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</si>
  <si>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</si>
  <si>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</si>
  <si>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</si>
  <si>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</si>
  <si>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</si>
  <si>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</si>
  <si>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</si>
  <si>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</si>
  <si>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</si>
  <si>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</si>
  <si>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</si>
  <si>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</si>
  <si>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</si>
  <si>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</si>
  <si>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</si>
  <si>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</si>
  <si>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</si>
  <si>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</si>
  <si>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</si>
  <si>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</si>
  <si>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</si>
  <si>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</si>
  <si>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</si>
  <si>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</si>
  <si>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</si>
  <si>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</si>
  <si>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</si>
  <si>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</si>
  <si>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</si>
  <si>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</si>
  <si>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</si>
  <si>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</si>
  <si>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</si>
  <si>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</si>
  <si>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</si>
  <si>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</si>
  <si>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</si>
  <si>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</si>
  <si>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</si>
  <si>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</si>
  <si>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</si>
  <si>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</si>
  <si>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</si>
  <si>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</si>
  <si>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</si>
  <si>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</si>
  <si>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</si>
  <si>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</si>
  <si>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</si>
  <si>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</si>
  <si>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</si>
  <si>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</si>
  <si>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</si>
  <si>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</si>
  <si>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</si>
  <si>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</si>
  <si>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</si>
  <si>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</si>
  <si>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</si>
  <si>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</si>
  <si>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</si>
  <si>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</si>
  <si>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</si>
  <si>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</si>
  <si>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</si>
  <si>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</si>
  <si>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</si>
  <si>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</si>
  <si>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</si>
  <si>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</si>
  <si>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</si>
  <si>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</si>
  <si>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</si>
  <si>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</si>
  <si>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</si>
  <si>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</si>
  <si>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</si>
  <si>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</si>
  <si>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</si>
  <si>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</si>
  <si>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</si>
  <si>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</si>
  <si>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</si>
  <si>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</si>
  <si>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</si>
  <si>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</si>
  <si>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</si>
  <si>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</si>
  <si>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</si>
  <si>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</si>
  <si>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</si>
  <si>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</si>
  <si>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</si>
  <si>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</si>
  <si>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</si>
  <si>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</si>
  <si>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</si>
  <si>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</si>
  <si>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</si>
  <si>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</si>
  <si>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</si>
  <si>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</si>
  <si>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</si>
  <si>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</si>
  <si>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</si>
  <si>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</si>
  <si>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</si>
  <si>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</si>
  <si>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</si>
  <si>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</si>
  <si>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</si>
  <si>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</si>
  <si>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</si>
  <si>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</si>
  <si>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</si>
  <si>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</si>
  <si>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</si>
  <si>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</si>
  <si>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</si>
  <si>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</si>
  <si>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</si>
  <si>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</si>
  <si>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</si>
  <si>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</si>
  <si>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</si>
  <si>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</si>
  <si>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</si>
  <si>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</si>
  <si>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</si>
  <si>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</si>
  <si>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</si>
  <si>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</si>
  <si>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</si>
  <si>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</si>
  <si>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</si>
  <si>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</si>
  <si>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</si>
  <si>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</si>
  <si>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</si>
  <si>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</si>
  <si>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</si>
  <si>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</si>
  <si>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</si>
  <si>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</si>
  <si>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</si>
  <si>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</si>
  <si>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</si>
  <si>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</si>
  <si>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</si>
  <si>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</si>
  <si>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</si>
  <si>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</si>
  <si>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</si>
  <si>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</si>
  <si>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</si>
  <si>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</si>
  <si>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</si>
  <si>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</si>
  <si>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</si>
  <si>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</si>
  <si>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</si>
  <si>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</si>
  <si>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</si>
  <si>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</si>
  <si>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</si>
  <si>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</si>
  <si>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</si>
  <si>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</si>
  <si>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</si>
  <si>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</si>
  <si>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</si>
  <si>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</si>
  <si>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</si>
  <si>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</si>
  <si>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</si>
  <si>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</si>
  <si>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</si>
  <si>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</si>
  <si>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</si>
  <si>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</si>
  <si>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</si>
  <si>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</si>
  <si>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</si>
  <si>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</si>
  <si>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</si>
  <si>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</si>
  <si>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</si>
  <si>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</si>
  <si>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</si>
  <si>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</si>
  <si>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</si>
  <si>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</si>
  <si>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</si>
  <si>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</si>
  <si>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</si>
  <si>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</si>
  <si>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</si>
  <si>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</si>
  <si>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</si>
  <si>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</si>
  <si>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</si>
  <si>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</si>
  <si>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</si>
  <si>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</si>
  <si>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</si>
  <si>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</si>
  <si>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</si>
  <si>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</si>
  <si>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</si>
  <si>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</si>
  <si>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</si>
  <si>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</si>
  <si>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</si>
  <si>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</si>
  <si>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</si>
  <si>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</si>
  <si>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</si>
  <si>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</si>
  <si>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</si>
  <si>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</si>
  <si>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</si>
  <si>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</si>
  <si>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</si>
  <si>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</si>
  <si>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</si>
  <si>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</si>
  <si>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</si>
  <si>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</si>
  <si>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</si>
  <si>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</si>
  <si>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</si>
  <si>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</si>
  <si>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</si>
  <si>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</si>
  <si>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</si>
  <si>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</si>
  <si>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</si>
  <si>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</si>
  <si>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</si>
  <si>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</si>
  <si>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</si>
  <si>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</si>
  <si>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</si>
  <si>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</si>
  <si>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</si>
  <si>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</si>
  <si>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</si>
  <si>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</si>
  <si>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</si>
  <si>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</si>
  <si>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</si>
  <si>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</si>
  <si>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</si>
  <si>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</si>
  <si>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</si>
  <si>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</si>
  <si>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</si>
  <si>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</si>
  <si>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</si>
  <si>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</si>
  <si>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</si>
  <si>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</si>
  <si>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</si>
  <si>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</si>
  <si>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</si>
  <si>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</si>
  <si>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</si>
  <si>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</si>
  <si>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</si>
  <si>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</si>
  <si>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</si>
  <si>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</si>
  <si>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</si>
  <si>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</si>
  <si>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</si>
  <si>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</si>
  <si>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</si>
  <si>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</si>
  <si>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</si>
  <si>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</si>
  <si>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</si>
  <si>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</si>
  <si>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</si>
  <si>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</si>
  <si>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</si>
  <si>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</si>
  <si>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</si>
  <si>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</si>
  <si>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</si>
  <si>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</si>
  <si>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</si>
  <si>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</si>
  <si>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</si>
  <si>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</si>
  <si>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</si>
  <si>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</si>
  <si>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</si>
  <si>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</si>
  <si>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</si>
  <si>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</si>
  <si>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</si>
  <si>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</si>
  <si>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</si>
  <si>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</si>
  <si>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</si>
  <si>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</si>
  <si>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</si>
  <si>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</si>
  <si>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</si>
  <si>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</si>
  <si>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</si>
  <si>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</si>
  <si>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</si>
  <si>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</si>
  <si>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</si>
  <si>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</si>
  <si>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</si>
  <si>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</si>
  <si>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</si>
  <si>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</si>
  <si>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</si>
  <si>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</si>
  <si>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</si>
  <si>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</si>
  <si>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</si>
  <si>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</si>
  <si>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</si>
  <si>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</si>
  <si>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</si>
  <si>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</si>
  <si>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</si>
  <si>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</si>
  <si>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</si>
  <si>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</si>
  <si>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</si>
  <si>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</si>
  <si>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</si>
  <si>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</si>
  <si>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</si>
  <si>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</si>
  <si>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</si>
  <si>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</si>
  <si>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</si>
  <si>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</si>
  <si>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</si>
  <si>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</si>
  <si>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</si>
  <si>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</si>
  <si>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</si>
  <si>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</si>
  <si>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</si>
  <si>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</si>
  <si>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</si>
  <si>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</si>
  <si>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</si>
  <si>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</si>
  <si>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</si>
  <si>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</si>
  <si>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</si>
  <si>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</si>
  <si>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</si>
  <si>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</si>
  <si>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</si>
  <si>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</si>
  <si>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</si>
  <si>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</si>
  <si>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</si>
  <si>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</si>
  <si>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</si>
  <si>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</si>
  <si>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</si>
  <si>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</si>
  <si>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</si>
  <si>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</si>
  <si>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</si>
  <si>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</si>
  <si>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</si>
  <si>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</si>
  <si>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</si>
  <si>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</si>
  <si>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</si>
  <si>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</si>
  <si>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</si>
  <si>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</si>
  <si>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</si>
  <si>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</si>
  <si>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</si>
  <si>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</si>
  <si>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</si>
  <si>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</si>
  <si>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</si>
  <si>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</si>
  <si>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</si>
  <si>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</si>
  <si>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</si>
  <si>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</si>
  <si>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</si>
  <si>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</si>
  <si>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</si>
  <si>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</si>
  <si>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</si>
  <si>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</si>
  <si>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</si>
  <si>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</si>
  <si>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</si>
  <si>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</si>
  <si>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</si>
  <si>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</si>
  <si>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</si>
  <si>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</si>
  <si>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</si>
  <si>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</si>
  <si>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</si>
  <si>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</si>
  <si>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</si>
  <si>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</si>
  <si>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</si>
  <si>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</si>
  <si>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</si>
  <si>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</si>
  <si>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</si>
  <si>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</si>
  <si>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</si>
  <si>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</si>
  <si>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</si>
  <si>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</si>
  <si>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</si>
  <si>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</si>
  <si>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</si>
  <si>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</si>
  <si>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</si>
  <si>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</si>
  <si>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</si>
  <si>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</si>
  <si>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</si>
  <si>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</si>
  <si>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</si>
  <si>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</si>
  <si>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</si>
  <si>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</si>
  <si>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</si>
  <si>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</si>
  <si>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</si>
  <si>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</si>
  <si>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</si>
  <si>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</si>
  <si>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</si>
  <si>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</si>
  <si>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</si>
  <si>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</si>
  <si>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</si>
  <si>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</si>
  <si>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</si>
  <si>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</si>
  <si>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</si>
  <si>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</si>
  <si>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</si>
  <si>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</si>
  <si>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</si>
  <si>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</si>
  <si>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</si>
  <si>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</si>
  <si>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</si>
  <si>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</si>
  <si>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</si>
  <si>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</si>
  <si>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</si>
  <si>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</si>
  <si>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</si>
  <si>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</si>
  <si>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</si>
  <si>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</si>
  <si>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</si>
  <si>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</si>
  <si>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</si>
  <si>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</si>
  <si>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</si>
  <si>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</si>
  <si>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</si>
  <si>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</si>
  <si>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</si>
  <si>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</si>
  <si>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</si>
  <si>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</si>
  <si>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</si>
  <si>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</si>
  <si>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</si>
  <si>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</si>
  <si>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</si>
  <si>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</si>
  <si>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</si>
  <si>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</si>
  <si>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</si>
  <si>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</si>
  <si>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</si>
  <si>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</si>
  <si>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</si>
  <si>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</si>
  <si>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</si>
  <si>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</si>
  <si>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</si>
  <si>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</si>
  <si>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</si>
  <si>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</si>
  <si>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</si>
  <si>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</si>
  <si>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</si>
  <si>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</si>
  <si>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</si>
  <si>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</si>
  <si>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</si>
  <si>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</si>
  <si>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</si>
  <si>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</si>
  <si>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</si>
  <si>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</si>
  <si>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</si>
  <si>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</si>
  <si>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</si>
  <si>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</si>
  <si>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</si>
  <si>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</si>
  <si>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</si>
  <si>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</si>
  <si>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</si>
  <si>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</si>
  <si>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</si>
  <si>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</si>
  <si>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</si>
  <si>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</si>
  <si>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</si>
  <si>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</si>
  <si>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</si>
  <si>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</si>
  <si>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</si>
  <si>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</si>
  <si>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</si>
  <si>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</si>
  <si>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</si>
  <si>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</si>
  <si>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</si>
  <si>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</si>
  <si>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</si>
  <si>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</si>
  <si>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</si>
  <si>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</si>
  <si>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</si>
  <si>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</si>
  <si>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</si>
  <si>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</si>
  <si>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</si>
  <si>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</si>
  <si>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</si>
  <si>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</si>
  <si>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</si>
  <si>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</si>
  <si>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</si>
  <si>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</si>
  <si>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</si>
  <si>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</si>
  <si>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</si>
  <si>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</si>
  <si>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</si>
  <si>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</si>
  <si>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</si>
  <si>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</si>
  <si>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</si>
  <si>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</si>
  <si>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</si>
  <si>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</si>
  <si>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</si>
  <si>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</si>
  <si>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</si>
  <si>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</si>
  <si>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</si>
  <si>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</si>
  <si>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</si>
  <si>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</si>
  <si>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</si>
  <si>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</si>
  <si>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</si>
  <si>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</si>
  <si>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</si>
  <si>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</si>
  <si>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</si>
  <si>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</si>
  <si>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</si>
  <si>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</si>
  <si>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</si>
  <si>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</si>
  <si>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</si>
  <si>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</si>
  <si>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</si>
  <si>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</si>
  <si>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</si>
  <si>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</si>
  <si>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</si>
  <si>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</si>
  <si>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</si>
  <si>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</si>
  <si>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</si>
  <si>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</si>
  <si>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</si>
  <si>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</si>
  <si>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</si>
  <si>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</si>
  <si>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</si>
  <si>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</si>
  <si>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</si>
  <si>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</si>
  <si>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</si>
  <si>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</si>
  <si>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</si>
  <si>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</si>
  <si>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</si>
  <si>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</si>
  <si>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</si>
  <si>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</si>
  <si>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</si>
  <si>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</si>
  <si>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</si>
  <si>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</si>
  <si>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</si>
  <si>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</si>
  <si>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</si>
  <si>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</si>
  <si>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</si>
  <si>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</si>
  <si>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</si>
  <si>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</si>
  <si>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</si>
  <si>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</si>
  <si>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</si>
  <si>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</si>
  <si>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</si>
  <si>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</si>
  <si>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</si>
  <si>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</si>
  <si>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</si>
  <si>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</si>
  <si>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</si>
  <si>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</si>
  <si>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</si>
  <si>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</si>
  <si>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</si>
  <si>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</si>
  <si>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</si>
  <si>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</si>
  <si>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</si>
  <si>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</si>
  <si>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</si>
  <si>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</si>
  <si>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</si>
  <si>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</si>
  <si>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</si>
  <si>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</si>
  <si>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</si>
  <si>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</si>
  <si>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</si>
  <si>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</si>
  <si>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</si>
  <si>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</si>
  <si>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</si>
  <si>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</si>
  <si>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</si>
  <si>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</si>
  <si>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</si>
  <si>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</si>
  <si>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</si>
  <si>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</si>
  <si>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</si>
  <si>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</si>
  <si>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</si>
  <si>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</si>
  <si>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</si>
  <si>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</si>
  <si>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</si>
  <si>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</si>
  <si>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</si>
  <si>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</si>
  <si>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</si>
  <si>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</si>
  <si>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</si>
  <si>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</si>
  <si>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</si>
  <si>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</si>
  <si>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</si>
  <si>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</si>
  <si>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</si>
  <si>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</si>
  <si>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</si>
  <si>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</si>
  <si>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</si>
  <si>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</si>
  <si>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</si>
  <si>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</si>
  <si>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</si>
  <si>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</si>
  <si>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</si>
  <si>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</si>
  <si>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</si>
  <si>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</si>
  <si>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</si>
  <si>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</si>
  <si>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</si>
  <si>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</si>
  <si>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</si>
  <si>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</si>
  <si>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</si>
  <si>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</si>
  <si>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</si>
  <si>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</si>
  <si>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</si>
  <si>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</si>
  <si>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</si>
  <si>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</si>
  <si>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</si>
  <si>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</si>
  <si>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</si>
  <si>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</si>
  <si>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</si>
  <si>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</si>
  <si>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</si>
  <si>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</si>
  <si>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</si>
  <si>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</si>
  <si>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</si>
  <si>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</si>
  <si>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</si>
  <si>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</si>
  <si>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</si>
  <si>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</si>
  <si>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</si>
  <si>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</si>
  <si>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</si>
  <si>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</si>
  <si>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</si>
  <si>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</si>
  <si>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</si>
  <si>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</si>
  <si>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</si>
  <si>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</si>
  <si>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</si>
  <si>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</si>
  <si>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</si>
  <si>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</si>
  <si>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</si>
  <si>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</si>
  <si>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</si>
  <si>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</si>
  <si>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</si>
  <si>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</si>
  <si>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</si>
  <si>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</si>
  <si>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</si>
  <si>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</si>
  <si>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</si>
  <si>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</si>
  <si>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</si>
  <si>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</si>
  <si>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</si>
  <si>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</si>
  <si>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</si>
  <si>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</si>
  <si>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</si>
  <si>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</si>
  <si>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</si>
  <si>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</si>
  <si>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</si>
  <si>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</si>
  <si>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</si>
  <si>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</si>
  <si>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</si>
  <si>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</si>
  <si>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</si>
  <si>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</si>
  <si>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</si>
  <si>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</si>
  <si>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</si>
  <si>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</si>
  <si>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</si>
  <si>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</si>
  <si>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</si>
  <si>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</si>
  <si>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</si>
  <si>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</si>
  <si>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</si>
  <si>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</si>
  <si>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</si>
  <si>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</si>
  <si>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</si>
  <si>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</si>
  <si>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</si>
  <si>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</si>
  <si>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</si>
  <si>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</si>
  <si>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</si>
  <si>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</si>
  <si>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</si>
  <si>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</si>
  <si>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</si>
  <si>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</si>
  <si>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</si>
  <si>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</si>
  <si>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</si>
  <si>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</si>
  <si>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</si>
  <si>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</si>
  <si>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</si>
  <si>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</si>
  <si>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</si>
  <si>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</si>
  <si>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</si>
  <si>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</si>
  <si>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</si>
  <si>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</si>
  <si>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</si>
  <si>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</si>
  <si>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</si>
  <si>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</si>
  <si>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</si>
  <si>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</si>
  <si>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</si>
  <si>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</si>
  <si>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</si>
  <si>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</si>
  <si>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</si>
  <si>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</si>
  <si>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</si>
  <si>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</si>
  <si>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</si>
  <si>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</si>
  <si>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</si>
  <si>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</si>
  <si>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</si>
  <si>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</si>
  <si>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</si>
  <si>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</si>
  <si>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</si>
  <si>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</si>
  <si>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</si>
  <si>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</si>
  <si>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</si>
  <si>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</si>
  <si>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</si>
  <si>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</si>
  <si>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</si>
  <si>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</si>
  <si>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</si>
  <si>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</si>
  <si>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</si>
  <si>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</si>
  <si>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</si>
  <si>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</si>
  <si>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</si>
  <si>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</si>
  <si>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</si>
  <si>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</si>
  <si>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</si>
  <si>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</si>
  <si>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</si>
  <si>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</si>
  <si>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</si>
  <si>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</si>
  <si>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</si>
  <si>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</si>
  <si>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</si>
  <si>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</si>
  <si>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</si>
  <si>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</si>
  <si>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</si>
  <si>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</si>
  <si>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</si>
  <si>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</si>
  <si>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</si>
  <si>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</si>
  <si>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</si>
  <si>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</si>
  <si>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</si>
  <si>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</si>
  <si>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</si>
  <si>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</si>
  <si>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</si>
  <si>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</si>
  <si>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</si>
  <si>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</si>
  <si>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</si>
  <si>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</si>
  <si>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</si>
  <si>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</si>
  <si>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</si>
  <si>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</si>
  <si>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</si>
  <si>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</si>
  <si>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</si>
  <si>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</si>
  <si>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</si>
  <si>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</si>
  <si>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</si>
  <si>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</si>
  <si>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</si>
  <si>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</si>
  <si>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</si>
  <si>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</si>
  <si>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</si>
  <si>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</si>
  <si>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</si>
  <si>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</si>
  <si>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</si>
  <si>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</si>
  <si>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</si>
  <si>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</si>
  <si>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</si>
  <si>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</si>
  <si>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</si>
  <si>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</si>
  <si>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</si>
  <si>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</si>
  <si>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</si>
  <si>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</si>
  <si>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</si>
  <si>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</si>
  <si>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</si>
  <si>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</si>
  <si>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</si>
  <si>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</si>
  <si>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</si>
  <si>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</si>
  <si>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</si>
  <si>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</si>
  <si>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</si>
  <si>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</si>
  <si>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</si>
  <si>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</si>
  <si>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</si>
  <si>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</si>
  <si>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</si>
  <si>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</si>
  <si>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</si>
  <si>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</si>
  <si>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</si>
  <si>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</si>
  <si>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</si>
  <si>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</si>
  <si>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</si>
  <si>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</si>
  <si>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</si>
  <si>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</si>
  <si>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</si>
  <si>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</si>
  <si>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</si>
  <si>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</si>
  <si>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</si>
  <si>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</si>
  <si>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</si>
  <si>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</si>
  <si>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</si>
  <si>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</si>
  <si>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</si>
  <si>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</si>
  <si>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</si>
  <si>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</si>
  <si>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</si>
  <si>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</si>
  <si>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</si>
  <si>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</si>
  <si>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</si>
  <si>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</si>
  <si>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</si>
  <si>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</si>
  <si>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</si>
  <si>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</si>
  <si>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</si>
  <si>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</si>
  <si>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</si>
  <si>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</si>
  <si>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</si>
  <si>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</si>
  <si>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</si>
  <si>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</si>
  <si>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</si>
  <si>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</si>
  <si>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</si>
  <si>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</si>
  <si>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</si>
  <si>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</si>
  <si>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</si>
  <si>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</si>
  <si>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</si>
  <si>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</si>
  <si>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</si>
  <si>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</si>
  <si>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</si>
  <si>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</si>
  <si>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</si>
  <si>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</si>
  <si>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</si>
  <si>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</si>
  <si>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</si>
  <si>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</si>
  <si>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</si>
  <si>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</si>
  <si>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</si>
  <si>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</si>
  <si>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</si>
  <si>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</si>
  <si>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</si>
  <si>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</si>
  <si>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</si>
  <si>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</si>
  <si>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</si>
  <si>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</si>
  <si>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</si>
  <si>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</si>
  <si>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</si>
  <si>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</si>
  <si>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</si>
  <si>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</si>
  <si>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</si>
  <si>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</si>
  <si>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</si>
  <si>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</si>
  <si>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</si>
  <si>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</si>
  <si>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</si>
  <si>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</si>
  <si>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</si>
  <si>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</si>
  <si>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</si>
  <si>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</si>
  <si>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</si>
  <si>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</si>
  <si>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</si>
  <si>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</si>
  <si>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</si>
  <si>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</si>
  <si>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</si>
  <si>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</si>
  <si>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</si>
  <si>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</si>
  <si>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</si>
  <si>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</si>
  <si>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</si>
  <si>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</si>
  <si>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</si>
  <si>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</si>
  <si>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</si>
  <si>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</si>
  <si>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</si>
  <si>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</si>
  <si>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</si>
  <si>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</si>
  <si>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</si>
  <si>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</si>
  <si>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</si>
  <si>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</si>
  <si>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</si>
  <si>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</si>
  <si>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</si>
  <si>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</si>
  <si>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</si>
  <si>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</si>
  <si>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</si>
  <si>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</si>
  <si>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</si>
  <si>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</si>
  <si>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</si>
  <si>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</si>
  <si>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</si>
  <si>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</si>
  <si>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</si>
  <si>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</si>
  <si>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</si>
  <si>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</si>
  <si>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</si>
  <si>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</si>
  <si>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</si>
  <si>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</si>
  <si>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</si>
  <si>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</si>
  <si>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</si>
  <si>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</si>
  <si>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</si>
  <si>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</si>
  <si>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</si>
  <si>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</si>
  <si>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</si>
  <si>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</si>
  <si>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</si>
  <si>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</si>
  <si>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</si>
  <si>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</si>
  <si>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</si>
  <si>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</si>
  <si>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</si>
  <si>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</si>
  <si>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</si>
  <si>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</si>
  <si>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</si>
  <si>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</si>
  <si>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</si>
  <si>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</si>
  <si>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</si>
  <si>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</si>
  <si>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</si>
  <si>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</si>
  <si>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</si>
  <si>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</si>
  <si>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</si>
  <si>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</si>
  <si>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</si>
  <si>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</si>
  <si>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</si>
  <si>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</si>
  <si>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</si>
  <si>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</si>
  <si>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</si>
  <si>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</si>
  <si>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</si>
  <si>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</si>
  <si>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</si>
  <si>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</si>
  <si>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</si>
  <si>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</si>
  <si>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</si>
  <si>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</si>
  <si>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</si>
  <si>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</si>
  <si>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</si>
  <si>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</si>
  <si>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</si>
  <si>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</si>
  <si>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</si>
  <si>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</si>
  <si>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</si>
  <si>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</si>
  <si>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</si>
  <si>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</si>
  <si>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</si>
  <si>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</si>
  <si>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</si>
  <si>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</si>
  <si>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</si>
  <si>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</si>
  <si>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</si>
  <si>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</si>
  <si>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</si>
  <si>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</si>
  <si>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</si>
  <si>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</si>
  <si>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</si>
  <si>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</si>
  <si>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</si>
  <si>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</si>
  <si>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</si>
  <si>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</si>
  <si>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</si>
  <si>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</si>
  <si>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</si>
  <si>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</si>
  <si>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</si>
  <si>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</si>
  <si>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</si>
  <si>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</si>
  <si>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</si>
  <si>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</si>
  <si>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</si>
  <si>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</si>
  <si>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</si>
  <si>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</si>
  <si>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</si>
  <si>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</si>
  <si>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</si>
  <si>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</si>
  <si>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</si>
  <si>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</si>
  <si>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</si>
  <si>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</si>
  <si>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</si>
  <si>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</si>
  <si>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</si>
  <si>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</si>
  <si>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</si>
  <si>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</si>
  <si>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</si>
  <si>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</si>
  <si>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</si>
  <si>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</si>
  <si>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</si>
  <si>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</si>
  <si>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</si>
  <si>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</si>
  <si>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</si>
  <si>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</si>
  <si>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</si>
  <si>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</si>
  <si>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</si>
  <si>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</si>
  <si>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</si>
  <si>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</si>
  <si>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</si>
  <si>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</si>
  <si>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</si>
  <si>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</si>
  <si>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</si>
  <si>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</si>
  <si>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</si>
  <si>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</si>
  <si>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</si>
  <si>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</si>
  <si>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</si>
  <si>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</si>
  <si>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</si>
  <si>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</si>
  <si>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</si>
  <si>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</si>
  <si>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</si>
  <si>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</si>
  <si>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</si>
  <si>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</si>
  <si>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</si>
  <si>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</si>
  <si>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</si>
  <si>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</si>
  <si>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</si>
  <si>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</si>
  <si>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</si>
  <si>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</si>
  <si>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</si>
  <si>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</si>
  <si>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</si>
  <si>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</si>
  <si>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</si>
  <si>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</si>
  <si>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</si>
  <si>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</si>
  <si>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</si>
  <si>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</si>
  <si>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</si>
  <si>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</si>
  <si>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</si>
  <si>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</si>
  <si>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</si>
  <si>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</si>
  <si>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</si>
  <si>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</si>
  <si>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</si>
  <si>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</si>
  <si>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</si>
  <si>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</si>
  <si>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</si>
  <si>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</si>
  <si>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</si>
  <si>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</si>
  <si>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</si>
  <si>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</si>
  <si>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</si>
  <si>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</si>
  <si>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</si>
  <si>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</si>
  <si>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</si>
  <si>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</si>
  <si>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</si>
  <si>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</si>
  <si>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</si>
  <si>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</si>
  <si>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</si>
  <si>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</si>
  <si>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</si>
  <si>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</si>
  <si>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</si>
  <si>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</si>
  <si>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</si>
  <si>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</si>
  <si>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</si>
  <si>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</si>
  <si>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</si>
  <si>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</si>
  <si>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</si>
  <si>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</si>
  <si>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</si>
  <si>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</si>
  <si>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</si>
  <si>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</si>
  <si>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</si>
  <si>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</si>
  <si>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</si>
  <si>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</si>
  <si>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</si>
  <si>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</si>
  <si>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</si>
  <si>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</si>
  <si>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</si>
  <si>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</si>
  <si>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</si>
  <si>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</si>
  <si>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</si>
  <si>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</si>
  <si>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</si>
  <si>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</si>
  <si>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</si>
  <si>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</si>
  <si>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</si>
  <si>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</si>
  <si>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</si>
  <si>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</si>
  <si>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</si>
  <si>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</si>
  <si>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</si>
  <si>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</si>
  <si>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</si>
  <si>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</si>
  <si>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</si>
  <si>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</si>
  <si>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</si>
  <si>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</si>
  <si>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</si>
  <si>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</si>
  <si>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</si>
  <si>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</si>
  <si>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</si>
  <si>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</si>
  <si>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</si>
  <si>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</si>
  <si>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</si>
  <si>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</si>
  <si>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</si>
  <si>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</si>
  <si>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</si>
  <si>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</si>
  <si>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</si>
  <si>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</si>
  <si>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</si>
  <si>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</si>
  <si>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</si>
  <si>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</si>
  <si>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</si>
  <si>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</si>
  <si>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</si>
  <si>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</si>
  <si>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</si>
  <si>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</si>
  <si>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</si>
  <si>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</si>
  <si>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</si>
  <si>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</si>
  <si>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</si>
  <si>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</si>
  <si>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</si>
  <si>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</si>
  <si>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</si>
  <si>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</si>
  <si>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</si>
  <si>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</si>
  <si>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</si>
  <si>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</si>
  <si>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</si>
  <si>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</si>
  <si>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</si>
  <si>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</si>
  <si>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</si>
  <si>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</si>
  <si>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</si>
  <si>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</si>
  <si>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</si>
  <si>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</si>
  <si>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</si>
  <si>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</si>
  <si>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</si>
  <si>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</si>
  <si>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</si>
  <si>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</si>
  <si>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</si>
  <si>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</si>
  <si>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</si>
  <si>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</si>
  <si>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</si>
  <si>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</si>
  <si>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</si>
  <si>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</si>
  <si>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</si>
  <si>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</si>
  <si>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</si>
  <si>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</si>
  <si>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</si>
  <si>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</si>
  <si>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</si>
  <si>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</si>
  <si>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</si>
  <si>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</si>
  <si>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</si>
  <si>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</si>
  <si>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</si>
  <si>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</si>
  <si>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</si>
  <si>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</si>
  <si>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</si>
  <si>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</si>
  <si>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</si>
  <si>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</si>
  <si>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</si>
  <si>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</si>
  <si>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</si>
  <si>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</si>
  <si>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</si>
  <si>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</si>
  <si>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</si>
  <si>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</si>
  <si>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</si>
  <si>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</si>
  <si>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</si>
  <si>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</si>
  <si>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</si>
  <si>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</si>
  <si>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</si>
  <si>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</si>
  <si>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</si>
  <si>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</si>
  <si>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</si>
  <si>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</si>
  <si>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</si>
  <si>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</si>
  <si>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</si>
  <si>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</si>
  <si>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</si>
  <si>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</si>
  <si>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</si>
  <si>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</si>
  <si>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</si>
  <si>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</si>
  <si>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</si>
  <si>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</si>
  <si>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</si>
  <si>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</si>
  <si>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</si>
  <si>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</si>
  <si>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</si>
  <si>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</si>
  <si>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</si>
  <si>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</si>
  <si>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</si>
  <si>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</si>
  <si>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</si>
  <si>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</si>
  <si>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</si>
  <si>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</si>
  <si>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</si>
  <si>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</si>
  <si>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</si>
  <si>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</si>
  <si>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</si>
  <si>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</si>
  <si>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</si>
  <si>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</si>
  <si>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</si>
  <si>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</si>
  <si>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</si>
  <si>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</si>
  <si>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</si>
  <si>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</si>
  <si>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</si>
  <si>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</si>
  <si>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</si>
  <si>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</si>
  <si>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</si>
  <si>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</si>
  <si>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</si>
  <si>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</si>
  <si>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</si>
  <si>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</si>
  <si>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</si>
  <si>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</si>
  <si>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</si>
  <si>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</si>
  <si>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</si>
  <si>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</si>
  <si>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</si>
  <si>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</si>
  <si>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</si>
  <si>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</si>
  <si>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</si>
  <si>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</si>
  <si>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</si>
  <si>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</si>
  <si>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</si>
  <si>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</si>
  <si>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</si>
  <si>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</si>
  <si>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</si>
  <si>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</si>
  <si>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</si>
  <si>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</si>
  <si>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</si>
  <si>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</si>
  <si>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</si>
  <si>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</si>
  <si>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</si>
  <si>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</si>
  <si>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</si>
  <si>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</si>
  <si>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</si>
  <si>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</si>
  <si>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</si>
  <si>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</si>
  <si>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</si>
  <si>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</si>
  <si>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</si>
  <si>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</si>
  <si>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</si>
  <si>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</si>
  <si>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</si>
  <si>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</si>
  <si>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</si>
  <si>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</si>
  <si>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</si>
  <si>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</si>
  <si>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</si>
  <si>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</si>
  <si>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</si>
  <si>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</si>
  <si>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</si>
  <si>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</si>
  <si>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</si>
  <si>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</si>
  <si>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</si>
  <si>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</si>
  <si>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</si>
  <si>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</si>
  <si>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</si>
  <si>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</si>
  <si>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</si>
  <si>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</si>
  <si>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</si>
  <si>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</si>
  <si>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</si>
  <si>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</si>
  <si>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</si>
  <si>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</si>
  <si>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</si>
  <si>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</si>
  <si>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</si>
  <si>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</si>
  <si>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</si>
  <si>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</si>
  <si>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</si>
  <si>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</si>
  <si>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</si>
  <si>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</si>
  <si>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</si>
  <si>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</si>
  <si>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</si>
  <si>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</si>
  <si>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</si>
  <si>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</si>
  <si>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</si>
  <si>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</si>
  <si>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</si>
  <si>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</si>
  <si>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</si>
  <si>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</si>
  <si>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</si>
  <si>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</si>
  <si>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</si>
  <si>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</si>
  <si>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</si>
  <si>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</si>
  <si>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</si>
  <si>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</si>
  <si>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</si>
  <si>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</si>
  <si>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</si>
  <si>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</si>
  <si>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</si>
  <si>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</si>
  <si>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</si>
  <si>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</si>
  <si>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</si>
  <si>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</si>
  <si>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</si>
  <si>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</si>
  <si>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</si>
  <si>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</si>
  <si>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</si>
  <si>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</si>
  <si>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</si>
  <si>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</si>
  <si>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</si>
  <si>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</si>
  <si>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</si>
  <si>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</si>
  <si>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</si>
  <si>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</si>
  <si>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</si>
  <si>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</si>
  <si>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</si>
  <si>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</si>
  <si>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</si>
  <si>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</si>
  <si>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</si>
  <si>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</si>
  <si>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</si>
  <si>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</si>
  <si>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</si>
  <si>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</si>
  <si>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</si>
  <si>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</si>
  <si>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</si>
  <si>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</si>
  <si>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</si>
  <si>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</si>
  <si>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</si>
  <si>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</si>
  <si>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</si>
  <si>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</si>
  <si>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</si>
  <si>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</si>
  <si>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</si>
  <si>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</si>
  <si>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</si>
  <si>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</si>
  <si>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</si>
  <si>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</si>
  <si>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</si>
  <si>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</si>
  <si>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</si>
  <si>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</si>
  <si>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</si>
  <si>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</si>
  <si>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</si>
  <si>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</si>
  <si>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</si>
  <si>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</si>
  <si>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</si>
  <si>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</si>
  <si>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</si>
  <si>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</si>
  <si>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</si>
  <si>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</si>
  <si>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</si>
  <si>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</si>
  <si>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</si>
  <si>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</si>
  <si>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</si>
  <si>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</si>
  <si>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</si>
  <si>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</si>
  <si>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</si>
  <si>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</si>
  <si>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</si>
  <si>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</si>
  <si>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</si>
  <si>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</si>
  <si>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</si>
  <si>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</si>
  <si>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</si>
  <si>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</si>
  <si>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</si>
  <si>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</si>
  <si>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</si>
  <si>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</si>
  <si>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</si>
  <si>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</si>
  <si>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</si>
  <si>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</si>
  <si>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</si>
  <si>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</si>
  <si>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</si>
  <si>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</si>
  <si>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</si>
  <si>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</si>
  <si>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</si>
  <si>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</si>
  <si>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</si>
  <si>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</si>
  <si>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</si>
  <si>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</si>
  <si>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</si>
  <si>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</si>
  <si>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</si>
  <si>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</si>
  <si>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</si>
  <si>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</si>
  <si>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</si>
  <si>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</si>
  <si>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</si>
  <si>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</si>
  <si>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</si>
  <si>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</si>
  <si>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</si>
  <si>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</si>
  <si>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</si>
  <si>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</si>
  <si>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</si>
  <si>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</si>
  <si>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</si>
  <si>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</si>
  <si>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</si>
  <si>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</si>
  <si>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</si>
  <si>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</si>
  <si>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</si>
  <si>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</si>
  <si>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</si>
  <si>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</si>
  <si>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</si>
  <si>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</si>
  <si>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</si>
  <si>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</si>
  <si>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</si>
  <si>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</si>
  <si>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</si>
  <si>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</si>
  <si>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</si>
  <si>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</si>
  <si>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</si>
  <si>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</si>
  <si>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</si>
  <si>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</si>
  <si>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</si>
  <si>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</si>
  <si>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</si>
  <si>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</si>
  <si>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</si>
  <si>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</si>
  <si>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</si>
  <si>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</si>
  <si>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</si>
  <si>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</si>
  <si>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</si>
  <si>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</si>
  <si>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</si>
  <si>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</si>
  <si>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</si>
  <si>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</si>
  <si>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</si>
  <si>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</si>
  <si>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</si>
  <si>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</si>
  <si>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</si>
  <si>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</si>
  <si>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</si>
  <si>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</si>
  <si>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</si>
  <si>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</si>
  <si>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</si>
  <si>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</si>
  <si>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</si>
  <si>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</si>
  <si>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</si>
  <si>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</si>
  <si>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</si>
  <si>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</si>
  <si>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</si>
  <si>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</si>
  <si>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</si>
  <si>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</si>
  <si>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</si>
  <si>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</si>
  <si>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</si>
  <si>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</si>
  <si>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</si>
  <si>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</si>
  <si>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</si>
  <si>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</si>
  <si>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</si>
  <si>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</si>
  <si>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</si>
  <si>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</si>
  <si>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</si>
  <si>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</si>
  <si>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</si>
  <si>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</si>
  <si>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</si>
  <si>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</si>
  <si>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</si>
  <si>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</si>
  <si>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</si>
  <si>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</si>
  <si>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</si>
  <si>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</si>
  <si>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</si>
  <si>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</si>
  <si>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</si>
  <si>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</si>
  <si>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</si>
  <si>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</si>
  <si>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</si>
  <si>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</si>
  <si>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</si>
  <si>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</si>
  <si>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</si>
  <si>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</si>
  <si>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</si>
  <si>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</si>
  <si>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</si>
  <si>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</si>
  <si>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</si>
  <si>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</si>
  <si>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</si>
  <si>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</si>
  <si>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</si>
  <si>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</si>
  <si>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</si>
  <si>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</si>
  <si>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</si>
  <si>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</si>
  <si>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</si>
  <si>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</si>
  <si>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</si>
  <si>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</si>
  <si>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</si>
  <si>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</si>
  <si>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</si>
  <si>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</si>
  <si>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</si>
  <si>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</si>
  <si>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</si>
  <si>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</si>
  <si>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</si>
  <si>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</si>
  <si>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</si>
  <si>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</si>
  <si>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</si>
  <si>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</si>
  <si>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</si>
  <si>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</si>
  <si>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</si>
  <si>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</si>
  <si>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</si>
  <si>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</si>
  <si>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</si>
  <si>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</si>
  <si>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</si>
  <si>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</si>
  <si>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</si>
  <si>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</si>
  <si>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</si>
  <si>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</si>
  <si>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</si>
  <si>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</si>
  <si>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</si>
  <si>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</si>
  <si>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</si>
  <si>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</si>
  <si>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</si>
  <si>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</si>
  <si>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</si>
  <si>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</si>
  <si>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</si>
  <si>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</si>
  <si>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</si>
  <si>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</si>
  <si>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</si>
  <si>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</si>
  <si>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</si>
  <si>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</si>
  <si>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</si>
  <si>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</si>
  <si>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</si>
  <si>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</si>
  <si>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</si>
  <si>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</si>
  <si>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</si>
  <si>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</si>
  <si>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</si>
  <si>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</si>
  <si>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</si>
  <si>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</si>
  <si>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</si>
  <si>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</si>
  <si>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</si>
  <si>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</si>
  <si>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</si>
  <si>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</si>
  <si>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</si>
  <si>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</si>
  <si>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</si>
  <si>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</si>
  <si>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</si>
  <si>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</si>
  <si>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</si>
  <si>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</si>
  <si>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</si>
  <si>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</si>
  <si>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</si>
  <si>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</si>
  <si>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</si>
  <si>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</si>
  <si>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</si>
  <si>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</si>
  <si>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</si>
  <si>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</si>
  <si>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</si>
  <si>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</si>
  <si>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</si>
  <si>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</si>
  <si>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</si>
  <si>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</si>
  <si>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</si>
  <si>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</si>
  <si>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</si>
  <si>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</si>
  <si>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</si>
  <si>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</si>
  <si>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</si>
  <si>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</si>
  <si>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</si>
  <si>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</si>
  <si>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</si>
  <si>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</si>
  <si>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</si>
  <si>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</si>
  <si>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</si>
  <si>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</si>
  <si>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</si>
  <si>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</si>
  <si>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</si>
  <si>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</si>
  <si>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</si>
  <si>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</si>
  <si>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</si>
  <si>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</si>
  <si>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</si>
  <si>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</si>
  <si>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</si>
  <si>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</si>
  <si>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</si>
  <si>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</si>
  <si>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</si>
  <si>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</si>
  <si>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</si>
  <si>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</si>
  <si>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</si>
  <si>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</si>
  <si>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</si>
  <si>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</si>
  <si>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</si>
  <si>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</si>
  <si>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</si>
  <si>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</si>
  <si>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</si>
  <si>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</si>
  <si>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</si>
  <si>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</si>
  <si>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</si>
  <si>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</si>
  <si>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</si>
  <si>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</si>
  <si>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</si>
  <si>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</si>
  <si>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</si>
  <si>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</si>
  <si>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</si>
  <si>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</si>
  <si>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</si>
  <si>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</si>
  <si>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</si>
  <si>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</si>
  <si>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</si>
  <si>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</si>
  <si>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</si>
  <si>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</si>
  <si>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</si>
  <si>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</si>
  <si>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</si>
  <si>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</si>
  <si>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</si>
  <si>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</si>
  <si>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</si>
  <si>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</si>
  <si>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</si>
  <si>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</si>
  <si>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</si>
  <si>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</si>
  <si>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</si>
  <si>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</si>
  <si>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</si>
  <si>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</si>
  <si>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</si>
  <si>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</si>
  <si>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</si>
  <si>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</si>
  <si>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</si>
  <si>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</si>
  <si>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</si>
  <si>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</si>
  <si>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</si>
  <si>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</si>
  <si>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</si>
  <si>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</si>
  <si>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</si>
  <si>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</si>
  <si>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</si>
  <si>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</si>
  <si>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</si>
  <si>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</si>
  <si>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</si>
  <si>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</si>
  <si>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</si>
  <si>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</si>
  <si>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</si>
  <si>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</si>
  <si>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</si>
  <si>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</si>
  <si>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</si>
  <si>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</si>
  <si>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</si>
  <si>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</si>
  <si>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</si>
  <si>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</si>
  <si>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</si>
  <si>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</si>
  <si>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</si>
  <si>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</si>
  <si>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</si>
  <si>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</si>
  <si>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</si>
  <si>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</si>
  <si>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</si>
  <si>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</si>
  <si>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</si>
  <si>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</si>
  <si>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</si>
  <si>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</si>
  <si>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</si>
  <si>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</si>
  <si>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</si>
  <si>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</si>
  <si>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</si>
  <si>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</si>
  <si>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</si>
  <si>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</si>
  <si>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</si>
  <si>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</si>
  <si>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</si>
  <si>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</si>
  <si>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</si>
  <si>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</si>
  <si>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</si>
  <si>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</si>
  <si>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</si>
  <si>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</si>
  <si>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</si>
  <si>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</si>
  <si>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</si>
  <si>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</si>
  <si>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</si>
  <si>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</si>
  <si>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</si>
  <si>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</si>
  <si>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</si>
  <si>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</si>
  <si>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</si>
  <si>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</si>
  <si>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</si>
  <si>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</si>
  <si>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</si>
  <si>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</si>
  <si>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</si>
  <si>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</si>
  <si>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</si>
  <si>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</si>
  <si>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</si>
  <si>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</si>
  <si>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</si>
  <si>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</si>
  <si>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</si>
  <si>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</si>
  <si>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</si>
  <si>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</si>
  <si>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</si>
  <si>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</si>
  <si>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</si>
  <si>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</si>
  <si>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</si>
  <si>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</si>
  <si>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</si>
  <si>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</si>
  <si>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</si>
  <si>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</si>
  <si>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</si>
  <si>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</si>
  <si>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</si>
  <si>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</si>
  <si>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</si>
  <si>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</si>
  <si>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</si>
  <si>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</si>
  <si>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</si>
  <si>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</si>
  <si>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</si>
  <si>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</si>
  <si>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</si>
  <si>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</si>
  <si>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</si>
  <si>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</si>
  <si>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</si>
  <si>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</si>
  <si>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</si>
  <si>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</si>
  <si>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</si>
  <si>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</si>
  <si>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</si>
  <si>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</si>
  <si>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</si>
  <si>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</si>
  <si>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</si>
  <si>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</si>
  <si>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</si>
  <si>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</si>
  <si>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</si>
  <si>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</si>
  <si>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</si>
  <si>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</si>
  <si>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</si>
  <si>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</si>
  <si>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</si>
  <si>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</si>
  <si>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</si>
  <si>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</si>
  <si>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</si>
  <si>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</si>
  <si>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</si>
  <si>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</si>
  <si>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</si>
  <si>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</si>
  <si>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</si>
  <si>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</si>
  <si>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</si>
  <si>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</si>
  <si>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</si>
  <si>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</si>
  <si>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</si>
  <si>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</si>
  <si>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</si>
  <si>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</si>
  <si>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</si>
  <si>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</si>
  <si>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</si>
  <si>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</si>
  <si>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</si>
  <si>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</si>
  <si>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</si>
  <si>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</si>
  <si>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</si>
  <si>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</si>
  <si>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</si>
  <si>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</si>
  <si>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</si>
  <si>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</si>
  <si>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</si>
  <si>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</si>
  <si>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</si>
  <si>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</si>
  <si>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</si>
  <si>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</si>
  <si>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</si>
  <si>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</si>
  <si>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</si>
  <si>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</si>
  <si>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</si>
  <si>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</si>
  <si>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</si>
  <si>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</si>
  <si>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</si>
  <si>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</si>
  <si>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</si>
  <si>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</si>
  <si>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</si>
  <si>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</si>
  <si>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</si>
  <si>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</si>
  <si>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</si>
  <si>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</si>
  <si>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</si>
  <si>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</si>
  <si>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</si>
  <si>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</si>
  <si>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</si>
  <si>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</si>
  <si>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</si>
  <si>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</si>
  <si>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</si>
  <si>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</si>
  <si>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</si>
  <si>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</si>
  <si>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</si>
  <si>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</si>
  <si>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</si>
  <si>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</si>
  <si>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</si>
  <si>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</si>
  <si>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</si>
  <si>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</si>
  <si>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</si>
  <si>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</si>
  <si>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</si>
  <si>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</si>
  <si>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</si>
  <si>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</si>
  <si>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</si>
  <si>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</si>
  <si>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</si>
  <si>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</si>
  <si>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</si>
  <si>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</si>
  <si>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</si>
  <si>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</si>
  <si>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</si>
  <si>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</si>
  <si>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</si>
  <si>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</si>
  <si>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</si>
  <si>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</si>
  <si>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</si>
  <si>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</si>
  <si>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</si>
  <si>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</si>
  <si>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</si>
  <si>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</si>
  <si>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</si>
  <si>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</si>
  <si>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</si>
  <si>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</si>
  <si>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</si>
  <si>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</si>
  <si>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</si>
  <si>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</si>
  <si>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</si>
  <si>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</si>
  <si>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</si>
  <si>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</si>
  <si>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</si>
  <si>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</si>
  <si>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</si>
  <si>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</si>
  <si>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</si>
  <si>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</si>
  <si>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</si>
  <si>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</si>
  <si>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</si>
  <si>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</si>
  <si>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</si>
  <si>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</si>
  <si>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</si>
  <si>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</si>
  <si>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</si>
  <si>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</si>
  <si>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</si>
  <si>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</si>
  <si>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</si>
  <si>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</si>
  <si>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</si>
  <si>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</si>
  <si>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</si>
  <si>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</si>
  <si>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</si>
  <si>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</si>
  <si>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</si>
  <si>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</si>
  <si>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</si>
  <si>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</si>
  <si>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</si>
  <si>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</si>
  <si>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</si>
  <si>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</si>
  <si>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</si>
  <si>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</si>
  <si>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</si>
  <si>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</si>
  <si>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</si>
  <si>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</si>
  <si>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</si>
  <si>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</si>
  <si>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</si>
  <si>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</si>
  <si>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</si>
  <si>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</si>
  <si>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</si>
  <si>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</si>
  <si>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</si>
  <si>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</si>
  <si>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</si>
  <si>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</si>
  <si>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</si>
  <si>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</si>
  <si>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</si>
  <si>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</si>
  <si>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</si>
  <si>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</si>
  <si>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</si>
  <si>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</si>
  <si>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</si>
  <si>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</si>
  <si>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</si>
  <si>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</si>
  <si>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</si>
  <si>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</si>
  <si>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</si>
  <si>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</si>
  <si>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</si>
  <si>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</si>
  <si>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</si>
  <si>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</si>
  <si>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</si>
  <si>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</si>
  <si>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</si>
  <si>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</si>
  <si>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</si>
  <si>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</si>
  <si>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</si>
  <si>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</si>
  <si>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</si>
  <si>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</si>
  <si>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</si>
  <si>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</si>
  <si>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</si>
  <si>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</si>
  <si>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</si>
  <si>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</si>
  <si>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</si>
  <si>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</si>
  <si>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</si>
  <si>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</si>
  <si>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</si>
  <si>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</si>
  <si>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</si>
  <si>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</si>
  <si>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</si>
  <si>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</si>
  <si>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</si>
  <si>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</si>
  <si>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</si>
  <si>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</si>
  <si>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</si>
  <si>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</si>
  <si>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</si>
  <si>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</si>
  <si>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</si>
  <si>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</si>
  <si>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</si>
  <si>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</si>
  <si>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</si>
  <si>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</si>
  <si>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</si>
  <si>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</si>
  <si>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</si>
  <si>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</si>
  <si>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</si>
  <si>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</si>
  <si>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</si>
  <si>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</si>
  <si>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</si>
  <si>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</si>
  <si>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</si>
  <si>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</si>
  <si>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</si>
  <si>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</si>
  <si>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</si>
  <si>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</si>
  <si>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</si>
  <si>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</si>
  <si>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</si>
  <si>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</si>
  <si>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</si>
  <si>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</si>
  <si>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</si>
  <si>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</si>
  <si>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</si>
  <si>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</si>
  <si>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</si>
  <si>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</si>
  <si>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</si>
  <si>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</si>
  <si>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</si>
  <si>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</si>
  <si>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</si>
  <si>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</si>
  <si>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</si>
  <si>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</si>
  <si>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</si>
  <si>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</si>
  <si>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</si>
  <si>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</si>
  <si>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</si>
  <si>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</si>
  <si>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</si>
  <si>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</si>
  <si>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</si>
  <si>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</si>
  <si>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</si>
  <si>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</si>
  <si>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</si>
  <si>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</si>
  <si>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</si>
  <si>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</si>
  <si>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</si>
  <si>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</si>
  <si>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</si>
  <si>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</si>
  <si>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</si>
  <si>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</si>
  <si>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</si>
  <si>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</si>
  <si>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</si>
  <si>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</si>
  <si>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</si>
  <si>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</si>
  <si>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</si>
  <si>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</si>
  <si>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</si>
  <si>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</si>
  <si>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</si>
  <si>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</si>
  <si>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</si>
  <si>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</si>
  <si>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</si>
  <si>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</si>
  <si>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</si>
  <si>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</si>
  <si>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</si>
  <si>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</si>
  <si>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</si>
  <si>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</si>
  <si>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</si>
  <si>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</si>
  <si>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</si>
  <si>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</si>
  <si>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</si>
  <si>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</si>
  <si>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</si>
  <si>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</si>
  <si>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</si>
  <si>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</si>
  <si>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</si>
  <si>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</si>
  <si>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</si>
  <si>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</si>
  <si>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</si>
  <si>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</si>
  <si>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</si>
  <si>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</si>
  <si>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</si>
  <si>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</si>
  <si>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</si>
  <si>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</si>
  <si>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</si>
  <si>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</si>
  <si>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</si>
  <si>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</si>
  <si>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</si>
  <si>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</si>
  <si>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</si>
  <si>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</si>
  <si>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</si>
  <si>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</si>
  <si>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</si>
  <si>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</si>
  <si>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</si>
  <si>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</si>
  <si>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抵押</t>
  </si>
  <si>
    <t>房地产抵押价值</t>
  </si>
  <si>
    <t>北京市</t>
  </si>
  <si>
    <t>企业</t>
  </si>
  <si>
    <t>商品住宅</t>
  </si>
  <si>
    <t>商品住宅</t>
    <phoneticPr fontId="4" type="noConversion"/>
  </si>
  <si>
    <t>安置住宅</t>
  </si>
  <si>
    <t>安置住宅</t>
    <phoneticPr fontId="4" type="noConversion"/>
  </si>
  <si>
    <t>商业</t>
    <phoneticPr fontId="4" type="noConversion"/>
  </si>
  <si>
    <t>地下车库</t>
  </si>
  <si>
    <t>地下车库</t>
    <phoneticPr fontId="4" type="noConversion"/>
  </si>
  <si>
    <t>是</t>
  </si>
  <si>
    <t>地上</t>
  </si>
  <si>
    <t>地下</t>
  </si>
  <si>
    <r>
      <t>0</t>
    </r>
    <r>
      <rPr>
        <sz val="11"/>
        <color theme="1"/>
        <rFont val="宋体"/>
        <family val="3"/>
        <charset val="134"/>
        <scheme val="minor"/>
      </rPr>
      <t>03地块</t>
    </r>
    <phoneticPr fontId="135" type="noConversion"/>
  </si>
  <si>
    <t>商品住宅</t>
    <phoneticPr fontId="135" type="noConversion"/>
  </si>
  <si>
    <t>安置住宅</t>
    <phoneticPr fontId="135" type="noConversion"/>
  </si>
  <si>
    <t>总计</t>
    <phoneticPr fontId="135" type="noConversion"/>
  </si>
  <si>
    <t>地上商业</t>
    <phoneticPr fontId="135" type="noConversion"/>
  </si>
  <si>
    <t>地下车库</t>
    <phoneticPr fontId="135" type="noConversion"/>
  </si>
  <si>
    <t>地上公建</t>
    <phoneticPr fontId="135" type="noConversion"/>
  </si>
  <si>
    <r>
      <t>0</t>
    </r>
    <r>
      <rPr>
        <sz val="11"/>
        <color theme="1"/>
        <rFont val="宋体"/>
        <family val="3"/>
        <charset val="134"/>
        <scheme val="minor"/>
      </rPr>
      <t>05地块</t>
    </r>
    <phoneticPr fontId="135" type="noConversion"/>
  </si>
  <si>
    <t>车位个数</t>
    <phoneticPr fontId="135" type="noConversion"/>
  </si>
  <si>
    <t>平均面积</t>
    <phoneticPr fontId="135" type="noConversion"/>
  </si>
  <si>
    <t>容积率</t>
    <phoneticPr fontId="135" type="noConversion"/>
  </si>
  <si>
    <t>工程进度</t>
  </si>
  <si>
    <t>不含税</t>
  </si>
  <si>
    <t>土地（套用方法）</t>
  </si>
  <si>
    <t>按不含税租金收入（有效毛租金收入）计税</t>
  </si>
  <si>
    <t>押一</t>
  </si>
  <si>
    <t>钢混</t>
  </si>
  <si>
    <t>非生产用房</t>
  </si>
  <si>
    <t>收益法-商业</t>
  </si>
  <si>
    <t>收益法-车库</t>
  </si>
  <si>
    <t>收益法-车库</t>
    <phoneticPr fontId="17" type="noConversion"/>
  </si>
  <si>
    <t>正常</t>
  </si>
  <si>
    <t>住宅</t>
    <phoneticPr fontId="31" type="noConversion"/>
  </si>
  <si>
    <t>安置房</t>
    <phoneticPr fontId="31" type="noConversion"/>
  </si>
  <si>
    <t>无</t>
    <phoneticPr fontId="31" type="noConversion"/>
  </si>
  <si>
    <t>其他类型—销项税率</t>
  </si>
  <si>
    <t>项目模式</t>
  </si>
  <si>
    <t>售价</t>
  </si>
  <si>
    <t>土地比较法-住宅、综合</t>
  </si>
  <si>
    <t>假设开发法</t>
  </si>
  <si>
    <t>贵阳经济技术开发区黔江路</t>
    <phoneticPr fontId="31" type="noConversion"/>
  </si>
  <si>
    <t>地块名称</t>
    <phoneticPr fontId="135" type="noConversion"/>
  </si>
  <si>
    <t>城市</t>
    <phoneticPr fontId="135" type="noConversion"/>
  </si>
  <si>
    <t>地块编号</t>
    <phoneticPr fontId="135" type="noConversion"/>
  </si>
  <si>
    <t>用地性质</t>
    <phoneticPr fontId="135" type="noConversion"/>
  </si>
  <si>
    <t>建设用地面积</t>
    <phoneticPr fontId="135" type="noConversion"/>
  </si>
  <si>
    <t>规划建筑面积</t>
    <phoneticPr fontId="135" type="noConversion"/>
  </si>
  <si>
    <t>出让方式</t>
    <phoneticPr fontId="135" type="noConversion"/>
  </si>
  <si>
    <t>详细规划</t>
    <phoneticPr fontId="135" type="noConversion"/>
  </si>
  <si>
    <t>集中用地</t>
    <phoneticPr fontId="135" type="noConversion"/>
  </si>
  <si>
    <t>成交时间</t>
    <phoneticPr fontId="135" type="noConversion"/>
  </si>
  <si>
    <t>交易状态</t>
    <phoneticPr fontId="135" type="noConversion"/>
  </si>
  <si>
    <t>受让单位</t>
    <phoneticPr fontId="135" type="noConversion"/>
  </si>
  <si>
    <t>成交总价</t>
    <phoneticPr fontId="135" type="noConversion"/>
  </si>
  <si>
    <t>成交楼面价</t>
    <phoneticPr fontId="135" type="noConversion"/>
  </si>
  <si>
    <t>溢价率</t>
    <phoneticPr fontId="135" type="noConversion"/>
  </si>
  <si>
    <t>小孟街道付官村,花冠路南段北侧,花冠路中段西侧</t>
  </si>
  <si>
    <t>贵阳市</t>
  </si>
  <si>
    <t>住宅用地</t>
  </si>
  <si>
    <t>1.000&lt;并且≤3.620</t>
  </si>
  <si>
    <t>挂牌</t>
  </si>
  <si>
    <t>普通商品住房用地(一类)</t>
  </si>
  <si>
    <t>已成交</t>
  </si>
  <si>
    <t>贵阳经欣置业有限公司</t>
  </si>
  <si>
    <t>贵筑街道办事处洛平居委会</t>
  </si>
  <si>
    <t>1.000&lt;并且≤2.300</t>
  </si>
  <si>
    <t>贵州运诚房地产开发有限责任公司</t>
  </si>
  <si>
    <t>地块位于南明区兰草坝,东至贵昆铁路,西至甲秀南路,北至规划支路,南至电建一公司仓库</t>
  </si>
  <si>
    <t>1.000&lt;并且≤3.000</t>
  </si>
  <si>
    <t>普通商品住房用地(二类)</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</si>
  <si>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</si>
  <si>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</si>
  <si>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</si>
  <si>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</si>
  <si>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</si>
  <si>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</si>
  <si>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</si>
  <si>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</si>
  <si>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</si>
  <si>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</si>
  <si>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</si>
  <si>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</si>
  <si>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小孟街道付官村</t>
  </si>
  <si>
    <t>1.000&lt;并且≤3.700</t>
  </si>
  <si>
    <t>贵阳经晟房地产开发有限公司</t>
  </si>
  <si>
    <t>地块位于小孟街道红艳村、王宽村,航空南路西侧</t>
  </si>
  <si>
    <t>贵阳经越置业有限公司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</si>
  <si>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</si>
  <si>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</si>
  <si>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</si>
  <si>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</si>
  <si>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</si>
  <si>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</si>
  <si>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小孟街道付官村,贵惠大道西侧,花冠路南段南侧</t>
  </si>
  <si>
    <t>1.000&lt;并且≤3.500</t>
  </si>
  <si>
    <t>贵阳经望房地产开发有限公司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</si>
  <si>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</si>
  <si>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</si>
  <si>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</si>
  <si>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</si>
  <si>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花溪区贵筑街道办事处尖山村,东至山体公园,南至山体公园,西至花燕路、北至甲秀南路。</t>
  </si>
  <si>
    <t>贵阳创新文旅开发有限公司</t>
  </si>
  <si>
    <t>花溪区贵筑街道办事处尖山村</t>
  </si>
  <si>
    <t>贵阳花溪富远置业有限公司</t>
  </si>
  <si>
    <t>花溪区贵筑街道办事处尖山村、洛平居委会,西至花燕路。</t>
  </si>
  <si>
    <t>1.000&lt;并且≤1.300</t>
  </si>
  <si>
    <t>贵阳花溪永盛置业公司</t>
  </si>
  <si>
    <t>经开区珠显村,北临沪昆铁路,西靠中兴世家,东抵大兴星城,南接中兴世家东区</t>
  </si>
  <si>
    <t>贵阳经诚城市建设有限公司</t>
  </si>
  <si>
    <t>贵安新区湖潮乡</t>
  </si>
  <si>
    <t>1.000&lt;并且≤1.500</t>
  </si>
  <si>
    <t>贵安新区捷辉开发建设有限公司</t>
  </si>
  <si>
    <t>1.000&lt;并且≤2.000</t>
  </si>
  <si>
    <t>贵安新区数创启兴城市开发建设有限公司</t>
  </si>
  <si>
    <t>贵安新区智启宸建设开发有限公司</t>
  </si>
  <si>
    <t>贵安新区数创启信城市开发建设有限公司</t>
  </si>
  <si>
    <t>南明区遵义路街道办事处,地处老城核心区,</t>
  </si>
  <si>
    <t>1.000&lt;并且≤4.010</t>
  </si>
  <si>
    <t>贵阳洋浦房地产有限公司</t>
  </si>
  <si>
    <t>地块南临贵阳枢纽铁路线,东侧以沙冲路为界,西临凤凰山。</t>
    <phoneticPr fontId="135" type="noConversion"/>
  </si>
  <si>
    <r>
      <rPr>
        <sz val="11"/>
        <color theme="9" tint="-0.249977111117893"/>
        <rFont val="宋体"/>
        <family val="3"/>
        <charset val="134"/>
      </rPr>
      <t>地块南临贵阳枢纽铁路线</t>
    </r>
    <r>
      <rPr>
        <sz val="11"/>
        <color theme="9" tint="-0.249977111117893"/>
        <rFont val="Arial"/>
        <family val="2"/>
      </rPr>
      <t>,</t>
    </r>
    <r>
      <rPr>
        <sz val="11"/>
        <color theme="9" tint="-0.249977111117893"/>
        <rFont val="宋体"/>
        <family val="3"/>
        <charset val="134"/>
      </rPr>
      <t>东侧以沙冲路为界</t>
    </r>
    <r>
      <rPr>
        <sz val="11"/>
        <color theme="9" tint="-0.249977111117893"/>
        <rFont val="Arial"/>
        <family val="2"/>
      </rPr>
      <t>,</t>
    </r>
    <r>
      <rPr>
        <sz val="11"/>
        <color theme="9" tint="-0.249977111117893"/>
        <rFont val="宋体"/>
        <family val="3"/>
        <charset val="134"/>
      </rPr>
      <t>西临凤凰山。</t>
    </r>
    <phoneticPr fontId="31" type="noConversion"/>
  </si>
  <si>
    <r>
      <rPr>
        <sz val="11"/>
        <color theme="9" tint="-0.249977111117893"/>
        <rFont val="宋体"/>
        <family val="3"/>
        <charset val="134"/>
      </rPr>
      <t>地块西临凤凰山</t>
    </r>
    <r>
      <rPr>
        <sz val="11"/>
        <color theme="9" tint="-0.249977111117893"/>
        <rFont val="Arial"/>
        <family val="2"/>
      </rPr>
      <t>,</t>
    </r>
    <r>
      <rPr>
        <sz val="11"/>
        <color theme="9" tint="-0.249977111117893"/>
        <rFont val="宋体"/>
        <family val="3"/>
        <charset val="134"/>
      </rPr>
      <t>南以南明河为界</t>
    </r>
    <r>
      <rPr>
        <sz val="11"/>
        <color theme="9" tint="-0.249977111117893"/>
        <rFont val="Arial"/>
        <family val="2"/>
      </rPr>
      <t>,</t>
    </r>
    <r>
      <rPr>
        <sz val="11"/>
        <color theme="9" tint="-0.249977111117893"/>
        <rFont val="宋体"/>
        <family val="3"/>
        <charset val="134"/>
      </rPr>
      <t>东侧以沙冲路为界</t>
    </r>
    <phoneticPr fontId="31" type="noConversion"/>
  </si>
  <si>
    <r>
      <rPr>
        <sz val="11"/>
        <color theme="9" tint="-0.249977111117893"/>
        <rFont val="宋体"/>
        <family val="3"/>
        <charset val="134"/>
      </rPr>
      <t>经开区珠显村</t>
    </r>
    <r>
      <rPr>
        <sz val="11"/>
        <color theme="9" tint="-0.249977111117893"/>
        <rFont val="Arial"/>
        <family val="2"/>
      </rPr>
      <t>,</t>
    </r>
    <r>
      <rPr>
        <sz val="11"/>
        <color theme="9" tint="-0.249977111117893"/>
        <rFont val="宋体"/>
        <family val="3"/>
        <charset val="134"/>
      </rPr>
      <t>北临沪昆铁路</t>
    </r>
    <r>
      <rPr>
        <sz val="11"/>
        <color theme="9" tint="-0.249977111117893"/>
        <rFont val="Arial"/>
        <family val="2"/>
      </rPr>
      <t>,</t>
    </r>
    <r>
      <rPr>
        <sz val="11"/>
        <color theme="9" tint="-0.249977111117893"/>
        <rFont val="宋体"/>
        <family val="3"/>
        <charset val="134"/>
      </rPr>
      <t>西靠中兴世家</t>
    </r>
    <r>
      <rPr>
        <sz val="11"/>
        <color theme="9" tint="-0.249977111117893"/>
        <rFont val="Arial"/>
        <family val="2"/>
      </rPr>
      <t>,</t>
    </r>
    <r>
      <rPr>
        <sz val="11"/>
        <color theme="9" tint="-0.249977111117893"/>
        <rFont val="宋体"/>
        <family val="3"/>
        <charset val="134"/>
      </rPr>
      <t>东抵大兴星城</t>
    </r>
    <r>
      <rPr>
        <sz val="11"/>
        <color theme="9" tint="-0.249977111117893"/>
        <rFont val="Arial"/>
        <family val="2"/>
      </rPr>
      <t>,</t>
    </r>
    <r>
      <rPr>
        <sz val="11"/>
        <color theme="9" tint="-0.249977111117893"/>
        <rFont val="宋体"/>
        <family val="3"/>
        <charset val="134"/>
      </rPr>
      <t>南接中兴世家东区</t>
    </r>
    <phoneticPr fontId="31" type="noConversion"/>
  </si>
  <si>
    <t>住宅</t>
    <phoneticPr fontId="25" type="noConversion"/>
  </si>
  <si>
    <t>毛坯</t>
  </si>
  <si>
    <t>毛坯</t>
    <phoneticPr fontId="25" type="noConversion"/>
  </si>
  <si>
    <t>精装修</t>
  </si>
  <si>
    <t>精装修</t>
    <phoneticPr fontId="25" type="noConversion"/>
  </si>
  <si>
    <t>含税</t>
  </si>
  <si>
    <t>普通装修</t>
    <phoneticPr fontId="25" type="noConversion"/>
  </si>
  <si>
    <t>简单装修</t>
    <phoneticPr fontId="25" type="noConversion"/>
  </si>
  <si>
    <t>未包含在土地购买价格中</t>
  </si>
  <si>
    <t>全部缴纳</t>
  </si>
  <si>
    <t>已包含在土地取得成本中</t>
  </si>
  <si>
    <t>黄埔国际</t>
    <phoneticPr fontId="4" type="noConversion"/>
  </si>
  <si>
    <t>金地·云麓一号</t>
    <phoneticPr fontId="4" type="noConversion"/>
  </si>
  <si>
    <t>安置房已支付价款</t>
    <phoneticPr fontId="135" type="noConversion"/>
  </si>
  <si>
    <t>单价</t>
    <phoneticPr fontId="135" type="noConversion"/>
  </si>
  <si>
    <t>中泰天镜</t>
    <phoneticPr fontId="4" type="noConversion"/>
  </si>
  <si>
    <t>商业</t>
    <phoneticPr fontId="135" type="noConversion"/>
  </si>
  <si>
    <t>公共配套</t>
    <phoneticPr fontId="135" type="noConversion"/>
  </si>
  <si>
    <t>地下车位</t>
    <phoneticPr fontId="135" type="noConversion"/>
  </si>
  <si>
    <t>003地块</t>
    <phoneticPr fontId="135" type="noConversion"/>
  </si>
  <si>
    <t>005地块</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</si>
</sst>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cellStyleXfs>
  <cellXfs count="4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129" fillId="2" borderId="51" xfId="0" applyFont="1" applyFill="1" applyBorder="1" applyAlignment="1" applyProtection="1">
      <alignment horizontal="left" vertical="center" wrapText="1"/>
      <protection locked="0"/>
    </xf>
    <xf numFmtId="0" fontId="129" fillId="0" borderId="41" xfId="0" applyFont="1" applyBorder="1" applyAlignment="1" applyProtection="1">
      <alignment horizontal="left" vertical="center" wrapText="1"/>
      <protection locked="0"/>
    </xf>
    <xf numFmtId="49" fontId="129" fillId="0" borderId="41" xfId="0" applyNumberFormat="1" applyFont="1" applyBorder="1" applyAlignment="1" applyProtection="1">
      <alignment horizontal="left" vertical="center" wrapText="1"/>
      <protection locked="0"/>
    </xf>
    <xf numFmtId="0" fontId="129" fillId="0" borderId="44" xfId="0" applyFont="1" applyBorder="1" applyAlignment="1" applyProtection="1">
      <alignment horizontal="center" vertical="center" wrapText="1"/>
      <protection locked="0"/>
    </xf>
    <xf numFmtId="0" fontId="1" fillId="0" borderId="0" xfId="19"/>
    <xf numFmtId="185" fontId="1" fillId="0" borderId="0" xfId="19" applyNumberFormat="1"/>
    <xf numFmtId="14" fontId="1" fillId="0" borderId="0" xfId="19" applyNumberFormat="1"/>
    <xf numFmtId="0" fontId="1" fillId="5" borderId="0" xfId="19" applyFill="1"/>
    <xf numFmtId="185" fontId="1" fillId="5" borderId="0" xfId="19" applyNumberFormat="1" applyFill="1"/>
    <xf numFmtId="14" fontId="1" fillId="5" borderId="0" xfId="19" applyNumberFormat="1" applyFill="1"/>
    <xf numFmtId="0" fontId="129" fillId="0" borderId="51" xfId="0" applyFont="1" applyBorder="1" applyAlignment="1" applyProtection="1">
      <alignment horizontal="left" vertical="center" wrapText="1"/>
      <protection locked="0"/>
    </xf>
    <xf numFmtId="49" fontId="95" fillId="2" borderId="3" xfId="0" applyNumberFormat="1" applyFont="1" applyFill="1" applyBorder="1" applyAlignment="1" applyProtection="1">
      <alignment horizontal="left" vertical="center" wrapText="1"/>
      <protection locked="0"/>
    </xf>
    <xf numFmtId="49" fontId="95" fillId="2" borderId="23" xfId="0" applyNumberFormat="1" applyFont="1" applyFill="1" applyBorder="1" applyAlignment="1" applyProtection="1">
      <alignment horizontal="left" vertical="center" wrapText="1"/>
      <protection locked="0"/>
    </xf>
    <xf numFmtId="0" fontId="95" fillId="0" borderId="44" xfId="0" applyFont="1" applyBorder="1" applyAlignment="1" applyProtection="1">
      <alignment horizontal="center" vertical="center" wrapText="1"/>
      <protection locked="0"/>
    </xf>
    <xf numFmtId="9" fontId="0" fillId="0" borderId="0" xfId="0" applyNumberFormat="1">
      <alignment vertical="center"/>
    </xf>
    <xf numFmtId="0" fontId="0" fillId="5" borderId="0" xfId="0" applyFill="1">
      <alignmen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0" fontId="100" fillId="6" borderId="1"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294"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94"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166" fillId="0" borderId="3"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2" xfId="0" applyFont="1" applyFill="1" applyBorder="1" applyAlignment="1">
      <alignment horizontal="center" vertical="center" textRotation="255" wrapText="1"/>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2" xfId="0" applyFont="1" applyFill="1" applyBorder="1" applyAlignment="1">
      <alignment horizontal="left"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900AE419-75BE-481A-85D7-3861880E3AD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352425</xdr:colOff>
      <xdr:row>41</xdr:row>
      <xdr:rowOff>74379</xdr:rowOff>
    </xdr:to>
    <xdr:pic>
      <xdr:nvPicPr>
        <xdr:cNvPr id="2" name="图片 1">
          <a:extLst>
            <a:ext uri="{FF2B5EF4-FFF2-40B4-BE49-F238E27FC236}">
              <a16:creationId xmlns:a16="http://schemas.microsoft.com/office/drawing/2014/main" id="{DC90C7A4-6CA4-BAC4-E8C0-623E0B813815}"/>
            </a:ext>
          </a:extLst>
        </xdr:cNvPr>
        <xdr:cNvPicPr>
          <a:picLocks noChangeAspect="1"/>
        </xdr:cNvPicPr>
      </xdr:nvPicPr>
      <xdr:blipFill>
        <a:blip xmlns:r="http://schemas.openxmlformats.org/officeDocument/2006/relationships" r:embed="rId1"/>
        <a:stretch>
          <a:fillRect/>
        </a:stretch>
      </xdr:blipFill>
      <xdr:spPr>
        <a:xfrm>
          <a:off x="0" y="0"/>
          <a:ext cx="7210425" cy="7103829"/>
        </a:xfrm>
        <a:prstGeom prst="rect">
          <a:avLst/>
        </a:prstGeom>
      </xdr:spPr>
    </xdr:pic>
    <xdr:clientData/>
  </xdr:twoCellAnchor>
  <xdr:twoCellAnchor editAs="oneCell">
    <xdr:from>
      <xdr:col>20</xdr:col>
      <xdr:colOff>400050</xdr:colOff>
      <xdr:row>0</xdr:row>
      <xdr:rowOff>0</xdr:rowOff>
    </xdr:from>
    <xdr:to>
      <xdr:col>31</xdr:col>
      <xdr:colOff>503869</xdr:colOff>
      <xdr:row>18</xdr:row>
      <xdr:rowOff>47233</xdr:rowOff>
    </xdr:to>
    <xdr:pic>
      <xdr:nvPicPr>
        <xdr:cNvPr id="3" name="图片 2">
          <a:extLst>
            <a:ext uri="{FF2B5EF4-FFF2-40B4-BE49-F238E27FC236}">
              <a16:creationId xmlns:a16="http://schemas.microsoft.com/office/drawing/2014/main" id="{F11991F6-360B-D5C2-C7E8-5D2CD9B05B48}"/>
            </a:ext>
          </a:extLst>
        </xdr:cNvPr>
        <xdr:cNvPicPr>
          <a:picLocks noChangeAspect="1"/>
        </xdr:cNvPicPr>
      </xdr:nvPicPr>
      <xdr:blipFill>
        <a:blip xmlns:r="http://schemas.openxmlformats.org/officeDocument/2006/relationships" r:embed="rId2"/>
        <a:stretch>
          <a:fillRect/>
        </a:stretch>
      </xdr:blipFill>
      <xdr:spPr>
        <a:xfrm>
          <a:off x="14744700" y="0"/>
          <a:ext cx="7647619" cy="3133333"/>
        </a:xfrm>
        <a:prstGeom prst="rect">
          <a:avLst/>
        </a:prstGeom>
      </xdr:spPr>
    </xdr:pic>
    <xdr:clientData/>
  </xdr:twoCellAnchor>
  <xdr:twoCellAnchor editAs="oneCell">
    <xdr:from>
      <xdr:col>20</xdr:col>
      <xdr:colOff>533400</xdr:colOff>
      <xdr:row>18</xdr:row>
      <xdr:rowOff>142875</xdr:rowOff>
    </xdr:from>
    <xdr:to>
      <xdr:col>35</xdr:col>
      <xdr:colOff>236876</xdr:colOff>
      <xdr:row>40</xdr:row>
      <xdr:rowOff>66213</xdr:rowOff>
    </xdr:to>
    <xdr:pic>
      <xdr:nvPicPr>
        <xdr:cNvPr id="4" name="图片 3">
          <a:extLst>
            <a:ext uri="{FF2B5EF4-FFF2-40B4-BE49-F238E27FC236}">
              <a16:creationId xmlns:a16="http://schemas.microsoft.com/office/drawing/2014/main" id="{53A081FA-DDF2-AECA-593B-80C25C57E330}"/>
            </a:ext>
          </a:extLst>
        </xdr:cNvPr>
        <xdr:cNvPicPr>
          <a:picLocks noChangeAspect="1"/>
        </xdr:cNvPicPr>
      </xdr:nvPicPr>
      <xdr:blipFill>
        <a:blip xmlns:r="http://schemas.openxmlformats.org/officeDocument/2006/relationships" r:embed="rId3"/>
        <a:stretch>
          <a:fillRect/>
        </a:stretch>
      </xdr:blipFill>
      <xdr:spPr>
        <a:xfrm>
          <a:off x="14878050" y="3228975"/>
          <a:ext cx="9990476" cy="3695238"/>
        </a:xfrm>
        <a:prstGeom prst="rect">
          <a:avLst/>
        </a:prstGeom>
      </xdr:spPr>
    </xdr:pic>
    <xdr:clientData/>
  </xdr:twoCellAnchor>
  <xdr:twoCellAnchor editAs="oneCell">
    <xdr:from>
      <xdr:col>0</xdr:col>
      <xdr:colOff>0</xdr:colOff>
      <xdr:row>42</xdr:row>
      <xdr:rowOff>57150</xdr:rowOff>
    </xdr:from>
    <xdr:to>
      <xdr:col>16</xdr:col>
      <xdr:colOff>646169</xdr:colOff>
      <xdr:row>63</xdr:row>
      <xdr:rowOff>94795</xdr:rowOff>
    </xdr:to>
    <xdr:pic>
      <xdr:nvPicPr>
        <xdr:cNvPr id="6" name="图片 5">
          <a:extLst>
            <a:ext uri="{FF2B5EF4-FFF2-40B4-BE49-F238E27FC236}">
              <a16:creationId xmlns:a16="http://schemas.microsoft.com/office/drawing/2014/main" id="{59613983-9C0A-8068-210E-55B85B01BD4D}"/>
            </a:ext>
          </a:extLst>
        </xdr:cNvPr>
        <xdr:cNvPicPr>
          <a:picLocks noChangeAspect="1"/>
        </xdr:cNvPicPr>
      </xdr:nvPicPr>
      <xdr:blipFill>
        <a:blip xmlns:r="http://schemas.openxmlformats.org/officeDocument/2006/relationships" r:embed="rId4"/>
        <a:stretch>
          <a:fillRect/>
        </a:stretch>
      </xdr:blipFill>
      <xdr:spPr>
        <a:xfrm>
          <a:off x="0" y="7258050"/>
          <a:ext cx="12247619" cy="3638095"/>
        </a:xfrm>
        <a:prstGeom prst="rect">
          <a:avLst/>
        </a:prstGeom>
      </xdr:spPr>
    </xdr:pic>
    <xdr:clientData/>
  </xdr:twoCellAnchor>
  <xdr:twoCellAnchor editAs="oneCell">
    <xdr:from>
      <xdr:col>0</xdr:col>
      <xdr:colOff>0</xdr:colOff>
      <xdr:row>63</xdr:row>
      <xdr:rowOff>104775</xdr:rowOff>
    </xdr:from>
    <xdr:to>
      <xdr:col>13</xdr:col>
      <xdr:colOff>36902</xdr:colOff>
      <xdr:row>75</xdr:row>
      <xdr:rowOff>18804</xdr:rowOff>
    </xdr:to>
    <xdr:pic>
      <xdr:nvPicPr>
        <xdr:cNvPr id="7" name="图片 6">
          <a:extLst>
            <a:ext uri="{FF2B5EF4-FFF2-40B4-BE49-F238E27FC236}">
              <a16:creationId xmlns:a16="http://schemas.microsoft.com/office/drawing/2014/main" id="{41C3AC57-A8AA-24D8-1A49-E6CD4BAE899A}"/>
            </a:ext>
          </a:extLst>
        </xdr:cNvPr>
        <xdr:cNvPicPr>
          <a:picLocks noChangeAspect="1"/>
        </xdr:cNvPicPr>
      </xdr:nvPicPr>
      <xdr:blipFill>
        <a:blip xmlns:r="http://schemas.openxmlformats.org/officeDocument/2006/relationships" r:embed="rId5"/>
        <a:stretch>
          <a:fillRect/>
        </a:stretch>
      </xdr:blipFill>
      <xdr:spPr>
        <a:xfrm>
          <a:off x="0" y="10906125"/>
          <a:ext cx="9580952" cy="1971429"/>
        </a:xfrm>
        <a:prstGeom prst="rect">
          <a:avLst/>
        </a:prstGeom>
      </xdr:spPr>
    </xdr:pic>
    <xdr:clientData/>
  </xdr:twoCellAnchor>
  <xdr:twoCellAnchor editAs="oneCell">
    <xdr:from>
      <xdr:col>0</xdr:col>
      <xdr:colOff>0</xdr:colOff>
      <xdr:row>75</xdr:row>
      <xdr:rowOff>47625</xdr:rowOff>
    </xdr:from>
    <xdr:to>
      <xdr:col>13</xdr:col>
      <xdr:colOff>17855</xdr:colOff>
      <xdr:row>85</xdr:row>
      <xdr:rowOff>75982</xdr:rowOff>
    </xdr:to>
    <xdr:pic>
      <xdr:nvPicPr>
        <xdr:cNvPr id="8" name="图片 7">
          <a:extLst>
            <a:ext uri="{FF2B5EF4-FFF2-40B4-BE49-F238E27FC236}">
              <a16:creationId xmlns:a16="http://schemas.microsoft.com/office/drawing/2014/main" id="{8CB67464-CDB5-ACCB-7F13-240507C67447}"/>
            </a:ext>
          </a:extLst>
        </xdr:cNvPr>
        <xdr:cNvPicPr>
          <a:picLocks noChangeAspect="1"/>
        </xdr:cNvPicPr>
      </xdr:nvPicPr>
      <xdr:blipFill>
        <a:blip xmlns:r="http://schemas.openxmlformats.org/officeDocument/2006/relationships" r:embed="rId6"/>
        <a:stretch>
          <a:fillRect/>
        </a:stretch>
      </xdr:blipFill>
      <xdr:spPr>
        <a:xfrm>
          <a:off x="0" y="12906375"/>
          <a:ext cx="9561905" cy="17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33</xdr:row>
      <xdr:rowOff>104055</xdr:rowOff>
    </xdr:to>
    <xdr:pic>
      <xdr:nvPicPr>
        <xdr:cNvPr id="2" name="图片 1">
          <a:extLst>
            <a:ext uri="{FF2B5EF4-FFF2-40B4-BE49-F238E27FC236}">
              <a16:creationId xmlns:a16="http://schemas.microsoft.com/office/drawing/2014/main" id="{7178F0BF-646A-88DC-BF25-9BACDB5994C2}"/>
            </a:ext>
          </a:extLst>
        </xdr:cNvPr>
        <xdr:cNvPicPr>
          <a:picLocks noChangeAspect="1"/>
        </xdr:cNvPicPr>
      </xdr:nvPicPr>
      <xdr:blipFill>
        <a:blip xmlns:r="http://schemas.openxmlformats.org/officeDocument/2006/relationships" r:embed="rId1"/>
        <a:stretch>
          <a:fillRect/>
        </a:stretch>
      </xdr:blipFill>
      <xdr:spPr>
        <a:xfrm>
          <a:off x="0" y="0"/>
          <a:ext cx="7809524"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103733</xdr:colOff>
      <xdr:row>36</xdr:row>
      <xdr:rowOff>37324</xdr:rowOff>
    </xdr:to>
    <xdr:pic>
      <xdr:nvPicPr>
        <xdr:cNvPr id="2" name="图片 1">
          <a:extLst>
            <a:ext uri="{FF2B5EF4-FFF2-40B4-BE49-F238E27FC236}">
              <a16:creationId xmlns:a16="http://schemas.microsoft.com/office/drawing/2014/main" id="{761E766F-2CDF-716C-7D53-0E0082226A8A}"/>
            </a:ext>
          </a:extLst>
        </xdr:cNvPr>
        <xdr:cNvPicPr>
          <a:picLocks noChangeAspect="1"/>
        </xdr:cNvPicPr>
      </xdr:nvPicPr>
      <xdr:blipFill>
        <a:blip xmlns:r="http://schemas.openxmlformats.org/officeDocument/2006/relationships" r:embed="rId1"/>
        <a:stretch>
          <a:fillRect/>
        </a:stretch>
      </xdr:blipFill>
      <xdr:spPr>
        <a:xfrm>
          <a:off x="0" y="0"/>
          <a:ext cx="8333333" cy="6209524"/>
        </a:xfrm>
        <a:prstGeom prst="rect">
          <a:avLst/>
        </a:prstGeom>
      </xdr:spPr>
    </xdr:pic>
    <xdr:clientData/>
  </xdr:twoCellAnchor>
  <xdr:twoCellAnchor editAs="oneCell">
    <xdr:from>
      <xdr:col>12</xdr:col>
      <xdr:colOff>209550</xdr:colOff>
      <xdr:row>0</xdr:row>
      <xdr:rowOff>0</xdr:rowOff>
    </xdr:from>
    <xdr:to>
      <xdr:col>26</xdr:col>
      <xdr:colOff>560731</xdr:colOff>
      <xdr:row>42</xdr:row>
      <xdr:rowOff>141957</xdr:rowOff>
    </xdr:to>
    <xdr:pic>
      <xdr:nvPicPr>
        <xdr:cNvPr id="3" name="图片 2">
          <a:extLst>
            <a:ext uri="{FF2B5EF4-FFF2-40B4-BE49-F238E27FC236}">
              <a16:creationId xmlns:a16="http://schemas.microsoft.com/office/drawing/2014/main" id="{C99C6352-D0C3-074D-A7E7-2517EB7E51BF}"/>
            </a:ext>
          </a:extLst>
        </xdr:cNvPr>
        <xdr:cNvPicPr>
          <a:picLocks noChangeAspect="1"/>
        </xdr:cNvPicPr>
      </xdr:nvPicPr>
      <xdr:blipFill>
        <a:blip xmlns:r="http://schemas.openxmlformats.org/officeDocument/2006/relationships" r:embed="rId2"/>
        <a:stretch>
          <a:fillRect/>
        </a:stretch>
      </xdr:blipFill>
      <xdr:spPr>
        <a:xfrm>
          <a:off x="8439150" y="0"/>
          <a:ext cx="9952381" cy="73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28575</xdr:rowOff>
    </xdr:from>
    <xdr:to>
      <xdr:col>12</xdr:col>
      <xdr:colOff>350711</xdr:colOff>
      <xdr:row>76</xdr:row>
      <xdr:rowOff>27503</xdr:rowOff>
    </xdr:to>
    <xdr:pic>
      <xdr:nvPicPr>
        <xdr:cNvPr id="2" name="图片 1">
          <a:extLst>
            <a:ext uri="{FF2B5EF4-FFF2-40B4-BE49-F238E27FC236}">
              <a16:creationId xmlns:a16="http://schemas.microsoft.com/office/drawing/2014/main" id="{30D72DC4-D984-46B4-8DD3-73F260617D72}"/>
            </a:ext>
          </a:extLst>
        </xdr:cNvPr>
        <xdr:cNvPicPr>
          <a:picLocks noChangeAspect="1"/>
        </xdr:cNvPicPr>
      </xdr:nvPicPr>
      <xdr:blipFill>
        <a:blip xmlns:r="http://schemas.openxmlformats.org/officeDocument/2006/relationships" r:embed="rId1"/>
        <a:stretch>
          <a:fillRect/>
        </a:stretch>
      </xdr:blipFill>
      <xdr:spPr>
        <a:xfrm>
          <a:off x="0" y="4486275"/>
          <a:ext cx="13714286" cy="8571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55</xdr:row>
      <xdr:rowOff>136071</xdr:rowOff>
    </xdr:from>
    <xdr:to>
      <xdr:col>17</xdr:col>
      <xdr:colOff>284257</xdr:colOff>
      <xdr:row>96</xdr:row>
      <xdr:rowOff>5941</xdr:rowOff>
    </xdr:to>
    <xdr:pic>
      <xdr:nvPicPr>
        <xdr:cNvPr id="6" name="图片 5">
          <a:extLst>
            <a:ext uri="{FF2B5EF4-FFF2-40B4-BE49-F238E27FC236}">
              <a16:creationId xmlns:a16="http://schemas.microsoft.com/office/drawing/2014/main" id="{71181CDE-02A0-BE16-8FAC-445DA8F3A957}"/>
            </a:ext>
          </a:extLst>
        </xdr:cNvPr>
        <xdr:cNvPicPr>
          <a:picLocks noChangeAspect="1"/>
        </xdr:cNvPicPr>
      </xdr:nvPicPr>
      <xdr:blipFill>
        <a:blip xmlns:r="http://schemas.openxmlformats.org/officeDocument/2006/relationships" r:embed="rId1"/>
        <a:stretch>
          <a:fillRect/>
        </a:stretch>
      </xdr:blipFill>
      <xdr:spPr>
        <a:xfrm>
          <a:off x="0" y="9865178"/>
          <a:ext cx="11850328" cy="7122477"/>
        </a:xfrm>
        <a:prstGeom prst="rect">
          <a:avLst/>
        </a:prstGeom>
      </xdr:spPr>
    </xdr:pic>
    <xdr:clientData/>
  </xdr:twoCellAnchor>
  <xdr:twoCellAnchor editAs="oneCell">
    <xdr:from>
      <xdr:col>17</xdr:col>
      <xdr:colOff>409575</xdr:colOff>
      <xdr:row>0</xdr:row>
      <xdr:rowOff>0</xdr:rowOff>
    </xdr:from>
    <xdr:to>
      <xdr:col>35</xdr:col>
      <xdr:colOff>122318</xdr:colOff>
      <xdr:row>39</xdr:row>
      <xdr:rowOff>122974</xdr:rowOff>
    </xdr:to>
    <xdr:pic>
      <xdr:nvPicPr>
        <xdr:cNvPr id="8" name="图片 7">
          <a:extLst>
            <a:ext uri="{FF2B5EF4-FFF2-40B4-BE49-F238E27FC236}">
              <a16:creationId xmlns:a16="http://schemas.microsoft.com/office/drawing/2014/main" id="{5764D9E2-4B28-FD76-1938-9F3A0803DA48}"/>
            </a:ext>
          </a:extLst>
        </xdr:cNvPr>
        <xdr:cNvPicPr>
          <a:picLocks noChangeAspect="1"/>
        </xdr:cNvPicPr>
      </xdr:nvPicPr>
      <xdr:blipFill>
        <a:blip xmlns:r="http://schemas.openxmlformats.org/officeDocument/2006/relationships" r:embed="rId2"/>
        <a:stretch>
          <a:fillRect/>
        </a:stretch>
      </xdr:blipFill>
      <xdr:spPr>
        <a:xfrm>
          <a:off x="12068175" y="0"/>
          <a:ext cx="12057143" cy="6809524"/>
        </a:xfrm>
        <a:prstGeom prst="rect">
          <a:avLst/>
        </a:prstGeom>
      </xdr:spPr>
    </xdr:pic>
    <xdr:clientData/>
  </xdr:twoCellAnchor>
  <xdr:twoCellAnchor editAs="oneCell">
    <xdr:from>
      <xdr:col>17</xdr:col>
      <xdr:colOff>409575</xdr:colOff>
      <xdr:row>40</xdr:row>
      <xdr:rowOff>28575</xdr:rowOff>
    </xdr:from>
    <xdr:to>
      <xdr:col>35</xdr:col>
      <xdr:colOff>198508</xdr:colOff>
      <xdr:row>55</xdr:row>
      <xdr:rowOff>9206</xdr:rowOff>
    </xdr:to>
    <xdr:pic>
      <xdr:nvPicPr>
        <xdr:cNvPr id="9" name="图片 8">
          <a:extLst>
            <a:ext uri="{FF2B5EF4-FFF2-40B4-BE49-F238E27FC236}">
              <a16:creationId xmlns:a16="http://schemas.microsoft.com/office/drawing/2014/main" id="{5D5506FD-D69E-D352-8A2C-948D7B335C6A}"/>
            </a:ext>
          </a:extLst>
        </xdr:cNvPr>
        <xdr:cNvPicPr>
          <a:picLocks noChangeAspect="1"/>
        </xdr:cNvPicPr>
      </xdr:nvPicPr>
      <xdr:blipFill>
        <a:blip xmlns:r="http://schemas.openxmlformats.org/officeDocument/2006/relationships" r:embed="rId3"/>
        <a:stretch>
          <a:fillRect/>
        </a:stretch>
      </xdr:blipFill>
      <xdr:spPr>
        <a:xfrm>
          <a:off x="12068175" y="6886575"/>
          <a:ext cx="12133333" cy="2552381"/>
        </a:xfrm>
        <a:prstGeom prst="rect">
          <a:avLst/>
        </a:prstGeom>
      </xdr:spPr>
    </xdr:pic>
    <xdr:clientData/>
  </xdr:twoCellAnchor>
  <xdr:twoCellAnchor editAs="oneCell">
    <xdr:from>
      <xdr:col>35</xdr:col>
      <xdr:colOff>180975</xdr:colOff>
      <xdr:row>0</xdr:row>
      <xdr:rowOff>0</xdr:rowOff>
    </xdr:from>
    <xdr:to>
      <xdr:col>52</xdr:col>
      <xdr:colOff>465232</xdr:colOff>
      <xdr:row>40</xdr:row>
      <xdr:rowOff>142000</xdr:rowOff>
    </xdr:to>
    <xdr:pic>
      <xdr:nvPicPr>
        <xdr:cNvPr id="12" name="图片 11">
          <a:extLst>
            <a:ext uri="{FF2B5EF4-FFF2-40B4-BE49-F238E27FC236}">
              <a16:creationId xmlns:a16="http://schemas.microsoft.com/office/drawing/2014/main" id="{B5D7F37C-753F-5984-DCC1-050EB7183522}"/>
            </a:ext>
          </a:extLst>
        </xdr:cNvPr>
        <xdr:cNvPicPr>
          <a:picLocks noChangeAspect="1"/>
        </xdr:cNvPicPr>
      </xdr:nvPicPr>
      <xdr:blipFill>
        <a:blip xmlns:r="http://schemas.openxmlformats.org/officeDocument/2006/relationships" r:embed="rId4"/>
        <a:stretch>
          <a:fillRect/>
        </a:stretch>
      </xdr:blipFill>
      <xdr:spPr>
        <a:xfrm>
          <a:off x="24183975" y="0"/>
          <a:ext cx="11942857" cy="7000000"/>
        </a:xfrm>
        <a:prstGeom prst="rect">
          <a:avLst/>
        </a:prstGeom>
      </xdr:spPr>
    </xdr:pic>
    <xdr:clientData/>
  </xdr:twoCellAnchor>
  <xdr:twoCellAnchor editAs="oneCell">
    <xdr:from>
      <xdr:col>35</xdr:col>
      <xdr:colOff>228600</xdr:colOff>
      <xdr:row>41</xdr:row>
      <xdr:rowOff>47625</xdr:rowOff>
    </xdr:from>
    <xdr:to>
      <xdr:col>53</xdr:col>
      <xdr:colOff>46105</xdr:colOff>
      <xdr:row>58</xdr:row>
      <xdr:rowOff>104404</xdr:rowOff>
    </xdr:to>
    <xdr:pic>
      <xdr:nvPicPr>
        <xdr:cNvPr id="13" name="图片 12">
          <a:extLst>
            <a:ext uri="{FF2B5EF4-FFF2-40B4-BE49-F238E27FC236}">
              <a16:creationId xmlns:a16="http://schemas.microsoft.com/office/drawing/2014/main" id="{5552D35A-A878-920A-0C0E-A61F24076ABA}"/>
            </a:ext>
          </a:extLst>
        </xdr:cNvPr>
        <xdr:cNvPicPr>
          <a:picLocks noChangeAspect="1"/>
        </xdr:cNvPicPr>
      </xdr:nvPicPr>
      <xdr:blipFill>
        <a:blip xmlns:r="http://schemas.openxmlformats.org/officeDocument/2006/relationships" r:embed="rId5"/>
        <a:stretch>
          <a:fillRect/>
        </a:stretch>
      </xdr:blipFill>
      <xdr:spPr>
        <a:xfrm>
          <a:off x="24231600" y="7077075"/>
          <a:ext cx="12161905" cy="2971429"/>
        </a:xfrm>
        <a:prstGeom prst="rect">
          <a:avLst/>
        </a:prstGeom>
      </xdr:spPr>
    </xdr:pic>
    <xdr:clientData/>
  </xdr:twoCellAnchor>
  <xdr:twoCellAnchor editAs="oneCell">
    <xdr:from>
      <xdr:col>0</xdr:col>
      <xdr:colOff>0</xdr:colOff>
      <xdr:row>40</xdr:row>
      <xdr:rowOff>95250</xdr:rowOff>
    </xdr:from>
    <xdr:to>
      <xdr:col>17</xdr:col>
      <xdr:colOff>462500</xdr:colOff>
      <xdr:row>53</xdr:row>
      <xdr:rowOff>109929</xdr:rowOff>
    </xdr:to>
    <xdr:pic>
      <xdr:nvPicPr>
        <xdr:cNvPr id="15" name="图片 14">
          <a:extLst>
            <a:ext uri="{FF2B5EF4-FFF2-40B4-BE49-F238E27FC236}">
              <a16:creationId xmlns:a16="http://schemas.microsoft.com/office/drawing/2014/main" id="{BF4FCF61-FD53-0A51-FEF5-EC51AD89D7D3}"/>
            </a:ext>
          </a:extLst>
        </xdr:cNvPr>
        <xdr:cNvPicPr>
          <a:picLocks noChangeAspect="1"/>
        </xdr:cNvPicPr>
      </xdr:nvPicPr>
      <xdr:blipFill>
        <a:blip xmlns:r="http://schemas.openxmlformats.org/officeDocument/2006/relationships" r:embed="rId6"/>
        <a:stretch>
          <a:fillRect/>
        </a:stretch>
      </xdr:blipFill>
      <xdr:spPr>
        <a:xfrm>
          <a:off x="0" y="7170964"/>
          <a:ext cx="12028571" cy="2314286"/>
        </a:xfrm>
        <a:prstGeom prst="rect">
          <a:avLst/>
        </a:prstGeom>
      </xdr:spPr>
    </xdr:pic>
    <xdr:clientData/>
  </xdr:twoCellAnchor>
  <xdr:twoCellAnchor editAs="oneCell">
    <xdr:from>
      <xdr:col>0</xdr:col>
      <xdr:colOff>0</xdr:colOff>
      <xdr:row>0</xdr:row>
      <xdr:rowOff>0</xdr:rowOff>
    </xdr:from>
    <xdr:to>
      <xdr:col>17</xdr:col>
      <xdr:colOff>319643</xdr:colOff>
      <xdr:row>38</xdr:row>
      <xdr:rowOff>154261</xdr:rowOff>
    </xdr:to>
    <xdr:pic>
      <xdr:nvPicPr>
        <xdr:cNvPr id="16" name="图片 15">
          <a:extLst>
            <a:ext uri="{FF2B5EF4-FFF2-40B4-BE49-F238E27FC236}">
              <a16:creationId xmlns:a16="http://schemas.microsoft.com/office/drawing/2014/main" id="{2807EAA6-BFEF-C34B-FBEB-AF496EAF0052}"/>
            </a:ext>
          </a:extLst>
        </xdr:cNvPr>
        <xdr:cNvPicPr>
          <a:picLocks noChangeAspect="1"/>
        </xdr:cNvPicPr>
      </xdr:nvPicPr>
      <xdr:blipFill>
        <a:blip xmlns:r="http://schemas.openxmlformats.org/officeDocument/2006/relationships" r:embed="rId7"/>
        <a:stretch>
          <a:fillRect/>
        </a:stretch>
      </xdr:blipFill>
      <xdr:spPr>
        <a:xfrm>
          <a:off x="0" y="0"/>
          <a:ext cx="11885714" cy="6876190"/>
        </a:xfrm>
        <a:prstGeom prst="rect">
          <a:avLst/>
        </a:prstGeom>
      </xdr:spPr>
    </xdr:pic>
    <xdr:clientData/>
  </xdr:twoCellAnchor>
  <xdr:twoCellAnchor editAs="oneCell">
    <xdr:from>
      <xdr:col>17</xdr:col>
      <xdr:colOff>598714</xdr:colOff>
      <xdr:row>57</xdr:row>
      <xdr:rowOff>54428</xdr:rowOff>
    </xdr:from>
    <xdr:to>
      <xdr:col>35</xdr:col>
      <xdr:colOff>323713</xdr:colOff>
      <xdr:row>98</xdr:row>
      <xdr:rowOff>173249</xdr:rowOff>
    </xdr:to>
    <xdr:pic>
      <xdr:nvPicPr>
        <xdr:cNvPr id="17" name="图片 16">
          <a:extLst>
            <a:ext uri="{FF2B5EF4-FFF2-40B4-BE49-F238E27FC236}">
              <a16:creationId xmlns:a16="http://schemas.microsoft.com/office/drawing/2014/main" id="{04C5F1C9-A6EF-243A-8C40-50F26170A573}"/>
            </a:ext>
          </a:extLst>
        </xdr:cNvPr>
        <xdr:cNvPicPr>
          <a:picLocks noChangeAspect="1"/>
        </xdr:cNvPicPr>
      </xdr:nvPicPr>
      <xdr:blipFill>
        <a:blip xmlns:r="http://schemas.openxmlformats.org/officeDocument/2006/relationships" r:embed="rId8"/>
        <a:stretch>
          <a:fillRect/>
        </a:stretch>
      </xdr:blipFill>
      <xdr:spPr>
        <a:xfrm>
          <a:off x="12164785" y="10137321"/>
          <a:ext cx="11971428" cy="7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6-1-0168&#36149;&#38451;&#32463;&#27982;&#25216;&#26415;&#24320;&#21457;&#21306;&#40660;&#27743;&#36335;&#24658;&#22823;&#36149;&#38451;&#39033;&#30446;\&#27979;&#31639;-&#36149;&#38451;&#24658;&#22823;GD(20)005&#21495;&#22320;&#22359;.xlsx" TargetMode="External"/><Relationship Id="rId1" Type="http://schemas.openxmlformats.org/officeDocument/2006/relationships/externalLinkPath" Target="&#27979;&#31639;-&#36149;&#38451;&#24658;&#22823;GD(20)005&#2149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最终面积"/>
      <sheetName val="位置"/>
      <sheetName val="数据-汇总表"/>
      <sheetName val="数据-取费表"/>
      <sheetName val="估价对象房地状况"/>
      <sheetName val="系统读取表"/>
      <sheetName val="结果表"/>
      <sheetName val="成本法"/>
      <sheetName val="成本法 (元)"/>
      <sheetName val="成本法 (元)-fei"/>
      <sheetName val="收益法 (元)"/>
      <sheetName val="收益法 (元)fei"/>
      <sheetName val="收益法-酒店模型"/>
      <sheetName val="收益法（汇总）"/>
      <sheetName val="典型户型修正"/>
      <sheetName val="土地比较法-住宅、综合"/>
      <sheetName val="比较法-商业"/>
      <sheetName val="比较法-办公"/>
      <sheetName val="比较法-工业"/>
      <sheetName val="比较法-仓储"/>
      <sheetName val="土地比较法-工业"/>
      <sheetName val="土地案例"/>
      <sheetName val="假设开发法"/>
      <sheetName val="比较法-住宅"/>
      <sheetName val="住宅案例"/>
      <sheetName val="比较法-车位"/>
      <sheetName val="收益法-商业"/>
      <sheetName val="收益法-车库"/>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173860</v>
          </cell>
          <cell r="C14">
            <v>27074</v>
          </cell>
          <cell r="D14">
            <v>25482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估价对象为北京市房地产，为所有。根据《国有土地使用证》[]，估价对象（分摊）出让国有建设用地使用权面积为21574平方米，建筑面积为153829平方米。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估价对象为北京市房地产,属开发建设的，该项目尚在开发建设中。根据《国有土地使用证》[]，估价对象（分摊）出让国有建设用地使用权面积为21574平方米，规划建筑面积为153829平方米。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2026年3月24日（评估专业人员实地查勘之日）</v>
      </c>
    </row>
    <row r="13" spans="1:2">
      <c r="A13" s="793" t="s">
        <v>523</v>
      </c>
      <c r="B13" s="794" t="str">
        <f>'预评函-1'!A18</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本次评估采用的主估价方法为比较法和假设开发法。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20028.535800000001</v>
      </c>
    </row>
    <row r="21" spans="1:2">
      <c r="A21" s="793" t="s">
        <v>531</v>
      </c>
      <c r="B21" s="794">
        <f ca="1">'预评函-2'!D7</f>
        <v>85</v>
      </c>
    </row>
    <row r="22" spans="1:2">
      <c r="A22" s="793" t="s">
        <v>532</v>
      </c>
      <c r="B22" s="794" t="str">
        <f ca="1">'预评函-2'!D6</f>
        <v>贰亿零贰拾捌万伍仟叁佰伍拾捌元整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20028.535800000001</v>
      </c>
    </row>
    <row r="31" spans="1:2">
      <c r="A31" s="793" t="s">
        <v>570</v>
      </c>
      <c r="B31" s="794">
        <f ca="1">'预评函-2'!D15</f>
        <v>85</v>
      </c>
    </row>
    <row r="32" spans="1:2">
      <c r="A32" s="793" t="s">
        <v>537</v>
      </c>
      <c r="B32" s="794" t="str">
        <f ca="1">'预评函-2'!D14</f>
        <v>贰亿零贰拾捌万伍仟叁佰伍拾捌元整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153829</v>
      </c>
    </row>
    <row r="44" spans="1:2">
      <c r="A44" s="793" t="s">
        <v>569</v>
      </c>
      <c r="B44" s="794" t="str">
        <f>'预评函-3'!C2</f>
        <v>(分摊)土地面积</v>
      </c>
    </row>
    <row r="45" spans="1:2">
      <c r="A45" s="793" t="s">
        <v>541</v>
      </c>
      <c r="B45" s="794">
        <f>'预评函-3'!C4</f>
        <v>21574</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959</v>
      </c>
      <c r="C1" s="1082" t="s">
        <v>312</v>
      </c>
      <c r="D1" s="1083" t="s">
        <v>3226</v>
      </c>
      <c r="E1" s="1082" t="s">
        <v>960</v>
      </c>
      <c r="F1" s="1082" t="s">
        <v>961</v>
      </c>
      <c r="G1" s="1082" t="s">
        <v>962</v>
      </c>
      <c r="H1" s="1082" t="s">
        <v>963</v>
      </c>
      <c r="I1" s="1082" t="s">
        <v>964</v>
      </c>
      <c r="J1" s="1082" t="s">
        <v>965</v>
      </c>
      <c r="K1" s="1082" t="s">
        <v>966</v>
      </c>
      <c r="L1" s="1082" t="s">
        <v>967</v>
      </c>
      <c r="M1" s="1082" t="s">
        <v>968</v>
      </c>
      <c r="N1" s="1082" t="s">
        <v>969</v>
      </c>
      <c r="O1" s="1082" t="s">
        <v>970</v>
      </c>
      <c r="P1" s="1083" t="s">
        <v>307</v>
      </c>
      <c r="Q1" s="1083" t="s">
        <v>441</v>
      </c>
      <c r="R1" s="1082" t="s">
        <v>435</v>
      </c>
      <c r="S1" s="1082" t="s">
        <v>971</v>
      </c>
      <c r="T1" s="1083" t="s">
        <v>972</v>
      </c>
      <c r="U1" s="1082" t="s">
        <v>973</v>
      </c>
      <c r="V1" s="1082" t="s">
        <v>974</v>
      </c>
      <c r="W1" s="1082" t="s">
        <v>309</v>
      </c>
      <c r="X1" s="1082" t="s">
        <v>658</v>
      </c>
      <c r="Y1" s="1082" t="s">
        <v>19</v>
      </c>
      <c r="Z1" s="1082" t="s">
        <v>3262</v>
      </c>
      <c r="AA1" s="1082" t="s">
        <v>3261</v>
      </c>
      <c r="AB1" s="1082" t="s">
        <v>3</v>
      </c>
    </row>
    <row r="2" spans="1:28">
      <c r="A2" s="1085" t="s">
        <v>17</v>
      </c>
      <c r="B2" s="1085" t="s">
        <v>975</v>
      </c>
      <c r="C2" s="1086" t="s">
        <v>313</v>
      </c>
      <c r="D2" s="1087" t="s">
        <v>976</v>
      </c>
      <c r="E2" s="1087" t="s">
        <v>977</v>
      </c>
      <c r="F2" s="1087" t="s">
        <v>978</v>
      </c>
      <c r="G2" s="3490">
        <v>20</v>
      </c>
      <c r="H2" s="1087" t="s">
        <v>978</v>
      </c>
      <c r="I2" s="1087" t="s">
        <v>3212</v>
      </c>
      <c r="J2" s="1087" t="s">
        <v>979</v>
      </c>
      <c r="K2" s="1087" t="s">
        <v>980</v>
      </c>
      <c r="L2" s="1087" t="s">
        <v>980</v>
      </c>
      <c r="M2" s="1087" t="s">
        <v>980</v>
      </c>
      <c r="N2" s="1087" t="s">
        <v>980</v>
      </c>
      <c r="O2" s="1087" t="s">
        <v>980</v>
      </c>
      <c r="P2" s="1087" t="s">
        <v>980</v>
      </c>
      <c r="Q2" s="1087" t="s">
        <v>980</v>
      </c>
      <c r="R2" s="1087" t="s">
        <v>437</v>
      </c>
      <c r="S2" s="1087" t="s">
        <v>980</v>
      </c>
      <c r="T2" s="1087" t="s">
        <v>981</v>
      </c>
      <c r="U2" s="1087" t="s">
        <v>980</v>
      </c>
      <c r="V2" s="1087" t="s">
        <v>982</v>
      </c>
      <c r="W2" s="1087" t="s">
        <v>980</v>
      </c>
      <c r="X2" s="1089" t="s">
        <v>2317</v>
      </c>
      <c r="Y2" s="1089" t="s">
        <v>3268</v>
      </c>
      <c r="Z2" s="1089" t="s">
        <v>2330</v>
      </c>
      <c r="AA2" s="1089" t="s">
        <v>3269</v>
      </c>
      <c r="AB2" s="1089" t="s">
        <v>2357</v>
      </c>
    </row>
    <row r="3" spans="1:28">
      <c r="A3" s="1085" t="s">
        <v>983</v>
      </c>
      <c r="B3" s="1088" t="s">
        <v>442</v>
      </c>
      <c r="C3" s="1086" t="s">
        <v>314</v>
      </c>
      <c r="D3" s="1087" t="s">
        <v>984</v>
      </c>
      <c r="E3" s="1087" t="s">
        <v>12</v>
      </c>
      <c r="F3" s="1087" t="s">
        <v>985</v>
      </c>
      <c r="G3" s="3490">
        <v>40</v>
      </c>
      <c r="H3" s="1087" t="s">
        <v>985</v>
      </c>
      <c r="I3" s="1087" t="s">
        <v>3213</v>
      </c>
      <c r="J3" s="1087" t="s">
        <v>986</v>
      </c>
      <c r="K3" s="1087" t="s">
        <v>987</v>
      </c>
      <c r="L3" s="1087" t="s">
        <v>987</v>
      </c>
      <c r="M3" s="1087" t="s">
        <v>987</v>
      </c>
      <c r="N3" s="1087" t="s">
        <v>987</v>
      </c>
      <c r="O3" s="1087" t="s">
        <v>987</v>
      </c>
      <c r="P3" s="1087" t="s">
        <v>987</v>
      </c>
      <c r="Q3" s="1087" t="s">
        <v>987</v>
      </c>
      <c r="R3" s="1087" t="s">
        <v>436</v>
      </c>
      <c r="S3" s="1087" t="s">
        <v>987</v>
      </c>
      <c r="T3" s="1087" t="s">
        <v>988</v>
      </c>
      <c r="U3" s="1087" t="s">
        <v>987</v>
      </c>
      <c r="V3" s="1087" t="s">
        <v>989</v>
      </c>
      <c r="W3" s="1087" t="s">
        <v>987</v>
      </c>
      <c r="X3" s="1089" t="s">
        <v>2319</v>
      </c>
      <c r="Z3" s="1089" t="s">
        <v>2332</v>
      </c>
      <c r="AB3" s="1089" t="s">
        <v>2359</v>
      </c>
    </row>
    <row r="4" spans="1:28">
      <c r="A4" s="1085" t="s">
        <v>990</v>
      </c>
      <c r="B4" s="1085" t="s">
        <v>991</v>
      </c>
      <c r="C4" s="1086" t="s">
        <v>315</v>
      </c>
      <c r="D4" s="1087" t="s">
        <v>383</v>
      </c>
      <c r="E4" s="1087" t="s">
        <v>992</v>
      </c>
      <c r="F4" s="1087" t="s">
        <v>993</v>
      </c>
      <c r="G4" s="3490">
        <v>50</v>
      </c>
      <c r="H4" s="1087" t="s">
        <v>993</v>
      </c>
      <c r="I4" s="1087" t="s">
        <v>3214</v>
      </c>
      <c r="K4" s="1087" t="s">
        <v>994</v>
      </c>
      <c r="L4" s="1087" t="s">
        <v>994</v>
      </c>
      <c r="M4" s="1087" t="s">
        <v>994</v>
      </c>
      <c r="N4" s="1087" t="s">
        <v>994</v>
      </c>
      <c r="O4" s="1087" t="s">
        <v>994</v>
      </c>
      <c r="P4" s="1087" t="s">
        <v>994</v>
      </c>
      <c r="Q4" s="1087" t="s">
        <v>994</v>
      </c>
      <c r="R4" s="1087" t="s">
        <v>438</v>
      </c>
      <c r="S4" s="1087" t="s">
        <v>994</v>
      </c>
      <c r="T4" s="1087" t="s">
        <v>995</v>
      </c>
      <c r="U4" s="1087" t="s">
        <v>994</v>
      </c>
      <c r="W4" s="1087" t="s">
        <v>994</v>
      </c>
      <c r="X4" s="1089" t="s">
        <v>2321</v>
      </c>
      <c r="Z4" s="1089" t="s">
        <v>2334</v>
      </c>
      <c r="AB4" s="1089" t="s">
        <v>2361</v>
      </c>
    </row>
    <row r="5" spans="1:28">
      <c r="A5" s="1085" t="s">
        <v>996</v>
      </c>
      <c r="B5" s="1085" t="s">
        <v>997</v>
      </c>
      <c r="C5" s="1086" t="s">
        <v>316</v>
      </c>
      <c r="F5" s="1087" t="s">
        <v>998</v>
      </c>
      <c r="G5" s="3490">
        <v>70</v>
      </c>
      <c r="H5" s="1087" t="s">
        <v>999</v>
      </c>
      <c r="I5" s="1087" t="s">
        <v>3215</v>
      </c>
      <c r="K5" s="1087" t="s">
        <v>1000</v>
      </c>
      <c r="L5" s="1087" t="s">
        <v>1000</v>
      </c>
      <c r="M5" s="1087" t="s">
        <v>1000</v>
      </c>
      <c r="N5" s="1087" t="s">
        <v>1000</v>
      </c>
      <c r="O5" s="1087" t="s">
        <v>1000</v>
      </c>
      <c r="P5" s="1087" t="s">
        <v>1000</v>
      </c>
      <c r="Q5" s="1087" t="s">
        <v>1000</v>
      </c>
      <c r="R5" s="1087" t="s">
        <v>439</v>
      </c>
      <c r="S5" s="1087" t="s">
        <v>1000</v>
      </c>
      <c r="T5" s="1087" t="s">
        <v>1001</v>
      </c>
      <c r="U5" s="1087" t="s">
        <v>1000</v>
      </c>
      <c r="W5" s="1087" t="s">
        <v>1000</v>
      </c>
      <c r="X5" s="1089" t="s">
        <v>2323</v>
      </c>
      <c r="Z5" s="1089" t="s">
        <v>2336</v>
      </c>
      <c r="AB5" s="1089" t="s">
        <v>3270</v>
      </c>
    </row>
    <row r="6" spans="1:28">
      <c r="A6" s="1085" t="s">
        <v>1002</v>
      </c>
      <c r="B6" s="1088" t="s">
        <v>443</v>
      </c>
      <c r="C6" s="1090" t="s">
        <v>22</v>
      </c>
      <c r="F6" s="1087" t="s">
        <v>999</v>
      </c>
      <c r="H6" s="1087" t="s">
        <v>1003</v>
      </c>
      <c r="I6" s="1087" t="s">
        <v>3216</v>
      </c>
      <c r="K6" s="1087" t="s">
        <v>1004</v>
      </c>
      <c r="L6" s="1087" t="s">
        <v>1004</v>
      </c>
      <c r="M6" s="1087" t="s">
        <v>1004</v>
      </c>
      <c r="N6" s="1087" t="s">
        <v>1004</v>
      </c>
      <c r="O6" s="1087" t="s">
        <v>1004</v>
      </c>
      <c r="P6" s="1087" t="s">
        <v>1004</v>
      </c>
      <c r="Q6" s="1087" t="s">
        <v>1004</v>
      </c>
      <c r="R6" s="1087" t="s">
        <v>440</v>
      </c>
      <c r="S6" s="1087" t="s">
        <v>1004</v>
      </c>
      <c r="T6" s="1087"/>
      <c r="U6" s="1087" t="s">
        <v>1004</v>
      </c>
      <c r="W6" s="1087" t="s">
        <v>1004</v>
      </c>
      <c r="X6" s="1089" t="s">
        <v>2325</v>
      </c>
      <c r="Z6" s="1089" t="s">
        <v>2338</v>
      </c>
      <c r="AB6" s="1089" t="s">
        <v>2364</v>
      </c>
    </row>
    <row r="7" spans="1:28">
      <c r="A7" s="1085" t="s">
        <v>1005</v>
      </c>
      <c r="B7" s="1088" t="s">
        <v>444</v>
      </c>
      <c r="C7" s="1086" t="s">
        <v>23</v>
      </c>
      <c r="F7" s="1087" t="s">
        <v>1006</v>
      </c>
      <c r="H7" s="1087" t="s">
        <v>1007</v>
      </c>
      <c r="I7" s="1087" t="s">
        <v>3217</v>
      </c>
      <c r="X7" s="1089" t="s">
        <v>2327</v>
      </c>
      <c r="Z7" s="1089" t="s">
        <v>2340</v>
      </c>
      <c r="AB7" s="1089" t="s">
        <v>2366</v>
      </c>
    </row>
    <row r="8" spans="1:28">
      <c r="A8" s="1085" t="s">
        <v>1008</v>
      </c>
      <c r="B8" s="1085" t="s">
        <v>2311</v>
      </c>
      <c r="C8" s="1086" t="s">
        <v>317</v>
      </c>
      <c r="F8" s="1087" t="s">
        <v>1010</v>
      </c>
      <c r="H8" s="1087" t="s">
        <v>2455</v>
      </c>
      <c r="I8" s="1087" t="s">
        <v>3218</v>
      </c>
      <c r="X8" s="1089" t="s">
        <v>3271</v>
      </c>
      <c r="Z8" s="1089" t="s">
        <v>2342</v>
      </c>
      <c r="AB8" s="1089" t="s">
        <v>2368</v>
      </c>
    </row>
    <row r="9" spans="1:28">
      <c r="A9" s="1085" t="s">
        <v>1011</v>
      </c>
      <c r="B9" s="1085" t="s">
        <v>1009</v>
      </c>
      <c r="C9" s="1086" t="s">
        <v>318</v>
      </c>
      <c r="F9" s="1087" t="s">
        <v>1013</v>
      </c>
      <c r="H9" s="1087"/>
      <c r="I9" s="1089" t="s">
        <v>3219</v>
      </c>
      <c r="X9" s="1089" t="s">
        <v>3272</v>
      </c>
      <c r="Z9" s="1089" t="s">
        <v>2344</v>
      </c>
      <c r="AB9" s="1089" t="s">
        <v>2370</v>
      </c>
    </row>
    <row r="10" spans="1:28">
      <c r="A10" s="1085" t="s">
        <v>1014</v>
      </c>
      <c r="B10" s="1085" t="s">
        <v>1012</v>
      </c>
      <c r="C10" s="1086" t="s">
        <v>319</v>
      </c>
      <c r="F10" s="1087" t="s">
        <v>2456</v>
      </c>
      <c r="I10" s="1089" t="s">
        <v>3220</v>
      </c>
      <c r="Z10" s="1089" t="s">
        <v>2346</v>
      </c>
      <c r="AB10" s="1089" t="s">
        <v>2372</v>
      </c>
    </row>
    <row r="11" spans="1:28">
      <c r="A11" s="1085" t="s">
        <v>1016</v>
      </c>
      <c r="B11" s="1085" t="s">
        <v>1015</v>
      </c>
      <c r="C11" s="1086" t="s">
        <v>320</v>
      </c>
      <c r="F11" s="1087" t="s">
        <v>12</v>
      </c>
      <c r="I11" s="1089" t="s">
        <v>3221</v>
      </c>
      <c r="Z11" s="1089" t="s">
        <v>2348</v>
      </c>
      <c r="AB11" s="1089" t="s">
        <v>2374</v>
      </c>
    </row>
    <row r="12" spans="1:28">
      <c r="A12" s="1085" t="s">
        <v>1018</v>
      </c>
      <c r="B12" s="1085" t="s">
        <v>1017</v>
      </c>
      <c r="C12" s="1086" t="s">
        <v>321</v>
      </c>
      <c r="I12" s="1089" t="s">
        <v>3222</v>
      </c>
      <c r="Z12" s="1089" t="s">
        <v>2350</v>
      </c>
      <c r="AB12" s="1089" t="s">
        <v>2376</v>
      </c>
    </row>
    <row r="13" spans="1:28">
      <c r="A13" s="1085" t="s">
        <v>1020</v>
      </c>
      <c r="B13" s="1085" t="s">
        <v>1019</v>
      </c>
      <c r="C13" s="1086" t="s">
        <v>322</v>
      </c>
      <c r="I13" s="1089" t="s">
        <v>3223</v>
      </c>
      <c r="Z13" s="1089" t="s">
        <v>2352</v>
      </c>
    </row>
    <row r="14" spans="1:28">
      <c r="A14" s="1085" t="s">
        <v>1022</v>
      </c>
      <c r="B14" s="1085" t="s">
        <v>1021</v>
      </c>
      <c r="C14" s="1087" t="s">
        <v>12</v>
      </c>
      <c r="I14" s="1089" t="s">
        <v>3224</v>
      </c>
      <c r="Z14" s="1089" t="s">
        <v>2354</v>
      </c>
    </row>
    <row r="15" spans="1:28">
      <c r="A15" s="1085" t="s">
        <v>1024</v>
      </c>
      <c r="B15" s="1085" t="s">
        <v>2186</v>
      </c>
      <c r="C15" s="1086"/>
      <c r="I15" s="1089" t="s">
        <v>3225</v>
      </c>
    </row>
    <row r="16" spans="1:28">
      <c r="A16" s="1085" t="s">
        <v>1026</v>
      </c>
      <c r="B16" s="1085" t="s">
        <v>1023</v>
      </c>
      <c r="C16" s="1086"/>
    </row>
    <row r="17" spans="1:3">
      <c r="A17" s="1085" t="s">
        <v>1027</v>
      </c>
      <c r="B17" s="1085" t="s">
        <v>1025</v>
      </c>
      <c r="C17" s="1086"/>
    </row>
    <row r="18" spans="1:3">
      <c r="A18" s="1085" t="s">
        <v>1028</v>
      </c>
      <c r="B18" s="1085" t="s">
        <v>3506</v>
      </c>
      <c r="C18" s="1086"/>
    </row>
    <row r="19" spans="1:3">
      <c r="A19" s="1085" t="s">
        <v>1029</v>
      </c>
      <c r="B19" s="1085" t="s">
        <v>3507</v>
      </c>
      <c r="C19" s="1086"/>
    </row>
    <row r="20" spans="1:3">
      <c r="A20" s="1085" t="s">
        <v>1030</v>
      </c>
      <c r="B20" s="1085" t="s">
        <v>310</v>
      </c>
      <c r="C20" s="1086"/>
    </row>
    <row r="21" spans="1:3">
      <c r="A21" s="1085" t="s">
        <v>1031</v>
      </c>
      <c r="B21" s="1085" t="s">
        <v>2186</v>
      </c>
      <c r="C21" s="1086"/>
    </row>
    <row r="22" spans="1:3">
      <c r="A22" s="1085" t="s">
        <v>1032</v>
      </c>
      <c r="B22" s="1085" t="s">
        <v>3611</v>
      </c>
      <c r="C22" s="1086"/>
    </row>
    <row r="23" spans="1:3">
      <c r="A23" s="1085" t="s">
        <v>1033</v>
      </c>
      <c r="B23" s="1085" t="s">
        <v>4089</v>
      </c>
      <c r="C23" s="1086"/>
    </row>
    <row r="24" spans="1:3">
      <c r="A24" s="1085" t="s">
        <v>1034</v>
      </c>
      <c r="B24" s="1085" t="s">
        <v>4091</v>
      </c>
      <c r="C24" s="1086"/>
    </row>
    <row r="25" spans="1:3">
      <c r="A25" s="1085" t="s">
        <v>1035</v>
      </c>
      <c r="B25" s="1085" t="s">
        <v>311</v>
      </c>
      <c r="C25" s="1086"/>
    </row>
    <row r="26" spans="1:3">
      <c r="A26" s="1085" t="s">
        <v>1036</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5"/>
      <c r="B54" s="1091" t="s">
        <v>379</v>
      </c>
      <c r="C54" s="1089" t="s">
        <v>577</v>
      </c>
    </row>
    <row r="55" spans="1:4">
      <c r="A55" s="4315"/>
      <c r="B55" s="1091" t="s">
        <v>380</v>
      </c>
      <c r="C55" s="1089" t="s">
        <v>578</v>
      </c>
    </row>
    <row r="56" spans="1:4">
      <c r="A56" s="4315"/>
      <c r="B56" s="1091" t="s">
        <v>381</v>
      </c>
      <c r="C56" s="1089" t="s">
        <v>582</v>
      </c>
    </row>
    <row r="57" spans="1:4">
      <c r="A57" s="431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2378</v>
      </c>
      <c r="B1" s="2186"/>
      <c r="C1" s="2186"/>
      <c r="D1" s="2186"/>
      <c r="E1" s="2186"/>
      <c r="F1" s="2187"/>
      <c r="I1" s="2478" t="s">
        <v>2471</v>
      </c>
      <c r="J1" s="3506"/>
      <c r="K1" s="3506"/>
      <c r="L1" s="3506"/>
      <c r="M1" s="3506"/>
      <c r="N1" s="3507"/>
      <c r="O1" s="3507"/>
      <c r="P1" s="3507"/>
      <c r="Q1" s="3507"/>
      <c r="R1" s="3508"/>
    </row>
    <row r="2" spans="1:19">
      <c r="A2" s="2189"/>
      <c r="B2" s="2190"/>
      <c r="C2" s="2190"/>
      <c r="D2" s="2190"/>
      <c r="E2" s="2190"/>
      <c r="F2" s="2191"/>
      <c r="I2" s="4316" t="s">
        <v>2458</v>
      </c>
      <c r="J2" s="4317"/>
      <c r="K2" s="4317"/>
      <c r="L2" s="4317"/>
      <c r="M2" s="4317"/>
      <c r="N2" s="4317"/>
      <c r="O2" s="4317"/>
      <c r="P2" s="4317"/>
      <c r="Q2" s="4317"/>
      <c r="R2" s="4318"/>
    </row>
    <row r="3" spans="1:19">
      <c r="A3" s="2192" t="s">
        <v>2379</v>
      </c>
      <c r="B3" s="2193">
        <f>项目基本情况!D3</f>
        <v>46105</v>
      </c>
      <c r="C3" s="2194"/>
      <c r="D3" s="2194"/>
      <c r="E3" s="2194"/>
      <c r="F3" s="2191"/>
      <c r="I3" s="2198"/>
      <c r="J3" s="2199" t="s">
        <v>2462</v>
      </c>
      <c r="K3" s="2199" t="s">
        <v>2463</v>
      </c>
      <c r="L3" s="2199" t="s">
        <v>2464</v>
      </c>
      <c r="M3" s="2199" t="s">
        <v>2465</v>
      </c>
      <c r="N3" s="2479" t="s">
        <v>2466</v>
      </c>
      <c r="O3" s="2479" t="s">
        <v>2467</v>
      </c>
      <c r="P3" s="2479" t="s">
        <v>2468</v>
      </c>
      <c r="Q3" s="2479" t="s">
        <v>2469</v>
      </c>
      <c r="R3" s="3493" t="s">
        <v>2470</v>
      </c>
    </row>
    <row r="4" spans="1:19">
      <c r="A4" s="2192" t="s">
        <v>2380</v>
      </c>
      <c r="B4" s="2194" t="s">
        <v>2381</v>
      </c>
      <c r="C4" s="2194" t="s">
        <v>2382</v>
      </c>
      <c r="D4" s="2194" t="s">
        <v>2383</v>
      </c>
      <c r="E4" s="2194" t="s">
        <v>2384</v>
      </c>
      <c r="F4" s="2191"/>
      <c r="I4" s="2198" t="s">
        <v>2459</v>
      </c>
      <c r="J4" s="3971">
        <v>80</v>
      </c>
      <c r="K4" s="3971">
        <v>70</v>
      </c>
      <c r="L4" s="3971">
        <v>20</v>
      </c>
      <c r="M4" s="3971">
        <v>30</v>
      </c>
      <c r="N4" s="3510">
        <v>45</v>
      </c>
      <c r="O4" s="3510">
        <v>60</v>
      </c>
      <c r="P4" s="3510">
        <v>50</v>
      </c>
      <c r="Q4" s="3510">
        <v>20</v>
      </c>
      <c r="R4" s="3972">
        <v>375</v>
      </c>
    </row>
    <row r="5" spans="1:19">
      <c r="A5" s="3509">
        <v>40</v>
      </c>
      <c r="B5" s="2193">
        <v>46375</v>
      </c>
      <c r="C5" s="3510">
        <f>ROUNDDOWN(MIN((B5-B3)/365,A5),2)</f>
        <v>0.73</v>
      </c>
      <c r="D5" s="3511">
        <f>IF(ISERROR(ROUND(POWER(1+E5,A5-C5)*(POWER(1+E5,C5)-1)/(POWER(1+E5,A5)-1),3)),0,ROUND(POWER(1+E5,A5-C5)*(POWER(1+E5,C5)-1)/(POWER(1+E5,A5)-1),4))</f>
        <v>3.5700000000000003E-2</v>
      </c>
      <c r="E5" s="3512">
        <v>0.04</v>
      </c>
      <c r="F5" s="2191"/>
      <c r="I5" s="2198" t="s">
        <v>2460</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10.74</v>
      </c>
      <c r="D6" s="3511">
        <f>IF(ISERROR(ROUND(POWER(1+E6,A6-C6)*(POWER(1+E6,C6)-1)/(POWER(1+E6,A6)-1),3)),0,ROUND(POWER(1+E6,A6-C6)*(POWER(1+E6,C6)-1)/(POWER(1+E6,A6)-1),4))</f>
        <v>0.40010000000000001</v>
      </c>
      <c r="E6" s="3512">
        <v>0.04</v>
      </c>
      <c r="F6" s="2191"/>
      <c r="I6" s="3494" t="s">
        <v>2461</v>
      </c>
      <c r="J6" s="3973">
        <v>60</v>
      </c>
      <c r="K6" s="3973">
        <v>50</v>
      </c>
      <c r="L6" s="3973">
        <v>10</v>
      </c>
      <c r="M6" s="3973">
        <v>20</v>
      </c>
      <c r="N6" s="3974">
        <v>35</v>
      </c>
      <c r="O6" s="3974">
        <v>40</v>
      </c>
      <c r="P6" s="3974">
        <v>30</v>
      </c>
      <c r="Q6" s="3974">
        <v>10</v>
      </c>
      <c r="R6" s="3975">
        <v>255</v>
      </c>
    </row>
    <row r="7" spans="1:19">
      <c r="A7" s="3509">
        <v>70</v>
      </c>
      <c r="B7" s="2193">
        <v>57333</v>
      </c>
      <c r="C7" s="3510">
        <f>ROUNDDOWN(MIN((B7-B3)/365,A7),2)</f>
        <v>30.76</v>
      </c>
      <c r="D7" s="3511">
        <f>IF(ISERROR(ROUND(POWER(1+E7,A7-C7)*(POWER(1+E7,C7)-1)/(POWER(1+E7,A7)-1),3)),0,ROUND(POWER(1+E7,A7-C7)*(POWER(1+E7,C7)-1)/(POWER(1+E7,A7)-1),4))</f>
        <v>0.74880000000000002</v>
      </c>
      <c r="E7" s="3512">
        <v>0.04</v>
      </c>
      <c r="F7" s="2191"/>
      <c r="I7" s="3495" t="s">
        <v>3658</v>
      </c>
      <c r="J7" s="3496" t="s">
        <v>3660</v>
      </c>
      <c r="K7" s="3497">
        <v>3.5</v>
      </c>
      <c r="L7" s="3498"/>
      <c r="M7" s="3492"/>
      <c r="N7" s="2186"/>
      <c r="O7" s="2186"/>
      <c r="P7" s="2186"/>
      <c r="Q7" s="2186"/>
      <c r="R7" s="2187"/>
    </row>
    <row r="8" spans="1:19" ht="14.25" thickBot="1">
      <c r="A8" s="2189"/>
      <c r="B8" s="2190"/>
      <c r="C8" s="2190"/>
      <c r="D8" s="2190"/>
      <c r="E8" s="2190"/>
      <c r="F8" s="2191"/>
      <c r="I8" s="4316" t="s">
        <v>3659</v>
      </c>
      <c r="J8" s="4317"/>
      <c r="K8" s="4317"/>
      <c r="L8" s="4317"/>
      <c r="M8" s="4317"/>
      <c r="N8" s="4317"/>
      <c r="O8" s="4317"/>
      <c r="P8" s="4317"/>
      <c r="Q8" s="4317"/>
      <c r="R8" s="4318"/>
    </row>
    <row r="9" spans="1:19">
      <c r="A9" s="2192" t="s">
        <v>2385</v>
      </c>
      <c r="B9" s="2194"/>
      <c r="C9" s="2194"/>
      <c r="D9" s="2194"/>
      <c r="E9" s="2194"/>
      <c r="F9" s="2195"/>
      <c r="I9" s="2198"/>
      <c r="J9" s="2199" t="s">
        <v>2462</v>
      </c>
      <c r="K9" s="2199" t="s">
        <v>2463</v>
      </c>
      <c r="L9" s="2199" t="s">
        <v>2464</v>
      </c>
      <c r="M9" s="2199" t="s">
        <v>2465</v>
      </c>
      <c r="N9" s="2479" t="s">
        <v>2466</v>
      </c>
      <c r="O9" s="2479" t="s">
        <v>2467</v>
      </c>
      <c r="P9" s="2479" t="s">
        <v>2468</v>
      </c>
      <c r="Q9" s="2479" t="s">
        <v>2469</v>
      </c>
      <c r="R9" s="3493" t="s">
        <v>2470</v>
      </c>
      <c r="S9" s="4321" t="s">
        <v>3861</v>
      </c>
    </row>
    <row r="10" spans="1:19">
      <c r="A10" s="2192" t="s">
        <v>2386</v>
      </c>
      <c r="B10" s="2194"/>
      <c r="C10" s="2194"/>
      <c r="D10" s="2194" t="s">
        <v>2384</v>
      </c>
      <c r="E10" s="2194"/>
      <c r="F10" s="2195" t="s">
        <v>2383</v>
      </c>
      <c r="I10" s="2198" t="s">
        <v>2459</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322"/>
    </row>
    <row r="11" spans="1:19">
      <c r="A11" s="3515" t="s">
        <v>2387</v>
      </c>
      <c r="B11" s="3513">
        <v>70</v>
      </c>
      <c r="C11" s="3516" t="s">
        <v>2388</v>
      </c>
      <c r="D11" s="3512">
        <v>4.4999999999999998E-2</v>
      </c>
      <c r="E11" s="3516" t="s">
        <v>2389</v>
      </c>
      <c r="F11" s="3514">
        <f>ROUND(1-(1/(POWER(1+D11,B11))),4)</f>
        <v>0.95409999999999995</v>
      </c>
      <c r="I11" s="2198" t="s">
        <v>2460</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322"/>
    </row>
    <row r="12" spans="1:19" ht="14.25" thickBot="1">
      <c r="A12" s="3515" t="s">
        <v>2390</v>
      </c>
      <c r="B12" s="3513">
        <v>40</v>
      </c>
      <c r="C12" s="3516" t="s">
        <v>2391</v>
      </c>
      <c r="D12" s="3512">
        <v>4.4999999999999998E-2</v>
      </c>
      <c r="E12" s="3516" t="s">
        <v>2392</v>
      </c>
      <c r="F12" s="3514">
        <f>ROUND(1-(1/(POWER(1+D12,B12))),4)</f>
        <v>0.82809999999999995</v>
      </c>
      <c r="I12" s="3499" t="s">
        <v>2461</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322"/>
    </row>
    <row r="13" spans="1:19">
      <c r="A13" s="2192" t="s">
        <v>2393</v>
      </c>
      <c r="B13" s="2194"/>
      <c r="C13" s="2194"/>
      <c r="D13" s="2190"/>
      <c r="E13" s="2190"/>
      <c r="F13" s="2191"/>
      <c r="I13" s="3491" t="s">
        <v>3661</v>
      </c>
      <c r="J13" s="3500">
        <v>2.5</v>
      </c>
      <c r="K13" s="3492" t="s">
        <v>3662</v>
      </c>
      <c r="L13" s="3501">
        <v>0.92630000000000001</v>
      </c>
      <c r="M13" s="3492"/>
      <c r="N13" s="2186"/>
      <c r="O13" s="2186"/>
      <c r="P13" s="2186"/>
      <c r="Q13" s="2186"/>
      <c r="R13" s="2187"/>
      <c r="S13" s="4322"/>
    </row>
    <row r="14" spans="1:19">
      <c r="A14" s="3515" t="s">
        <v>2394</v>
      </c>
      <c r="B14" s="3517">
        <v>5000</v>
      </c>
      <c r="C14" s="3518"/>
      <c r="D14" s="2190"/>
      <c r="E14" s="2190"/>
      <c r="F14" s="2191"/>
      <c r="I14" s="2198"/>
      <c r="J14" s="2199" t="s">
        <v>2462</v>
      </c>
      <c r="K14" s="2199" t="s">
        <v>2463</v>
      </c>
      <c r="L14" s="2199" t="s">
        <v>2464</v>
      </c>
      <c r="M14" s="2199" t="s">
        <v>2465</v>
      </c>
      <c r="N14" s="2479" t="s">
        <v>2466</v>
      </c>
      <c r="O14" s="2479" t="s">
        <v>2467</v>
      </c>
      <c r="P14" s="2479" t="s">
        <v>2468</v>
      </c>
      <c r="Q14" s="2479" t="s">
        <v>2469</v>
      </c>
      <c r="R14" s="3493" t="s">
        <v>2470</v>
      </c>
      <c r="S14" s="4322"/>
    </row>
    <row r="15" spans="1:19">
      <c r="A15" s="3515" t="s">
        <v>2395</v>
      </c>
      <c r="B15" s="3519">
        <f>ROUND(B14*F12/F11,2)</f>
        <v>4339.6899999999996</v>
      </c>
      <c r="C15" s="3511">
        <f>ROUND(F12/F11,4)</f>
        <v>0.8679</v>
      </c>
      <c r="D15" s="2190"/>
      <c r="E15" s="2190"/>
      <c r="F15" s="2191"/>
      <c r="I15" s="2198" t="s">
        <v>2459</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322"/>
    </row>
    <row r="16" spans="1:19">
      <c r="A16" s="2192" t="s">
        <v>2396</v>
      </c>
      <c r="B16" s="2599"/>
      <c r="C16" s="2599"/>
      <c r="D16" s="2190"/>
      <c r="E16" s="2190"/>
      <c r="F16" s="2191"/>
      <c r="I16" s="2198" t="s">
        <v>2460</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322"/>
    </row>
    <row r="17" spans="1:19" ht="14.25" thickBot="1">
      <c r="A17" s="3515" t="s">
        <v>2395</v>
      </c>
      <c r="B17" s="3517">
        <v>4810</v>
      </c>
      <c r="C17" s="3518"/>
      <c r="D17" s="2190"/>
      <c r="E17" s="2190"/>
      <c r="F17" s="2191"/>
      <c r="I17" s="3494" t="s">
        <v>2461</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323"/>
    </row>
    <row r="18" spans="1:19" ht="14.25" thickBot="1">
      <c r="A18" s="3520" t="s">
        <v>2394</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2397</v>
      </c>
      <c r="B20" s="2352"/>
      <c r="C20" s="2352"/>
      <c r="D20" s="2352"/>
      <c r="E20" s="2352"/>
      <c r="F20" s="2352"/>
      <c r="G20" s="3505"/>
      <c r="I20" s="2219" t="s">
        <v>2442</v>
      </c>
      <c r="J20" s="2219" t="s">
        <v>2447</v>
      </c>
    </row>
    <row r="21" spans="1:19">
      <c r="A21" s="2198"/>
      <c r="B21" s="2199" t="s">
        <v>2398</v>
      </c>
      <c r="C21" s="2199" t="s">
        <v>2399</v>
      </c>
      <c r="D21" s="2199" t="s">
        <v>2400</v>
      </c>
      <c r="E21" s="2199" t="s">
        <v>2401</v>
      </c>
      <c r="F21" s="2199" t="s">
        <v>2402</v>
      </c>
      <c r="G21" s="2200" t="s">
        <v>2403</v>
      </c>
      <c r="I21" s="2601">
        <v>5</v>
      </c>
      <c r="J21" s="2600">
        <v>54.2</v>
      </c>
      <c r="K21" s="2600"/>
    </row>
    <row r="22" spans="1:19">
      <c r="A22" s="2198" t="s">
        <v>2404</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2405</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2445</v>
      </c>
      <c r="N23" s="2486" t="s">
        <v>2446</v>
      </c>
    </row>
    <row r="24" spans="1:19">
      <c r="A24" s="2198" t="s">
        <v>2406</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2444</v>
      </c>
      <c r="N24" s="2602">
        <v>10</v>
      </c>
    </row>
    <row r="25" spans="1:19">
      <c r="A25" s="2198" t="s">
        <v>2407</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2448</v>
      </c>
      <c r="N25" s="2602">
        <v>8</v>
      </c>
    </row>
    <row r="26" spans="1:19">
      <c r="A26" s="2201"/>
      <c r="B26" s="2202"/>
      <c r="C26" s="2202"/>
      <c r="D26" s="2202"/>
      <c r="E26" s="2202"/>
      <c r="F26" s="2202"/>
      <c r="G26" s="2203"/>
      <c r="I26" s="2601">
        <v>30</v>
      </c>
      <c r="J26" s="2600">
        <v>90.5</v>
      </c>
      <c r="K26" s="2600">
        <f t="shared" si="7"/>
        <v>4.2000000000000028</v>
      </c>
      <c r="L26" s="2219" t="s">
        <v>2449</v>
      </c>
      <c r="N26" s="2602">
        <v>5</v>
      </c>
    </row>
    <row r="27" spans="1:19">
      <c r="A27" s="2201" t="s">
        <v>2408</v>
      </c>
      <c r="B27" s="2202"/>
      <c r="C27" s="2202"/>
      <c r="D27" s="2202"/>
      <c r="E27" s="2202"/>
      <c r="F27" s="2202"/>
      <c r="G27" s="2203"/>
      <c r="I27" s="2601">
        <v>35</v>
      </c>
      <c r="J27" s="2600">
        <v>93.8</v>
      </c>
      <c r="K27" s="2600">
        <f t="shared" si="7"/>
        <v>3.2999999999999972</v>
      </c>
      <c r="L27" s="2219" t="s">
        <v>2450</v>
      </c>
      <c r="N27" s="2602">
        <v>3</v>
      </c>
    </row>
    <row r="28" spans="1:19">
      <c r="A28" s="2201" t="s">
        <v>2409</v>
      </c>
      <c r="B28" s="2202"/>
      <c r="C28" s="2202"/>
      <c r="D28" s="2202"/>
      <c r="E28" s="2202"/>
      <c r="F28" s="2202"/>
      <c r="G28" s="2203"/>
      <c r="I28" s="2601">
        <v>40</v>
      </c>
      <c r="J28" s="2600">
        <v>96.4</v>
      </c>
      <c r="K28" s="2600">
        <f t="shared" si="7"/>
        <v>2.6000000000000085</v>
      </c>
      <c r="L28" s="2219" t="s">
        <v>2451</v>
      </c>
      <c r="N28" s="2602">
        <v>2</v>
      </c>
    </row>
    <row r="29" spans="1:19">
      <c r="A29" s="2201" t="s">
        <v>2410</v>
      </c>
      <c r="B29" s="2202"/>
      <c r="C29" s="2202"/>
      <c r="D29" s="2202"/>
      <c r="E29" s="2202"/>
      <c r="F29" s="2202"/>
      <c r="G29" s="2203"/>
      <c r="I29" s="2601">
        <v>45</v>
      </c>
      <c r="J29" s="2600">
        <v>98.4</v>
      </c>
      <c r="K29" s="2600">
        <f t="shared" si="7"/>
        <v>2</v>
      </c>
    </row>
    <row r="30" spans="1:19">
      <c r="A30" s="2201" t="s">
        <v>2411</v>
      </c>
      <c r="B30" s="2202"/>
      <c r="C30" s="2202"/>
      <c r="D30" s="2202"/>
      <c r="E30" s="2202"/>
      <c r="F30" s="2202"/>
      <c r="G30" s="2203"/>
      <c r="I30" s="2601">
        <v>50</v>
      </c>
      <c r="J30" s="2600">
        <v>100</v>
      </c>
      <c r="K30" s="2600">
        <f t="shared" si="7"/>
        <v>1.5999999999999943</v>
      </c>
    </row>
    <row r="31" spans="1:19">
      <c r="A31" s="2201" t="s">
        <v>2412</v>
      </c>
      <c r="B31" s="2202"/>
      <c r="C31" s="2202"/>
      <c r="D31" s="2202"/>
      <c r="E31" s="2202"/>
      <c r="F31" s="2202"/>
      <c r="G31" s="2203"/>
      <c r="I31" s="2219" t="s">
        <v>2443</v>
      </c>
    </row>
    <row r="32" spans="1:19">
      <c r="A32" s="2201" t="s">
        <v>2413</v>
      </c>
      <c r="B32" s="2202"/>
      <c r="C32" s="2202"/>
      <c r="D32" s="2202"/>
      <c r="E32" s="2202"/>
      <c r="F32" s="2202"/>
      <c r="G32" s="2203"/>
    </row>
    <row r="33" spans="1:15">
      <c r="A33" s="2201" t="s">
        <v>2414</v>
      </c>
      <c r="B33" s="2202"/>
      <c r="C33" s="2202"/>
      <c r="D33" s="2202"/>
      <c r="E33" s="2202"/>
      <c r="F33" s="2202"/>
      <c r="G33" s="2203"/>
      <c r="I33" s="2219" t="s">
        <v>2442</v>
      </c>
      <c r="J33" s="2219" t="s">
        <v>2452</v>
      </c>
    </row>
    <row r="34" spans="1:15">
      <c r="A34" s="2201" t="s">
        <v>2415</v>
      </c>
      <c r="B34" s="2202"/>
      <c r="C34" s="2202"/>
      <c r="D34" s="2202"/>
      <c r="E34" s="2202"/>
      <c r="F34" s="2202"/>
      <c r="G34" s="2203"/>
      <c r="I34" s="2601">
        <v>5</v>
      </c>
      <c r="J34" s="2600">
        <v>55.1</v>
      </c>
      <c r="K34" s="2600"/>
    </row>
    <row r="35" spans="1:15">
      <c r="A35" s="2201" t="s">
        <v>2416</v>
      </c>
      <c r="B35" s="2202"/>
      <c r="C35" s="2202"/>
      <c r="D35" s="2202"/>
      <c r="E35" s="2202"/>
      <c r="F35" s="2202"/>
      <c r="G35" s="2203"/>
      <c r="I35" s="2601">
        <v>10</v>
      </c>
      <c r="J35" s="2600">
        <v>67</v>
      </c>
      <c r="K35" s="2600">
        <f>J35-J34</f>
        <v>11.899999999999999</v>
      </c>
    </row>
    <row r="36" spans="1:15">
      <c r="A36" s="2201" t="s">
        <v>2417</v>
      </c>
      <c r="B36" s="2202"/>
      <c r="C36" s="2202"/>
      <c r="D36" s="2202"/>
      <c r="E36" s="2202"/>
      <c r="F36" s="2202"/>
      <c r="G36" s="2203"/>
      <c r="I36" s="2601">
        <v>15</v>
      </c>
      <c r="J36" s="2600">
        <v>76.3</v>
      </c>
      <c r="K36" s="2600">
        <f t="shared" ref="K36:K41" si="8">J36-J35</f>
        <v>9.2999999999999972</v>
      </c>
      <c r="L36" s="2219" t="s">
        <v>2445</v>
      </c>
      <c r="N36" s="2486" t="s">
        <v>2446</v>
      </c>
    </row>
    <row r="37" spans="1:15">
      <c r="A37" s="2201" t="s">
        <v>2418</v>
      </c>
      <c r="B37" s="2202"/>
      <c r="C37" s="2202"/>
      <c r="D37" s="2202"/>
      <c r="E37" s="2202"/>
      <c r="F37" s="2202"/>
      <c r="G37" s="2203"/>
      <c r="I37" s="2601">
        <v>20</v>
      </c>
      <c r="J37" s="2600">
        <v>83.6</v>
      </c>
      <c r="K37" s="2600">
        <f t="shared" si="8"/>
        <v>7.2999999999999972</v>
      </c>
      <c r="L37" s="2219" t="s">
        <v>2444</v>
      </c>
      <c r="N37" s="2602">
        <v>10</v>
      </c>
    </row>
    <row r="38" spans="1:15">
      <c r="A38" s="2201" t="s">
        <v>2419</v>
      </c>
      <c r="B38" s="2202"/>
      <c r="C38" s="2202"/>
      <c r="D38" s="2202"/>
      <c r="E38" s="2202"/>
      <c r="F38" s="2202"/>
      <c r="G38" s="2203"/>
      <c r="I38" s="2601">
        <v>25</v>
      </c>
      <c r="J38" s="2600">
        <v>89.3</v>
      </c>
      <c r="K38" s="2600">
        <f t="shared" si="8"/>
        <v>5.7000000000000028</v>
      </c>
      <c r="L38" s="2219" t="s">
        <v>2448</v>
      </c>
      <c r="N38" s="2602">
        <v>8</v>
      </c>
    </row>
    <row r="39" spans="1:15">
      <c r="A39" s="2201"/>
      <c r="B39" s="2202"/>
      <c r="C39" s="2202"/>
      <c r="D39" s="2202"/>
      <c r="E39" s="2202"/>
      <c r="F39" s="2202"/>
      <c r="G39" s="2203"/>
      <c r="I39" s="2601">
        <v>30</v>
      </c>
      <c r="J39" s="2600">
        <v>93.8</v>
      </c>
      <c r="K39" s="2600">
        <f t="shared" si="8"/>
        <v>4.5</v>
      </c>
      <c r="L39" s="2219" t="s">
        <v>2449</v>
      </c>
      <c r="N39" s="2602">
        <v>6</v>
      </c>
    </row>
    <row r="40" spans="1:15">
      <c r="A40" s="2204" t="s">
        <v>2420</v>
      </c>
      <c r="B40" s="2205"/>
      <c r="C40" s="2205"/>
      <c r="D40" s="2205"/>
      <c r="E40" s="2205"/>
      <c r="F40" s="2205"/>
      <c r="G40" s="2206"/>
      <c r="I40" s="2601">
        <v>35</v>
      </c>
      <c r="J40" s="2600">
        <v>97.2</v>
      </c>
      <c r="K40" s="2600">
        <f t="shared" si="8"/>
        <v>3.4000000000000057</v>
      </c>
      <c r="L40" s="2219" t="s">
        <v>2450</v>
      </c>
      <c r="N40" s="2602">
        <v>3</v>
      </c>
    </row>
    <row r="41" spans="1:15">
      <c r="A41" s="2207" t="s">
        <v>2421</v>
      </c>
      <c r="B41" s="2208" t="s">
        <v>2422</v>
      </c>
      <c r="C41" s="2209" t="s">
        <v>2423</v>
      </c>
      <c r="D41" s="2209" t="s">
        <v>2424</v>
      </c>
      <c r="E41" s="2210"/>
      <c r="F41" s="2211"/>
      <c r="G41" s="2212"/>
      <c r="I41" s="2601">
        <v>40</v>
      </c>
      <c r="J41" s="2600">
        <v>100</v>
      </c>
      <c r="K41" s="2600">
        <f t="shared" si="8"/>
        <v>2.7999999999999972</v>
      </c>
    </row>
    <row r="42" spans="1:15">
      <c r="A42" s="2207" t="s">
        <v>2425</v>
      </c>
      <c r="B42" s="2208" t="s">
        <v>2426</v>
      </c>
      <c r="C42" s="2209" t="s">
        <v>2427</v>
      </c>
      <c r="D42" s="2213" t="s">
        <v>2428</v>
      </c>
      <c r="E42" s="2205" t="s">
        <v>2429</v>
      </c>
      <c r="F42" s="2205"/>
      <c r="G42" s="2206"/>
    </row>
    <row r="43" spans="1:15">
      <c r="A43" s="2207" t="s">
        <v>2430</v>
      </c>
      <c r="B43" s="2208" t="s">
        <v>2431</v>
      </c>
      <c r="C43" s="2209" t="s">
        <v>2432</v>
      </c>
      <c r="D43" s="2209" t="s">
        <v>2433</v>
      </c>
      <c r="E43" s="2210" t="s">
        <v>2434</v>
      </c>
      <c r="F43" s="2211"/>
      <c r="G43" s="2212"/>
      <c r="I43" s="2219" t="s">
        <v>2442</v>
      </c>
      <c r="J43" s="2219" t="s">
        <v>2453</v>
      </c>
    </row>
    <row r="44" spans="1:15">
      <c r="A44" s="2207" t="s">
        <v>2435</v>
      </c>
      <c r="B44" s="2208" t="s">
        <v>2436</v>
      </c>
      <c r="C44" s="2209" t="s">
        <v>2437</v>
      </c>
      <c r="D44" s="2213">
        <v>0.5</v>
      </c>
      <c r="E44" s="2210" t="s">
        <v>2438</v>
      </c>
      <c r="F44" s="2211"/>
      <c r="G44" s="2212"/>
      <c r="I44" s="2601">
        <v>30</v>
      </c>
      <c r="J44" s="2600">
        <v>81.7</v>
      </c>
      <c r="K44" s="2600"/>
    </row>
    <row r="45" spans="1:15" ht="14.25" thickBot="1">
      <c r="A45" s="2214" t="s">
        <v>2439</v>
      </c>
      <c r="B45" s="2215" t="s">
        <v>2426</v>
      </c>
      <c r="C45" s="2216" t="s">
        <v>2426</v>
      </c>
      <c r="D45" s="2216" t="s">
        <v>2440</v>
      </c>
      <c r="E45" s="2217" t="s">
        <v>2441</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3338</v>
      </c>
      <c r="B49" s="3969"/>
      <c r="C49" s="3969"/>
      <c r="D49" s="3969"/>
      <c r="E49" s="3969"/>
      <c r="I49" s="4319" t="s">
        <v>3969</v>
      </c>
      <c r="J49" s="4319"/>
      <c r="K49" s="4319"/>
      <c r="L49" s="4319"/>
      <c r="M49" s="4319"/>
      <c r="N49" s="2196"/>
      <c r="O49" s="2196"/>
    </row>
    <row r="50" spans="1:16" ht="14.25">
      <c r="A50" s="2612" t="s">
        <v>3339</v>
      </c>
      <c r="B50" s="2615" t="s">
        <v>3340</v>
      </c>
      <c r="C50" s="2618" t="s">
        <v>3341</v>
      </c>
      <c r="D50" s="2619" t="s">
        <v>3349</v>
      </c>
      <c r="E50" s="2620" t="s">
        <v>3348</v>
      </c>
      <c r="F50" s="2621" t="s">
        <v>3355</v>
      </c>
      <c r="I50" s="4094" t="s">
        <v>3350</v>
      </c>
      <c r="J50" s="4095" t="s">
        <v>3351</v>
      </c>
      <c r="K50" s="4095" t="s">
        <v>3352</v>
      </c>
      <c r="L50" s="4095" t="s">
        <v>3353</v>
      </c>
      <c r="M50" s="4096" t="s">
        <v>3354</v>
      </c>
      <c r="N50" s="4102" t="s">
        <v>3965</v>
      </c>
      <c r="O50" s="4096" t="s">
        <v>3966</v>
      </c>
    </row>
    <row r="51" spans="1:16" ht="15">
      <c r="A51" s="1882" t="s">
        <v>3814</v>
      </c>
      <c r="B51" s="2616">
        <f>B52+B53</f>
        <v>9993</v>
      </c>
      <c r="C51" s="2616">
        <f>E51/B51</f>
        <v>3673.221254878415</v>
      </c>
      <c r="D51" s="2625"/>
      <c r="E51" s="2628">
        <f>E52+E53</f>
        <v>36706500</v>
      </c>
      <c r="F51" s="3933">
        <f>E51/$E$62</f>
        <v>0.45145729385019301</v>
      </c>
      <c r="I51" s="2198"/>
      <c r="J51" s="2199"/>
      <c r="K51" s="2199"/>
      <c r="L51" s="2199"/>
      <c r="M51" s="2200"/>
      <c r="N51" s="4103"/>
      <c r="O51" s="4104"/>
    </row>
    <row r="52" spans="1:16" ht="14.25">
      <c r="A52" s="2613" t="s">
        <v>3342</v>
      </c>
      <c r="B52" s="2605">
        <v>5508</v>
      </c>
      <c r="C52" s="2624"/>
      <c r="D52" s="2607">
        <v>3000</v>
      </c>
      <c r="E52" s="2627">
        <f>D52*B52</f>
        <v>16524000</v>
      </c>
      <c r="F52" s="2622"/>
      <c r="G52" s="2604" t="s">
        <v>3815</v>
      </c>
      <c r="H52" s="2604"/>
      <c r="I52" s="4097">
        <f>E52</f>
        <v>16524000</v>
      </c>
      <c r="J52" s="2610">
        <f>E55</f>
        <v>9914400</v>
      </c>
      <c r="K52" s="2610">
        <f>E58</f>
        <v>24786000</v>
      </c>
      <c r="L52" s="2610">
        <f>E60*B52/B51</f>
        <v>1735020.0000000005</v>
      </c>
      <c r="M52" s="4098">
        <f>E61*B52/B51</f>
        <v>878727.40330231166</v>
      </c>
      <c r="N52" s="4105">
        <f>SUM(I52:M52)</f>
        <v>53838147.403302312</v>
      </c>
      <c r="O52" s="4098">
        <f>N52/B52</f>
        <v>9774.5365655959176</v>
      </c>
      <c r="P52" s="3938" t="s">
        <v>3967</v>
      </c>
    </row>
    <row r="53" spans="1:16" ht="15" thickBot="1">
      <c r="A53" s="2613" t="s">
        <v>3343</v>
      </c>
      <c r="B53" s="2605">
        <v>4485</v>
      </c>
      <c r="C53" s="2624"/>
      <c r="D53" s="2607">
        <v>4500</v>
      </c>
      <c r="E53" s="2627">
        <f>D53*B53</f>
        <v>20182500</v>
      </c>
      <c r="F53" s="2622"/>
      <c r="G53" s="2604" t="s">
        <v>3816</v>
      </c>
      <c r="H53" s="2604"/>
      <c r="I53" s="4099">
        <f>E53</f>
        <v>20182500</v>
      </c>
      <c r="J53" s="4100">
        <f>E56</f>
        <v>2915250</v>
      </c>
      <c r="K53" s="4100">
        <f>E59</f>
        <v>2242500</v>
      </c>
      <c r="L53" s="4100">
        <f>E60-L52</f>
        <v>1412775</v>
      </c>
      <c r="M53" s="4101">
        <f>E61-M52</f>
        <v>715521.49669768848</v>
      </c>
      <c r="N53" s="4106">
        <f>SUM(I53:M53)</f>
        <v>27468546.496697687</v>
      </c>
      <c r="O53" s="4101">
        <f>N53/B53</f>
        <v>6124.5365655959167</v>
      </c>
      <c r="P53" s="3938" t="s">
        <v>3968</v>
      </c>
    </row>
    <row r="54" spans="1:16" ht="15">
      <c r="A54" s="1882" t="s">
        <v>3344</v>
      </c>
      <c r="B54" s="2616">
        <f>B51</f>
        <v>9993</v>
      </c>
      <c r="C54" s="2616">
        <f>E54/B54</f>
        <v>1283.8637045932153</v>
      </c>
      <c r="D54" s="3934"/>
      <c r="E54" s="2628">
        <f>E55+E56</f>
        <v>12829650</v>
      </c>
      <c r="F54" s="3933">
        <f>E54/$E$62</f>
        <v>0.15779328102775064</v>
      </c>
      <c r="G54" s="2604"/>
      <c r="H54" s="2604"/>
    </row>
    <row r="55" spans="1:16" ht="15">
      <c r="A55" s="2613" t="s">
        <v>3812</v>
      </c>
      <c r="B55" s="3932">
        <f>B52</f>
        <v>5508</v>
      </c>
      <c r="C55" s="2616"/>
      <c r="D55" s="3935">
        <v>1800</v>
      </c>
      <c r="E55" s="2627">
        <f>D55*B55</f>
        <v>9914400</v>
      </c>
      <c r="F55" s="2622"/>
      <c r="G55" s="2604" t="s">
        <v>3817</v>
      </c>
      <c r="H55" s="2604"/>
    </row>
    <row r="56" spans="1:16" ht="15">
      <c r="A56" s="2613" t="s">
        <v>3813</v>
      </c>
      <c r="B56" s="3932">
        <f>B53</f>
        <v>4485</v>
      </c>
      <c r="C56" s="2616"/>
      <c r="D56" s="3935">
        <v>650</v>
      </c>
      <c r="E56" s="2627">
        <f>D56*B56</f>
        <v>2915250</v>
      </c>
      <c r="F56" s="2622"/>
      <c r="G56" s="2604" t="s">
        <v>3818</v>
      </c>
      <c r="H56" s="2604"/>
    </row>
    <row r="57" spans="1:16" ht="15">
      <c r="A57" s="3931" t="s">
        <v>3811</v>
      </c>
      <c r="B57" s="2616">
        <f>B51</f>
        <v>9993</v>
      </c>
      <c r="C57" s="2616">
        <f>E57/B57</f>
        <v>2704.7433203242272</v>
      </c>
      <c r="D57" s="3934"/>
      <c r="E57" s="2628">
        <f>E58+E59</f>
        <v>27028500</v>
      </c>
      <c r="F57" s="2622">
        <f>E57/$E$62</f>
        <v>0.33242650393881035</v>
      </c>
      <c r="G57" s="2604"/>
      <c r="H57" s="2604"/>
      <c r="I57" s="4320" t="s">
        <v>3356</v>
      </c>
      <c r="J57" s="4320"/>
      <c r="K57" s="4320"/>
      <c r="L57" s="4320"/>
      <c r="M57" s="4320"/>
      <c r="N57" s="2190"/>
    </row>
    <row r="58" spans="1:16" ht="14.25">
      <c r="A58" s="2613" t="s">
        <v>3812</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3813</v>
      </c>
      <c r="B59" s="3932">
        <f>B53</f>
        <v>4485</v>
      </c>
      <c r="C59" s="2605">
        <v>500</v>
      </c>
      <c r="D59" s="3950"/>
      <c r="E59" s="2627">
        <f>C59*B59</f>
        <v>2242500</v>
      </c>
      <c r="F59" s="2622"/>
      <c r="G59" s="2604" t="s">
        <v>3827</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3346</v>
      </c>
      <c r="B60" s="2606">
        <f>B51*0.07</f>
        <v>699.5100000000001</v>
      </c>
      <c r="C60" s="2616">
        <f>E60/B51</f>
        <v>315.00000000000006</v>
      </c>
      <c r="D60" s="3937">
        <f>D53</f>
        <v>4500</v>
      </c>
      <c r="E60" s="2628">
        <f>D60*B60</f>
        <v>3147795.0000000005</v>
      </c>
      <c r="F60" s="2622">
        <f>E60/$E$62</f>
        <v>3.8715078045990996E-2</v>
      </c>
      <c r="G60" s="3951">
        <f>B60/(B62+B60)</f>
        <v>6.5420560747663559E-2</v>
      </c>
      <c r="H60" s="3938" t="s">
        <v>3828</v>
      </c>
    </row>
    <row r="61" spans="1:16" ht="15">
      <c r="A61" s="1882" t="s">
        <v>3345</v>
      </c>
      <c r="B61" s="3936">
        <f>B51</f>
        <v>9993</v>
      </c>
      <c r="C61" s="2616">
        <f>E61/B61</f>
        <v>159.53656559591715</v>
      </c>
      <c r="D61" s="2608">
        <v>0.02</v>
      </c>
      <c r="E61" s="2628">
        <f>(E51+E54+E57+E60)*D61</f>
        <v>1594248.9000000001</v>
      </c>
      <c r="F61" s="2622">
        <f>E61/$E$62</f>
        <v>1.9607843137254902E-2</v>
      </c>
      <c r="G61" s="2604" t="s">
        <v>3819</v>
      </c>
    </row>
    <row r="62" spans="1:16" ht="15.75" thickBot="1">
      <c r="A62" s="2614" t="s">
        <v>3347</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3820</v>
      </c>
      <c r="B66" s="3943"/>
      <c r="C66" s="3943"/>
      <c r="D66" s="3944"/>
    </row>
    <row r="67" spans="1:4">
      <c r="A67" s="3945" t="s">
        <v>3823</v>
      </c>
      <c r="B67" s="3941"/>
      <c r="C67" s="3941"/>
      <c r="D67" s="3948" t="s">
        <v>3825</v>
      </c>
    </row>
    <row r="68" spans="1:4">
      <c r="A68" s="3945" t="s">
        <v>3824</v>
      </c>
      <c r="B68" s="3941"/>
      <c r="C68" s="3941"/>
      <c r="D68" s="3948" t="s">
        <v>3826</v>
      </c>
    </row>
    <row r="69" spans="1:4" ht="14.25" thickBot="1">
      <c r="A69" s="3946" t="s">
        <v>3821</v>
      </c>
      <c r="B69" s="3947"/>
      <c r="C69" s="3947"/>
      <c r="D69" s="3949" t="s">
        <v>3822</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18" sqref="M18"/>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24" t="str">
        <f>IF(B10="北京市","北京市",C10)&amp;F10&amp;IF(结果表!G1="在建","出让国有建设用地使用权及在建建筑物",IF(结果表!G1="土地","出让国有建设用地使用权",))&amp;B9&amp;"预评估"</f>
        <v>北京市房地产抵押价值预评估</v>
      </c>
      <c r="C1" s="4325"/>
      <c r="D1" s="4325"/>
      <c r="E1" s="4325"/>
      <c r="F1" s="4325"/>
      <c r="G1" s="4325"/>
      <c r="H1" s="4325"/>
      <c r="I1" s="4326"/>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2071</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2072</v>
      </c>
      <c r="B3" s="1730">
        <v>46105</v>
      </c>
      <c r="C3" s="1731" t="s">
        <v>2073</v>
      </c>
      <c r="D3" s="1730">
        <v>46105</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2077</v>
      </c>
      <c r="B7" s="1743"/>
      <c r="C7" s="1741"/>
      <c r="D7" s="1742"/>
      <c r="E7" s="1930"/>
      <c r="F7" s="1931"/>
      <c r="G7" s="1931"/>
      <c r="H7" s="1931"/>
      <c r="I7" s="1931"/>
      <c r="J7" s="1785"/>
      <c r="K7" s="1892"/>
      <c r="L7" s="1889"/>
      <c r="M7" s="1889"/>
      <c r="N7" s="1785"/>
      <c r="O7" s="1296"/>
      <c r="P7" s="1785"/>
      <c r="Q7" s="1785"/>
      <c r="R7" s="1785"/>
    </row>
    <row r="8" spans="1:30">
      <c r="A8" s="1744" t="s">
        <v>2078</v>
      </c>
      <c r="B8" s="1745" t="s">
        <v>4057</v>
      </c>
      <c r="C8" s="1746"/>
      <c r="D8" s="4327" t="s">
        <v>2079</v>
      </c>
      <c r="E8" s="1747" t="s">
        <v>4058</v>
      </c>
      <c r="F8" s="1748"/>
      <c r="G8" s="1931"/>
      <c r="H8" s="1931"/>
      <c r="I8" s="1931"/>
      <c r="J8" s="1785"/>
      <c r="K8" s="1890"/>
      <c r="L8" s="1889"/>
      <c r="M8" s="1889"/>
      <c r="N8" s="1785"/>
      <c r="O8" s="1296"/>
      <c r="P8" s="1785"/>
      <c r="Q8" s="1785"/>
      <c r="R8" s="1785"/>
    </row>
    <row r="9" spans="1:30" ht="13.5" thickBot="1">
      <c r="A9" s="1749" t="s">
        <v>2080</v>
      </c>
      <c r="B9" s="1750" t="s">
        <v>4058</v>
      </c>
      <c r="C9" s="1751"/>
      <c r="D9" s="4328"/>
      <c r="E9" s="1750" t="s">
        <v>41</v>
      </c>
      <c r="F9" s="1752"/>
      <c r="G9" s="1932"/>
      <c r="H9" s="1932"/>
      <c r="I9" s="1932"/>
      <c r="J9" s="1785"/>
      <c r="K9" s="1892"/>
      <c r="L9" s="1889"/>
      <c r="M9" s="1889"/>
      <c r="N9" s="1785"/>
      <c r="O9" s="1296"/>
      <c r="P9" s="1785"/>
      <c r="Q9" s="1785"/>
      <c r="R9" s="1785"/>
    </row>
    <row r="10" spans="1:30" ht="13.5" thickTop="1">
      <c r="A10" s="1753" t="s">
        <v>2081</v>
      </c>
      <c r="B10" s="3410" t="s">
        <v>4059</v>
      </c>
      <c r="C10" s="1754"/>
      <c r="D10" s="1738"/>
      <c r="E10" s="1755" t="s">
        <v>2082</v>
      </c>
      <c r="F10" s="1933"/>
      <c r="G10" s="1934"/>
      <c r="H10" s="1935"/>
      <c r="I10" s="1936"/>
      <c r="J10" s="1785"/>
      <c r="K10" s="1892"/>
      <c r="L10" s="1889"/>
      <c r="M10" s="1889"/>
      <c r="N10" s="1785"/>
      <c r="O10" s="1296"/>
      <c r="P10" s="1785"/>
      <c r="Q10" s="1785"/>
      <c r="R10" s="1785"/>
    </row>
    <row r="11" spans="1:30">
      <c r="A11" s="1756" t="s">
        <v>2083</v>
      </c>
      <c r="B11" s="2469" t="s">
        <v>4060</v>
      </c>
      <c r="C11" s="1757"/>
      <c r="D11" s="1758"/>
      <c r="E11" s="1727"/>
      <c r="F11" s="1727"/>
      <c r="G11" s="1727"/>
      <c r="H11" s="1727"/>
      <c r="I11" s="1727"/>
      <c r="J11" s="2221"/>
      <c r="K11" s="1889"/>
      <c r="L11" s="1889"/>
      <c r="M11" s="1889"/>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20" t="s">
        <v>2454</v>
      </c>
      <c r="J12" s="2222"/>
      <c r="K12" s="1889"/>
      <c r="L12" s="1889"/>
      <c r="M12" s="1785"/>
      <c r="N12" s="1296"/>
      <c r="O12" s="1785"/>
      <c r="P12" s="1785"/>
      <c r="Q12" s="1785"/>
      <c r="AD12" s="1249"/>
    </row>
    <row r="13" spans="1:30">
      <c r="A13" s="2469" t="s">
        <v>3208</v>
      </c>
      <c r="B13" s="1761" t="s">
        <v>2092</v>
      </c>
      <c r="C13" s="546">
        <v>69525</v>
      </c>
      <c r="D13" s="546">
        <v>58568</v>
      </c>
      <c r="E13" s="546"/>
      <c r="F13" s="546">
        <v>62220</v>
      </c>
      <c r="G13" s="546"/>
      <c r="H13" s="546"/>
      <c r="I13" s="546"/>
      <c r="J13" s="2222"/>
      <c r="K13" s="1889"/>
      <c r="L13" s="1889"/>
      <c r="M13" s="1785"/>
      <c r="N13" s="1296"/>
      <c r="O13" s="1785"/>
      <c r="P13" s="1785"/>
      <c r="Q13" s="1785"/>
      <c r="AD13" s="1249"/>
    </row>
    <row r="14" spans="1:30">
      <c r="A14" s="718"/>
      <c r="B14" s="1761" t="s">
        <v>2093</v>
      </c>
      <c r="C14" s="1762">
        <v>70</v>
      </c>
      <c r="D14" s="1762">
        <v>40</v>
      </c>
      <c r="E14" s="1762"/>
      <c r="F14" s="1762">
        <v>50</v>
      </c>
      <c r="G14" s="1762"/>
      <c r="H14" s="1762"/>
      <c r="I14" s="1762"/>
      <c r="J14" s="2223"/>
      <c r="K14" s="1889"/>
      <c r="L14" s="1889"/>
      <c r="M14" s="1785"/>
      <c r="N14" s="1296"/>
      <c r="O14" s="1785"/>
      <c r="P14" s="1785"/>
      <c r="Q14" s="1785"/>
      <c r="AD14" s="1249"/>
    </row>
    <row r="15" spans="1:30">
      <c r="A15" s="203"/>
      <c r="B15" s="1763" t="s">
        <v>2094</v>
      </c>
      <c r="C15" s="6">
        <f>IF(A13="出让",IF(C13="","",ROUNDDOWN(MIN((C13-$D$3)/365,C14),2)),C14)</f>
        <v>64.16</v>
      </c>
      <c r="D15" s="6">
        <f>IF(A13="出让",IF(D13="","",ROUNDDOWN(MIN((D13-$D$3)/365,D14),2)),D14)</f>
        <v>34.14</v>
      </c>
      <c r="E15" s="6" t="str">
        <f>IF(A13="出让",IF(E13="","",ROUNDDOWN(MIN((E13-$D$3)/365,E14),2)),E14)</f>
        <v/>
      </c>
      <c r="F15" s="6">
        <f>IF(A13="出让",IF(F13="","",ROUNDDOWN(MIN((F13-$D$3)/365,F14),2)),F14)</f>
        <v>44.15</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2095</v>
      </c>
      <c r="B16" s="4334"/>
      <c r="C16" s="4335"/>
      <c r="D16" s="4336"/>
      <c r="E16" s="1764" t="s">
        <v>2096</v>
      </c>
      <c r="F16" s="4337"/>
      <c r="G16" s="4338"/>
      <c r="H16" s="4338"/>
      <c r="I16" s="4339"/>
      <c r="J16" s="1785"/>
      <c r="K16" s="1893"/>
      <c r="L16" s="1296"/>
      <c r="M16" s="1296"/>
      <c r="N16" s="1785"/>
      <c r="O16" s="1296"/>
      <c r="P16" s="1785"/>
      <c r="Q16" s="1785"/>
      <c r="R16" s="1785"/>
    </row>
    <row r="17" spans="1:28">
      <c r="A17" s="197" t="s">
        <v>2097</v>
      </c>
      <c r="B17" s="186" t="s">
        <v>2098</v>
      </c>
      <c r="C17" s="9">
        <f>'数据-汇总表'!E3</f>
        <v>153829</v>
      </c>
      <c r="D17" s="899" t="s">
        <v>2099</v>
      </c>
      <c r="E17" s="4340" t="s">
        <v>2100</v>
      </c>
      <c r="F17" s="4341"/>
      <c r="G17" s="4341"/>
      <c r="H17" s="4341"/>
      <c r="I17" s="4342"/>
      <c r="J17" s="1785"/>
      <c r="K17" s="1894"/>
      <c r="L17" s="1296"/>
      <c r="M17" s="1296"/>
      <c r="N17" s="1785"/>
      <c r="O17" s="1296"/>
      <c r="P17" s="1785"/>
      <c r="Q17" s="1785"/>
      <c r="R17" s="1785"/>
      <c r="S17" s="1785"/>
      <c r="T17" s="1785"/>
      <c r="U17" s="1785"/>
      <c r="V17" s="1785"/>
    </row>
    <row r="18" spans="1:28" ht="24.75" thickBot="1">
      <c r="A18" s="1765" t="s">
        <v>2101</v>
      </c>
      <c r="B18" s="727" t="s">
        <v>2102</v>
      </c>
      <c r="C18" s="2598">
        <f>'数据-汇总表'!D3</f>
        <v>21574</v>
      </c>
      <c r="D18" s="729" t="s">
        <v>2103</v>
      </c>
      <c r="E18" s="4343" t="s">
        <v>2104</v>
      </c>
      <c r="F18" s="4344"/>
      <c r="G18" s="4344"/>
      <c r="H18" s="4344"/>
      <c r="I18" s="4345"/>
      <c r="J18" s="1785"/>
      <c r="K18" s="1894"/>
      <c r="L18" s="1296"/>
      <c r="M18" s="1296"/>
      <c r="N18" s="1785"/>
      <c r="O18" s="1296"/>
      <c r="P18" s="1785"/>
      <c r="Q18" s="1785"/>
      <c r="R18" s="1785"/>
      <c r="S18" s="1785"/>
      <c r="T18" s="1785"/>
      <c r="U18" s="1785"/>
      <c r="V18" s="1785"/>
    </row>
    <row r="19" spans="1:28" ht="37.5" thickTop="1" thickBot="1">
      <c r="A19" s="210" t="s">
        <v>1037</v>
      </c>
      <c r="B19" s="191" t="s">
        <v>2105</v>
      </c>
      <c r="C19" s="1098"/>
      <c r="D19" s="1099" t="s">
        <v>2106</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2107</v>
      </c>
      <c r="B20" s="4330" t="s">
        <v>2108</v>
      </c>
      <c r="C20" s="4331"/>
      <c r="D20" s="4332" t="s">
        <v>2109</v>
      </c>
      <c r="E20" s="4333"/>
      <c r="F20" s="1920" t="s">
        <v>1038</v>
      </c>
      <c r="G20" s="1931"/>
      <c r="H20" s="1931"/>
      <c r="I20" s="1931"/>
      <c r="J20" s="1785"/>
      <c r="K20" s="4329"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2111</v>
      </c>
      <c r="C21" s="1836" t="s">
        <v>1039</v>
      </c>
      <c r="D21" s="1103" t="s">
        <v>2112</v>
      </c>
      <c r="E21" s="1909" t="s">
        <v>1039</v>
      </c>
      <c r="F21" s="1921"/>
      <c r="G21" s="1931"/>
      <c r="H21" s="1931"/>
      <c r="I21" s="1931"/>
      <c r="J21" s="1785"/>
      <c r="K21" s="432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2113</v>
      </c>
      <c r="C22" s="1836" t="s">
        <v>1040</v>
      </c>
      <c r="D22" s="1931"/>
      <c r="E22" s="1931"/>
      <c r="F22" s="1931"/>
      <c r="G22" s="1931"/>
      <c r="H22" s="1931"/>
      <c r="I22" s="1931"/>
      <c r="J22" s="1785"/>
      <c r="K22" s="432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2114</v>
      </c>
      <c r="B23" s="1833" t="s">
        <v>2115</v>
      </c>
      <c r="C23" s="1912"/>
      <c r="D23" s="1913" t="s">
        <v>2115</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1041</v>
      </c>
      <c r="C24" s="1811"/>
      <c r="D24" s="1911" t="s">
        <v>1041</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1042</v>
      </c>
      <c r="C25" s="1811"/>
      <c r="D25" s="1911" t="s">
        <v>1042</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1043</v>
      </c>
      <c r="C26" s="1918"/>
      <c r="D26" s="1916" t="s">
        <v>1043</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47" t="s">
        <v>2116</v>
      </c>
      <c r="B27" s="203" t="s">
        <v>2117</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47"/>
      <c r="B28" s="186" t="s">
        <v>2118</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47"/>
      <c r="B29" s="186" t="s">
        <v>2119</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48"/>
      <c r="B30" s="186" t="s">
        <v>2120</v>
      </c>
      <c r="C30" s="4349"/>
      <c r="D30" s="4350"/>
      <c r="E30" s="1931"/>
      <c r="F30" s="1931"/>
      <c r="G30" s="1931"/>
      <c r="H30" s="1931"/>
      <c r="I30" s="1931"/>
      <c r="J30" s="1785"/>
      <c r="K30" s="1892"/>
      <c r="L30" s="1889"/>
      <c r="M30" s="1889"/>
      <c r="N30" s="1785"/>
      <c r="O30" s="1296"/>
      <c r="P30" s="1785"/>
      <c r="Q30" s="1785"/>
      <c r="R30" s="1785"/>
      <c r="S30" s="1785"/>
      <c r="T30" s="1785"/>
      <c r="U30" s="1785"/>
      <c r="V30" s="1785"/>
    </row>
    <row r="31" spans="1:28">
      <c r="A31" s="4351" t="s">
        <v>2121</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52"/>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52"/>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2122</v>
      </c>
      <c r="B34" s="1465"/>
      <c r="C34" s="1465"/>
      <c r="D34" s="1465"/>
      <c r="E34" s="1465"/>
      <c r="F34" s="1465"/>
      <c r="G34" s="1465"/>
      <c r="H34" s="1465"/>
      <c r="I34" s="1931"/>
      <c r="J34" s="1785"/>
      <c r="K34" s="6">
        <f>COUNTIF(B34:H34,"——")</f>
        <v>0</v>
      </c>
      <c r="L34" s="206" t="s">
        <v>2123</v>
      </c>
      <c r="M34" s="206" t="s">
        <v>2124</v>
      </c>
      <c r="N34" s="206" t="s">
        <v>2125</v>
      </c>
      <c r="O34" s="206" t="s">
        <v>2126</v>
      </c>
      <c r="P34" s="206" t="s">
        <v>2127</v>
      </c>
      <c r="Q34" s="206" t="s">
        <v>2128</v>
      </c>
      <c r="R34" s="206" t="s">
        <v>2129</v>
      </c>
      <c r="S34" s="4346" t="s">
        <v>2130</v>
      </c>
      <c r="T34" s="206" t="str">
        <f>NUMBERSTRING(7-K34,1)&amp;"通"</f>
        <v>七通</v>
      </c>
      <c r="U34" s="1785"/>
      <c r="V34" s="1785"/>
    </row>
    <row r="35" spans="1:30">
      <c r="A35" s="1776"/>
      <c r="B35" s="4346" t="s">
        <v>2131</v>
      </c>
      <c r="C35" s="4346"/>
      <c r="D35" s="4346"/>
      <c r="E35" s="434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46"/>
      <c r="T35" s="55" t="str">
        <f>IF(T34="一通",L35,IF(T34="二通",M35,IF(T34="三通",N35,IF(T34="四通",O35,IF(T34="五通",P35,IF(T34="六通",Q35,R35))))))</f>
        <v>、、、、、、</v>
      </c>
      <c r="U35" s="1785"/>
      <c r="V35" s="1785"/>
    </row>
    <row r="36" spans="1:30">
      <c r="A36" s="1728"/>
      <c r="B36" s="6" t="s">
        <v>2087</v>
      </c>
      <c r="C36" s="6" t="s">
        <v>2088</v>
      </c>
      <c r="D36" s="6" t="s">
        <v>2086</v>
      </c>
      <c r="E36" s="6" t="s">
        <v>2091</v>
      </c>
      <c r="F36" s="2220" t="s">
        <v>2457</v>
      </c>
      <c r="G36" s="1931"/>
      <c r="H36" s="1931"/>
      <c r="I36" s="1931"/>
      <c r="J36" s="1785"/>
      <c r="K36" s="1892"/>
      <c r="L36" s="1889"/>
      <c r="M36" s="1889"/>
      <c r="N36" s="1785"/>
      <c r="O36" s="1296"/>
      <c r="P36" s="1785"/>
      <c r="Q36" s="1785"/>
      <c r="R36" s="1785"/>
      <c r="S36" s="1785"/>
      <c r="T36" s="1785"/>
      <c r="U36" s="1785"/>
      <c r="V36" s="1785"/>
    </row>
    <row r="37" spans="1:30">
      <c r="A37" s="1905" t="s">
        <v>2132</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2133</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2134</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2136</v>
      </c>
      <c r="B42" s="6" t="s">
        <v>2137</v>
      </c>
      <c r="C42" s="6" t="s">
        <v>2138</v>
      </c>
      <c r="D42" s="6" t="s">
        <v>2139</v>
      </c>
      <c r="E42" s="6" t="s">
        <v>2140</v>
      </c>
      <c r="F42" s="6" t="s">
        <v>2141</v>
      </c>
      <c r="G42" s="6" t="s">
        <v>2142</v>
      </c>
      <c r="H42" s="6" t="s">
        <v>2143</v>
      </c>
      <c r="I42" s="6" t="s">
        <v>2144</v>
      </c>
      <c r="J42" s="1901" t="s">
        <v>2145</v>
      </c>
      <c r="K42" s="1902" t="s">
        <v>2146</v>
      </c>
      <c r="L42" s="1902" t="s">
        <v>2147</v>
      </c>
      <c r="M42" s="1902" t="s">
        <v>2148</v>
      </c>
      <c r="N42" s="1895" t="s">
        <v>2149</v>
      </c>
      <c r="O42" s="1895" t="s">
        <v>2150</v>
      </c>
      <c r="P42" s="1895" t="s">
        <v>2151</v>
      </c>
      <c r="Q42" s="1896" t="s">
        <v>2152</v>
      </c>
      <c r="R42" s="1896"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F32" sqref="AF32"/>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1044</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1045</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1046</v>
      </c>
      <c r="B2" s="6" t="s">
        <v>1047</v>
      </c>
      <c r="C2" s="6" t="s">
        <v>1048</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1049</v>
      </c>
      <c r="AZ2" s="692" t="s">
        <v>1050</v>
      </c>
      <c r="BA2" s="6" t="s">
        <v>1051</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f>21313+128+133</f>
        <v>21574</v>
      </c>
      <c r="B3" s="905">
        <f>IF(C3="否",G5-AT5,G5)</f>
        <v>153829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1052</v>
      </c>
      <c r="B5" s="902"/>
      <c r="C5" s="902"/>
      <c r="D5" s="903"/>
      <c r="E5" s="6" t="s">
        <v>0</v>
      </c>
      <c r="F5" s="6">
        <f>SUM(F13:F587)</f>
        <v>0</v>
      </c>
      <c r="G5" s="6">
        <f>SUM(G13:G587)</f>
        <v>153829</v>
      </c>
      <c r="H5" s="6">
        <f t="shared" ref="H5:AT5" si="0">SUM(H13:H656)</f>
        <v>149136</v>
      </c>
      <c r="I5" s="6">
        <f t="shared" si="0"/>
        <v>99449</v>
      </c>
      <c r="J5" s="6">
        <f t="shared" si="0"/>
        <v>0</v>
      </c>
      <c r="K5" s="6">
        <f t="shared" si="0"/>
        <v>1606</v>
      </c>
      <c r="L5" s="6">
        <f t="shared" si="0"/>
        <v>0</v>
      </c>
      <c r="M5" s="6">
        <f t="shared" si="0"/>
        <v>48081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4693</v>
      </c>
      <c r="AD5" s="6">
        <f t="shared" si="0"/>
        <v>4693</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1052</v>
      </c>
      <c r="AW5" s="902"/>
      <c r="AX5" s="902"/>
      <c r="AY5" s="454" t="s">
        <v>2</v>
      </c>
      <c r="AZ5" s="455">
        <f t="shared" ref="AZ5:BT5" si="1">SUM(AZ13:AZ656)</f>
        <v>153829</v>
      </c>
      <c r="BA5" s="455">
        <f t="shared" si="1"/>
        <v>149136</v>
      </c>
      <c r="BB5" s="455">
        <f t="shared" si="1"/>
        <v>99449</v>
      </c>
      <c r="BC5" s="455">
        <f t="shared" si="1"/>
        <v>1606</v>
      </c>
      <c r="BD5" s="455">
        <f t="shared" si="1"/>
        <v>48081</v>
      </c>
      <c r="BE5" s="455">
        <f t="shared" si="1"/>
        <v>0</v>
      </c>
      <c r="BF5" s="455">
        <f t="shared" si="1"/>
        <v>0</v>
      </c>
      <c r="BG5" s="455">
        <f t="shared" si="1"/>
        <v>0</v>
      </c>
      <c r="BH5" s="455">
        <f t="shared" si="1"/>
        <v>0</v>
      </c>
      <c r="BI5" s="455">
        <f t="shared" si="1"/>
        <v>0</v>
      </c>
      <c r="BJ5" s="455">
        <f t="shared" si="1"/>
        <v>0</v>
      </c>
      <c r="BK5" s="455">
        <f t="shared" si="1"/>
        <v>0</v>
      </c>
      <c r="BL5" s="455">
        <f t="shared" si="1"/>
        <v>4693</v>
      </c>
      <c r="BM5" s="455">
        <f t="shared" si="1"/>
        <v>4693</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1053</v>
      </c>
      <c r="B6" s="902"/>
      <c r="C6" s="902"/>
      <c r="D6" s="903"/>
      <c r="E6" s="6">
        <f>H6+AC6+AT6</f>
        <v>21574.01</v>
      </c>
      <c r="F6" s="6" t="s">
        <v>0</v>
      </c>
      <c r="G6" s="6" t="s">
        <v>1</v>
      </c>
      <c r="H6" s="11">
        <f>SUMIF(I$12:AB$12,"总值",I6:AB6)</f>
        <v>20915.829999999998</v>
      </c>
      <c r="I6" s="6">
        <f t="shared" ref="I6:AB6" si="2">ROUND($A$3*I5/$B$3,2)</f>
        <v>13947.39</v>
      </c>
      <c r="J6" s="6">
        <f t="shared" si="2"/>
        <v>0</v>
      </c>
      <c r="K6" s="6">
        <f t="shared" si="2"/>
        <v>225.24</v>
      </c>
      <c r="L6" s="6">
        <f t="shared" si="2"/>
        <v>0</v>
      </c>
      <c r="M6" s="6">
        <f t="shared" si="2"/>
        <v>6743.2</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658.18</v>
      </c>
      <c r="AD6" s="6">
        <f t="shared" ref="AD6:AS6" si="3">ROUND($A$3*AD5/$B$3,2)</f>
        <v>658.18</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1053</v>
      </c>
      <c r="AW6" s="902"/>
      <c r="AX6" s="902"/>
      <c r="AY6" s="3779">
        <f>IF(AY3&gt;0,AY3,ROUND($A$3*AZ5/$B$3,2))</f>
        <v>21574</v>
      </c>
      <c r="AZ6" s="6" t="s">
        <v>2</v>
      </c>
      <c r="BA6" s="6">
        <f>ROUND($AY$6*BA5/$AZ$5,2)</f>
        <v>20915.82</v>
      </c>
      <c r="BB6" s="6">
        <f>ROUND($AY$6*BB5/$AZ$5,2)</f>
        <v>13947.39</v>
      </c>
      <c r="BC6" s="6">
        <f t="shared" ref="BC6:BH6" si="4">ROUND($AY$6*BC5/$AZ$5,2)</f>
        <v>225.24</v>
      </c>
      <c r="BD6" s="6">
        <f t="shared" si="4"/>
        <v>6743.2</v>
      </c>
      <c r="BE6" s="6">
        <f t="shared" si="4"/>
        <v>0</v>
      </c>
      <c r="BF6" s="6">
        <f t="shared" si="4"/>
        <v>0</v>
      </c>
      <c r="BG6" s="6">
        <f t="shared" si="4"/>
        <v>0</v>
      </c>
      <c r="BH6" s="6">
        <f t="shared" si="4"/>
        <v>0</v>
      </c>
      <c r="BI6" s="6">
        <f t="shared" ref="BI6:BT6" si="5">ROUND($AY$6*BI5/$AZ$5,2)</f>
        <v>0</v>
      </c>
      <c r="BJ6" s="6">
        <f t="shared" si="5"/>
        <v>0</v>
      </c>
      <c r="BK6" s="6">
        <f t="shared" si="5"/>
        <v>0</v>
      </c>
      <c r="BL6" s="6">
        <f t="shared" si="5"/>
        <v>658.18</v>
      </c>
      <c r="BM6" s="6">
        <f t="shared" si="5"/>
        <v>658.18</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1054</v>
      </c>
      <c r="B7" s="1104" t="s">
        <v>1055</v>
      </c>
      <c r="C7" s="1104" t="s">
        <v>1056</v>
      </c>
      <c r="D7" s="1104" t="s">
        <v>1057</v>
      </c>
      <c r="E7" s="1104" t="s">
        <v>1058</v>
      </c>
      <c r="F7" s="1104" t="s">
        <v>1059</v>
      </c>
      <c r="G7" s="1118" t="s">
        <v>1060</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1061</v>
      </c>
      <c r="AV7" s="11" t="s">
        <v>1062</v>
      </c>
      <c r="AW7" s="1110" t="s">
        <v>1063</v>
      </c>
      <c r="AX7" s="11" t="s">
        <v>1056</v>
      </c>
      <c r="AY7" s="902" t="s">
        <v>1064</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1065</v>
      </c>
      <c r="H8" s="1124" t="s">
        <v>1066</v>
      </c>
      <c r="I8" s="1125"/>
      <c r="J8" s="912"/>
      <c r="K8" s="912"/>
      <c r="L8" s="912"/>
      <c r="M8" s="912"/>
      <c r="N8" s="912"/>
      <c r="O8" s="912"/>
      <c r="P8" s="912"/>
      <c r="Q8" s="912"/>
      <c r="R8" s="912"/>
      <c r="S8" s="912"/>
      <c r="T8" s="912"/>
      <c r="U8" s="912"/>
      <c r="V8" s="1126"/>
      <c r="W8" s="912"/>
      <c r="X8" s="912"/>
      <c r="Y8" s="912"/>
      <c r="Z8" s="912"/>
      <c r="AA8" s="1126"/>
      <c r="AB8" s="1127"/>
      <c r="AC8" s="528" t="s">
        <v>1067</v>
      </c>
      <c r="AD8" s="1128"/>
      <c r="AE8" s="1120"/>
      <c r="AF8" s="912"/>
      <c r="AG8" s="912"/>
      <c r="AH8" s="912"/>
      <c r="AI8" s="912"/>
      <c r="AJ8" s="912"/>
      <c r="AK8" s="912"/>
      <c r="AL8" s="912"/>
      <c r="AM8" s="912"/>
      <c r="AN8" s="912"/>
      <c r="AO8" s="912"/>
      <c r="AP8" s="912"/>
      <c r="AQ8" s="912"/>
      <c r="AR8" s="912"/>
      <c r="AS8" s="912"/>
      <c r="AT8" s="708" t="s">
        <v>1068</v>
      </c>
      <c r="AU8" s="1122" t="s">
        <v>1069</v>
      </c>
      <c r="AV8" s="708"/>
      <c r="AW8" s="1111"/>
      <c r="AX8" s="708"/>
      <c r="AY8" s="1110" t="s">
        <v>1070</v>
      </c>
      <c r="AZ8" s="911" t="s">
        <v>1071</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1072</v>
      </c>
      <c r="I9" s="1131" t="s">
        <v>4069</v>
      </c>
      <c r="J9" s="528"/>
      <c r="K9" s="1131" t="s">
        <v>4069</v>
      </c>
      <c r="L9" s="528"/>
      <c r="M9" s="1131" t="s">
        <v>4070</v>
      </c>
      <c r="N9" s="528"/>
      <c r="O9" s="1131"/>
      <c r="P9" s="528"/>
      <c r="Q9" s="1131"/>
      <c r="R9" s="528"/>
      <c r="S9" s="1131"/>
      <c r="T9" s="528"/>
      <c r="U9" s="1131"/>
      <c r="V9" s="528"/>
      <c r="W9" s="1131"/>
      <c r="X9" s="1132"/>
      <c r="Y9" s="1131"/>
      <c r="Z9" s="528"/>
      <c r="AA9" s="1131"/>
      <c r="AB9" s="528"/>
      <c r="AC9" s="1123" t="s">
        <v>1072</v>
      </c>
      <c r="AD9" s="8" t="s">
        <v>1073</v>
      </c>
      <c r="AE9" s="714"/>
      <c r="AF9" s="8" t="s">
        <v>1074</v>
      </c>
      <c r="AG9" s="714"/>
      <c r="AH9" s="8" t="s">
        <v>1073</v>
      </c>
      <c r="AI9" s="714"/>
      <c r="AJ9" s="8" t="s">
        <v>1074</v>
      </c>
      <c r="AK9" s="714"/>
      <c r="AL9" s="8" t="s">
        <v>1073</v>
      </c>
      <c r="AM9" s="714"/>
      <c r="AN9" s="8" t="s">
        <v>1074</v>
      </c>
      <c r="AO9" s="714"/>
      <c r="AP9" s="8" t="s">
        <v>1073</v>
      </c>
      <c r="AQ9" s="714"/>
      <c r="AR9" s="8" t="s">
        <v>1074</v>
      </c>
      <c r="AS9" s="1133"/>
      <c r="AT9" s="1122"/>
      <c r="AU9" s="1122" t="s">
        <v>1075</v>
      </c>
      <c r="AV9" s="708"/>
      <c r="AW9" s="1111"/>
      <c r="AX9" s="708"/>
      <c r="AY9" s="16"/>
      <c r="AZ9" s="16" t="s">
        <v>1065</v>
      </c>
      <c r="BA9" s="1134" t="s">
        <v>1076</v>
      </c>
      <c r="BB9" s="1135"/>
      <c r="BC9" s="725"/>
      <c r="BD9" s="725"/>
      <c r="BE9" s="725"/>
      <c r="BF9" s="725"/>
      <c r="BG9" s="725"/>
      <c r="BH9" s="725"/>
      <c r="BI9" s="725"/>
      <c r="BJ9" s="725"/>
      <c r="BK9" s="1136"/>
      <c r="BL9" s="8" t="s">
        <v>1077</v>
      </c>
      <c r="BM9" s="912"/>
      <c r="BN9" s="1125"/>
      <c r="BO9" s="912"/>
      <c r="BP9" s="912"/>
      <c r="BQ9" s="912"/>
      <c r="BR9" s="912"/>
      <c r="BS9" s="912"/>
      <c r="BT9" s="14"/>
    </row>
    <row r="10" spans="1:72" s="1129" customFormat="1" ht="12.75">
      <c r="A10" s="1122"/>
      <c r="B10" s="1122"/>
      <c r="C10" s="1122"/>
      <c r="D10" s="1122"/>
      <c r="E10" s="1122"/>
      <c r="F10" s="1122"/>
      <c r="G10" s="708"/>
      <c r="H10" s="16"/>
      <c r="I10" s="1131" t="s">
        <v>3261</v>
      </c>
      <c r="J10" s="528"/>
      <c r="K10" s="1137" t="s">
        <v>658</v>
      </c>
      <c r="L10" s="528"/>
      <c r="M10" s="1137" t="s">
        <v>3209</v>
      </c>
      <c r="N10" s="528"/>
      <c r="O10" s="1137"/>
      <c r="P10" s="528"/>
      <c r="Q10" s="1137"/>
      <c r="R10" s="528"/>
      <c r="S10" s="1137"/>
      <c r="T10" s="528"/>
      <c r="U10" s="1137"/>
      <c r="V10" s="528"/>
      <c r="W10" s="1137"/>
      <c r="X10" s="528"/>
      <c r="Y10" s="1137"/>
      <c r="Z10" s="528"/>
      <c r="AA10" s="1137"/>
      <c r="AB10" s="528"/>
      <c r="AC10" s="708"/>
      <c r="AD10" s="8" t="s">
        <v>1078</v>
      </c>
      <c r="AE10" s="1138"/>
      <c r="AF10" s="8" t="s">
        <v>1078</v>
      </c>
      <c r="AG10" s="1138"/>
      <c r="AH10" s="8" t="s">
        <v>1079</v>
      </c>
      <c r="AI10" s="1138"/>
      <c r="AJ10" s="8" t="s">
        <v>1079</v>
      </c>
      <c r="AK10" s="1138"/>
      <c r="AL10" s="8" t="s">
        <v>1080</v>
      </c>
      <c r="AM10" s="714"/>
      <c r="AN10" s="8" t="s">
        <v>1080</v>
      </c>
      <c r="AO10" s="714"/>
      <c r="AP10" s="8" t="s">
        <v>1081</v>
      </c>
      <c r="AQ10" s="714"/>
      <c r="AR10" s="8" t="s">
        <v>1081</v>
      </c>
      <c r="AS10" s="714"/>
      <c r="AT10" s="1122"/>
      <c r="AU10" s="1122"/>
      <c r="AV10" s="708"/>
      <c r="AW10" s="1111"/>
      <c r="AX10" s="708"/>
      <c r="AY10" s="16"/>
      <c r="AZ10" s="16"/>
      <c r="BA10" s="1139" t="s">
        <v>1072</v>
      </c>
      <c r="BB10" s="1140" t="str">
        <f>I9</f>
        <v>地上</v>
      </c>
      <c r="BC10" s="17" t="str">
        <f>K9</f>
        <v>地上</v>
      </c>
      <c r="BD10" s="17" t="str">
        <f>M9</f>
        <v>地下</v>
      </c>
      <c r="BE10" s="17">
        <f>O9</f>
        <v>0</v>
      </c>
      <c r="BF10" s="17">
        <f>Q9</f>
        <v>0</v>
      </c>
      <c r="BG10" s="17">
        <f>S9</f>
        <v>0</v>
      </c>
      <c r="BH10" s="17">
        <f>U9</f>
        <v>0</v>
      </c>
      <c r="BI10" s="17">
        <f>W9</f>
        <v>0</v>
      </c>
      <c r="BJ10" s="17">
        <f>Y9</f>
        <v>0</v>
      </c>
      <c r="BK10" s="17">
        <f>AA9</f>
        <v>0</v>
      </c>
      <c r="BL10" s="13" t="s">
        <v>1072</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1082</v>
      </c>
      <c r="AE11" s="913"/>
      <c r="AF11" s="1144" t="s">
        <v>1082</v>
      </c>
      <c r="AG11" s="913"/>
      <c r="AH11" s="1144" t="s">
        <v>1083</v>
      </c>
      <c r="AI11" s="1145"/>
      <c r="AJ11" s="1144" t="s">
        <v>1083</v>
      </c>
      <c r="AK11" s="913"/>
      <c r="AL11" s="911"/>
      <c r="AM11" s="913"/>
      <c r="AN11" s="911"/>
      <c r="AO11" s="913"/>
      <c r="AP11" s="911"/>
      <c r="AQ11" s="913"/>
      <c r="AR11" s="911"/>
      <c r="AS11" s="913"/>
      <c r="AT11" s="1111"/>
      <c r="AU11" s="1122"/>
      <c r="AV11" s="708"/>
      <c r="AW11" s="1111"/>
      <c r="AX11" s="708"/>
      <c r="AY11" s="16"/>
      <c r="AZ11" s="16"/>
      <c r="BA11" s="16"/>
      <c r="BB11" s="1127" t="str">
        <f>I10</f>
        <v>住宅</v>
      </c>
      <c r="BC11" s="1127" t="str">
        <f>K10</f>
        <v>商业</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01" t="s">
        <v>1085</v>
      </c>
      <c r="W12" s="6" t="s">
        <v>1084</v>
      </c>
      <c r="X12" s="6" t="s">
        <v>1085</v>
      </c>
      <c r="Y12" s="6" t="s">
        <v>1084</v>
      </c>
      <c r="Z12" s="6" t="s">
        <v>1085</v>
      </c>
      <c r="AA12" s="6" t="s">
        <v>1084</v>
      </c>
      <c r="AB12" s="6" t="s">
        <v>1085</v>
      </c>
      <c r="AC12" s="1149"/>
      <c r="AD12" s="903"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147" t="s">
        <v>1085</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4062</v>
      </c>
      <c r="D13" s="1153" t="s">
        <v>4068</v>
      </c>
      <c r="E13" s="6">
        <f>IF($C$3="是",ROUND($A$3*G13/$B$3,2),ROUND($A$3*(G13-AT13)/$B$3,2))</f>
        <v>14605.57</v>
      </c>
      <c r="F13" s="579"/>
      <c r="G13" s="18">
        <f>H13+AC13+AT13</f>
        <v>104142</v>
      </c>
      <c r="H13" s="11">
        <f>SUMIF(I$12:AB$12,"总值",I13:AB13)</f>
        <v>99449</v>
      </c>
      <c r="I13" s="1105">
        <f>最终面积!N5</f>
        <v>99449</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4693</v>
      </c>
      <c r="AD13" s="694">
        <f>最终面积!P5</f>
        <v>4693</v>
      </c>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商品住宅</v>
      </c>
      <c r="AY13" s="903">
        <f>ROUND($AY$6*AZ13/$AZ$5,2)</f>
        <v>14605.57</v>
      </c>
      <c r="AZ13" s="9">
        <f>BA13+BL13</f>
        <v>104142</v>
      </c>
      <c r="BA13" s="9">
        <f>SUM(BB13:BK13)</f>
        <v>99449</v>
      </c>
      <c r="BB13" s="9">
        <f>IF($D13="是",I13-J13,0)</f>
        <v>99449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4693</v>
      </c>
      <c r="BM13" s="9">
        <f>IF($D13="是",AD13-AE13,0)</f>
        <v>4693</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4258" t="s">
        <v>4064</v>
      </c>
      <c r="D14" s="1153" t="s">
        <v>4068</v>
      </c>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安置住宅</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4258" t="s">
        <v>4065</v>
      </c>
      <c r="D15" s="1153" t="s">
        <v>4068</v>
      </c>
      <c r="E15" s="6">
        <f>IF($C$3="是",ROUND($A$3*G15/$B$3,2),ROUND($A$3*(G15-AT15)/$B$3,2))</f>
        <v>225.24</v>
      </c>
      <c r="F15" s="579"/>
      <c r="G15" s="18">
        <f>H15+AC15+AT15</f>
        <v>1606</v>
      </c>
      <c r="H15" s="11">
        <f>SUMIF(I$12:AB$12,"总值",I15:AB15)</f>
        <v>1606</v>
      </c>
      <c r="I15" s="1105"/>
      <c r="J15" s="1105"/>
      <c r="K15" s="1105">
        <f>最终面积!O5</f>
        <v>1606</v>
      </c>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t="str">
        <f t="shared" si="6"/>
        <v>商业</v>
      </c>
      <c r="AY15" s="903">
        <f>ROUND($AY$6*AZ15/$AZ$5,2)</f>
        <v>225.24</v>
      </c>
      <c r="AZ15" s="9">
        <f>BA15+BL15</f>
        <v>1606</v>
      </c>
      <c r="BA15" s="9">
        <f>SUM(BB15:BK15)</f>
        <v>1606</v>
      </c>
      <c r="BB15" s="9">
        <f>IF($D15="是",I15-J15,0)</f>
        <v>0</v>
      </c>
      <c r="BC15" s="9">
        <f>IF($D15="是",K15-L15,0)</f>
        <v>1606</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4258" t="s">
        <v>4067</v>
      </c>
      <c r="D16" s="1153" t="s">
        <v>4068</v>
      </c>
      <c r="E16" s="6">
        <f>IF($C$3="是",ROUND($A$3*G16/$B$3,2),ROUND($A$3*(G16-AT16)/$B$3,2))</f>
        <v>6743.2</v>
      </c>
      <c r="F16" s="579"/>
      <c r="G16" s="18">
        <f>H16+AC16+AT16</f>
        <v>48081</v>
      </c>
      <c r="H16" s="11">
        <f>SUMIF(I$12:AB$12,"总值",I16:AB16)</f>
        <v>48081</v>
      </c>
      <c r="I16" s="1105"/>
      <c r="J16" s="1105"/>
      <c r="K16" s="1105"/>
      <c r="L16" s="1105"/>
      <c r="M16" s="1105">
        <f>最终面积!Q5</f>
        <v>48081</v>
      </c>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t="str">
        <f t="shared" si="6"/>
        <v>地下车库</v>
      </c>
      <c r="AY16" s="903">
        <f>ROUND($AY$6*AZ16/$AZ$5,2)</f>
        <v>6743.2</v>
      </c>
      <c r="AZ16" s="9">
        <f>BA16+BL16</f>
        <v>48081</v>
      </c>
      <c r="BA16" s="9">
        <f>SUM(BB16:BK16)</f>
        <v>48081</v>
      </c>
      <c r="BB16" s="9">
        <f>IF($D16="是",I16-J16,0)</f>
        <v>0</v>
      </c>
      <c r="BC16" s="9">
        <f>IF($D16="是",K16-L16,0)</f>
        <v>0</v>
      </c>
      <c r="BD16" s="9">
        <f>IF($D16="是",M16-N16,0)</f>
        <v>48081</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A2DC1-19A2-4313-86CC-D2CFFBBED362}">
  <dimension ref="L8:T30"/>
  <sheetViews>
    <sheetView topLeftCell="A37" workbookViewId="0">
      <selection activeCell="R19" sqref="R19"/>
    </sheetView>
  </sheetViews>
  <sheetFormatPr defaultRowHeight="13.5"/>
  <cols>
    <col min="13" max="13" width="17.25" bestFit="1" customWidth="1"/>
  </cols>
  <sheetData>
    <row r="8" spans="12:20">
      <c r="L8" s="1049"/>
      <c r="M8" s="1049" t="s">
        <v>4072</v>
      </c>
      <c r="N8" s="1049" t="s">
        <v>4073</v>
      </c>
      <c r="O8" s="1049" t="s">
        <v>4075</v>
      </c>
      <c r="P8" s="1049" t="s">
        <v>4076</v>
      </c>
      <c r="Q8" s="1049" t="s">
        <v>4077</v>
      </c>
      <c r="R8" s="1049" t="s">
        <v>4074</v>
      </c>
      <c r="S8" s="1049" t="s">
        <v>4081</v>
      </c>
    </row>
    <row r="9" spans="12:20">
      <c r="L9" s="1049" t="s">
        <v>4074</v>
      </c>
      <c r="M9">
        <f>228700-N9</f>
        <v>180834.83000000002</v>
      </c>
      <c r="N9" s="4274">
        <f>N30</f>
        <v>47865.17</v>
      </c>
      <c r="O9">
        <v>7900</v>
      </c>
      <c r="P9">
        <f>R9-Q9-O9-N9-M9</f>
        <v>55400</v>
      </c>
      <c r="Q9">
        <v>11100</v>
      </c>
      <c r="R9">
        <v>303100</v>
      </c>
    </row>
    <row r="10" spans="12:20">
      <c r="L10" s="1049" t="s">
        <v>4071</v>
      </c>
      <c r="M10">
        <f>M17-N10</f>
        <v>83024.3</v>
      </c>
      <c r="N10" s="4274">
        <f>ROUND(M17/M19*N30,2)</f>
        <v>21975.7</v>
      </c>
      <c r="O10">
        <v>1600</v>
      </c>
      <c r="P10">
        <f>ROUND((M10+N10)/(M9+N9)*P9,2)</f>
        <v>25435.07</v>
      </c>
      <c r="Q10">
        <f>ROUND((M10+N10)/(M9+N9)*Q9,2)</f>
        <v>5096.2</v>
      </c>
      <c r="R10">
        <f>SUM(M10:Q10)</f>
        <v>137131.27000000002</v>
      </c>
      <c r="S10">
        <f>(M10+N10+O10)/30922</f>
        <v>3.4473837397322296</v>
      </c>
    </row>
    <row r="11" spans="12:20">
      <c r="L11" s="1049" t="s">
        <v>4078</v>
      </c>
      <c r="M11">
        <f>M18-N11</f>
        <v>97810.53</v>
      </c>
      <c r="N11">
        <f>ROUND(M18/M19*N30,2)</f>
        <v>25889.47</v>
      </c>
      <c r="O11">
        <v>6300</v>
      </c>
      <c r="P11">
        <f>ROUND(M11/(M9+N9)*P9,2)</f>
        <v>23693.5</v>
      </c>
      <c r="Q11">
        <f>ROUND(M11/(M9+N9)*Q9,2)</f>
        <v>4747.25</v>
      </c>
      <c r="R11">
        <f>SUM(M11:Q11)</f>
        <v>158440.75</v>
      </c>
      <c r="S11">
        <f>(M11+N11+O11)/37405</f>
        <v>3.4754711936906832</v>
      </c>
    </row>
    <row r="15" spans="12:20">
      <c r="S15" s="1049" t="s">
        <v>4079</v>
      </c>
      <c r="T15">
        <v>1617</v>
      </c>
    </row>
    <row r="16" spans="12:20">
      <c r="S16" s="1049" t="s">
        <v>4080</v>
      </c>
      <c r="T16">
        <f>P9/T15</f>
        <v>34.260977118119975</v>
      </c>
    </row>
    <row r="17" spans="12:14">
      <c r="L17" s="1049" t="s">
        <v>4071</v>
      </c>
      <c r="M17">
        <f>105000</f>
        <v>105000</v>
      </c>
      <c r="N17">
        <f>N10/M17</f>
        <v>0.20929238095238095</v>
      </c>
    </row>
    <row r="18" spans="12:14">
      <c r="L18" s="1049" t="s">
        <v>4078</v>
      </c>
      <c r="M18">
        <v>123700</v>
      </c>
      <c r="N18">
        <f>N11/M18</f>
        <v>0.20929240097008894</v>
      </c>
    </row>
    <row r="19" spans="12:14">
      <c r="M19">
        <f>M17+M18</f>
        <v>228700</v>
      </c>
    </row>
    <row r="23" spans="12:14">
      <c r="N23" s="4273"/>
    </row>
    <row r="24" spans="12:14">
      <c r="N24" s="4273"/>
    </row>
    <row r="28" spans="12:14">
      <c r="M28" s="1049" t="s">
        <v>4197</v>
      </c>
      <c r="N28">
        <v>42600</v>
      </c>
    </row>
    <row r="29" spans="12:14">
      <c r="M29" s="1049" t="s">
        <v>4198</v>
      </c>
      <c r="N29">
        <v>8900</v>
      </c>
    </row>
    <row r="30" spans="12:14">
      <c r="N30">
        <f>ROUND(N28/N29*10000,2)</f>
        <v>47865.17</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F5113-75D1-4FF2-9EEE-ECCB3A612802}">
  <dimension ref="M2:R7"/>
  <sheetViews>
    <sheetView workbookViewId="0">
      <selection activeCell="P20" sqref="P20"/>
    </sheetView>
  </sheetViews>
  <sheetFormatPr defaultRowHeight="13.5"/>
  <sheetData>
    <row r="2" spans="13:18">
      <c r="Q2">
        <f>Q5/Q3</f>
        <v>44.437153419593344</v>
      </c>
      <c r="R2">
        <f>Q7/R3</f>
        <v>44.825678496868477</v>
      </c>
    </row>
    <row r="3" spans="13:18">
      <c r="Q3">
        <v>1082</v>
      </c>
      <c r="R3">
        <v>958</v>
      </c>
    </row>
    <row r="4" spans="13:18">
      <c r="N4" s="1049" t="s">
        <v>2430</v>
      </c>
      <c r="O4" s="1049" t="s">
        <v>4200</v>
      </c>
      <c r="P4" s="1049" t="s">
        <v>4201</v>
      </c>
      <c r="Q4" s="1049" t="s">
        <v>4202</v>
      </c>
      <c r="R4" s="1049" t="s">
        <v>3353</v>
      </c>
    </row>
    <row r="5" spans="13:18">
      <c r="M5" s="1049" t="s">
        <v>4071</v>
      </c>
      <c r="N5">
        <v>99449</v>
      </c>
      <c r="O5">
        <v>1606</v>
      </c>
      <c r="P5">
        <v>4693</v>
      </c>
      <c r="Q5">
        <v>48081</v>
      </c>
      <c r="R5">
        <v>0</v>
      </c>
    </row>
    <row r="7" spans="13:18">
      <c r="M7" s="1049" t="s">
        <v>4078</v>
      </c>
      <c r="N7">
        <v>118552</v>
      </c>
      <c r="O7">
        <v>6337</v>
      </c>
      <c r="P7">
        <v>6028</v>
      </c>
      <c r="Q7">
        <v>42943</v>
      </c>
      <c r="R7">
        <v>14670</v>
      </c>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B8456-B03E-4C10-81B5-388643101791}">
  <dimension ref="A1"/>
  <sheetViews>
    <sheetView zoomScale="85" zoomScaleNormal="85" workbookViewId="0">
      <selection activeCell="K42" sqref="K42"/>
    </sheetView>
  </sheetViews>
  <sheetFormatPr defaultRowHeight="13.5"/>
  <sheetData/>
  <phoneticPr fontId="13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zoomScaleNormal="100" zoomScaleSheetLayoutView="100" workbookViewId="0">
      <selection activeCell="G22" sqref="G22"/>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1111</v>
      </c>
      <c r="B1" s="763"/>
      <c r="C1" s="763"/>
      <c r="D1" s="763"/>
      <c r="E1" s="763"/>
      <c r="F1" s="763"/>
      <c r="G1" s="763"/>
      <c r="H1" s="763"/>
      <c r="I1" s="763"/>
      <c r="J1" s="763"/>
      <c r="K1" s="763"/>
      <c r="L1" s="763"/>
      <c r="M1" s="763"/>
      <c r="N1" s="763"/>
      <c r="O1" s="763"/>
      <c r="P1" s="763"/>
    </row>
    <row r="2" spans="1:16" ht="15">
      <c r="A2" s="4362" t="s">
        <v>1112</v>
      </c>
      <c r="B2" s="4362"/>
      <c r="C2" s="4362"/>
      <c r="D2" s="520" t="s">
        <v>1088</v>
      </c>
      <c r="E2" s="1162" t="s">
        <v>1089</v>
      </c>
      <c r="F2" s="1928"/>
      <c r="G2" s="1922"/>
      <c r="H2" s="1923"/>
      <c r="I2" s="1694" t="s">
        <v>1113</v>
      </c>
      <c r="J2" s="1928"/>
      <c r="K2" s="1928"/>
      <c r="L2" s="1928"/>
      <c r="M2" s="1928"/>
      <c r="N2" s="1929"/>
      <c r="O2" s="1928"/>
      <c r="P2" s="1928"/>
    </row>
    <row r="3" spans="1:16" ht="15.75" thickBot="1">
      <c r="A3" s="4363" t="s">
        <v>1086</v>
      </c>
      <c r="B3" s="4363"/>
      <c r="C3" s="4363"/>
      <c r="D3" s="3799">
        <f>'数据-基础表'!AY6</f>
        <v>21574</v>
      </c>
      <c r="E3" s="3799">
        <f>'数据-基础表'!AZ5</f>
        <v>153829</v>
      </c>
      <c r="F3" s="1928"/>
      <c r="G3" s="24"/>
      <c r="H3" s="25" t="s">
        <v>1087</v>
      </c>
      <c r="I3" s="2593">
        <f>ROUND('数据-基础表'!B3/'数据-基础表'!A3,2)</f>
        <v>7.13</v>
      </c>
      <c r="J3" s="1928"/>
      <c r="K3" s="1928"/>
      <c r="L3" s="1928"/>
      <c r="M3" s="1928"/>
      <c r="N3" s="1929"/>
      <c r="O3" s="1928"/>
      <c r="P3" s="1928"/>
    </row>
    <row r="4" spans="1:16" ht="15">
      <c r="A4" s="4364"/>
      <c r="B4" s="4365"/>
      <c r="C4" s="4366"/>
      <c r="D4" s="1164" t="s">
        <v>1088</v>
      </c>
      <c r="E4" s="1165" t="s">
        <v>1089</v>
      </c>
      <c r="F4" s="1928"/>
      <c r="G4" s="1924" t="s">
        <v>1114</v>
      </c>
      <c r="H4" s="25" t="s">
        <v>1094</v>
      </c>
      <c r="I4" s="2593">
        <f>ROUND(SUMIF('数据-基础表'!I9:AS9,"地上",'数据-基础表'!I5:AS5)/'数据-基础表'!A3,2)</f>
        <v>4.9000000000000004</v>
      </c>
      <c r="J4" s="1928"/>
      <c r="K4" s="1928"/>
      <c r="L4" s="1928"/>
      <c r="M4" s="1928"/>
      <c r="N4" s="1929"/>
      <c r="O4" s="1928"/>
      <c r="P4" s="1928"/>
    </row>
    <row r="5" spans="1:16">
      <c r="A5" s="24" t="s">
        <v>1090</v>
      </c>
      <c r="B5" s="4367" t="s">
        <v>1091</v>
      </c>
      <c r="C5" s="4367"/>
      <c r="D5" s="3781">
        <f>ROUND($D$3*E5/$E$3,2)</f>
        <v>13947.39</v>
      </c>
      <c r="E5" s="3671">
        <f>SUMIF('数据-基础表'!$11:$11,"住宅",'数据-基础表'!$5:$5)</f>
        <v>99449</v>
      </c>
      <c r="F5" s="1928"/>
      <c r="G5" s="24"/>
      <c r="H5" s="25" t="s">
        <v>1087</v>
      </c>
      <c r="I5" s="2593">
        <f>ROUND(E31/D31,2)</f>
        <v>7.13</v>
      </c>
      <c r="J5" s="1928"/>
      <c r="K5" s="1928"/>
      <c r="L5" s="1928"/>
      <c r="M5" s="1928"/>
      <c r="N5" s="1928"/>
      <c r="O5" s="1928"/>
      <c r="P5" s="1928"/>
    </row>
    <row r="6" spans="1:16" ht="15" thickBot="1">
      <c r="A6" s="1167"/>
      <c r="B6" s="4367" t="s">
        <v>1092</v>
      </c>
      <c r="C6" s="4367"/>
      <c r="D6" s="3781">
        <f>ROUND($D$3*E6/$E$3,2)</f>
        <v>7626.61</v>
      </c>
      <c r="E6" s="3671">
        <f>E3-E5</f>
        <v>54380</v>
      </c>
      <c r="F6" s="1928"/>
      <c r="G6" s="1169" t="s">
        <v>1093</v>
      </c>
      <c r="H6" s="26" t="s">
        <v>1094</v>
      </c>
      <c r="I6" s="2594">
        <f>ROUND(F31/D31,2)</f>
        <v>4.9000000000000004</v>
      </c>
      <c r="J6" s="1928"/>
      <c r="K6" s="1928"/>
      <c r="L6" s="1928"/>
      <c r="M6" s="1928"/>
      <c r="N6" s="1928"/>
      <c r="O6" s="1928"/>
      <c r="P6" s="1928"/>
    </row>
    <row r="7" spans="1:16" ht="15.75" thickBot="1">
      <c r="A7" s="4359"/>
      <c r="B7" s="4360"/>
      <c r="C7" s="4361"/>
      <c r="D7" s="1164" t="s">
        <v>1088</v>
      </c>
      <c r="E7" s="1168" t="s">
        <v>1095</v>
      </c>
      <c r="F7" s="1928"/>
      <c r="G7" s="1925" t="s">
        <v>1096</v>
      </c>
      <c r="H7" s="1926"/>
      <c r="I7" s="2595">
        <v>3.5</v>
      </c>
      <c r="J7" s="1928"/>
      <c r="K7" s="1928"/>
      <c r="L7" s="1928"/>
      <c r="M7" s="1928"/>
      <c r="N7" s="1928"/>
      <c r="O7" s="1928"/>
      <c r="P7" s="1928"/>
    </row>
    <row r="8" spans="1:16">
      <c r="A8" s="24" t="s">
        <v>1097</v>
      </c>
      <c r="B8" s="26" t="s">
        <v>1098</v>
      </c>
      <c r="C8" s="25" t="s">
        <v>1099</v>
      </c>
      <c r="D8" s="3781">
        <f t="shared" ref="D8:D15" si="0">ROUND($D$3*E8/$E$3,2)</f>
        <v>14172.62</v>
      </c>
      <c r="E8" s="3671">
        <f>SUMIF('数据-基础表'!BB10:BK10,"地上",'数据-基础表'!BB5:BK5)</f>
        <v>101055</v>
      </c>
      <c r="F8" s="1928"/>
      <c r="G8" s="1928"/>
      <c r="H8" s="1928"/>
      <c r="I8" s="1928"/>
      <c r="J8" s="1928"/>
      <c r="K8" s="1928"/>
      <c r="L8" s="1928"/>
      <c r="M8" s="1928"/>
      <c r="N8" s="1928"/>
      <c r="O8" s="1928"/>
      <c r="P8" s="1928"/>
    </row>
    <row r="9" spans="1:16">
      <c r="A9" s="1169"/>
      <c r="B9" s="1170"/>
      <c r="C9" s="25" t="s">
        <v>1100</v>
      </c>
      <c r="D9" s="3781">
        <f t="shared" si="0"/>
        <v>0</v>
      </c>
      <c r="E9" s="3800"/>
      <c r="F9" s="1928"/>
      <c r="G9" s="1928"/>
      <c r="H9" s="1928"/>
      <c r="I9" s="1928"/>
      <c r="J9" s="1928"/>
      <c r="K9" s="1928"/>
      <c r="L9" s="1928"/>
      <c r="M9" s="1928"/>
      <c r="N9" s="1928"/>
      <c r="O9" s="1928"/>
      <c r="P9" s="1928"/>
    </row>
    <row r="10" spans="1:16">
      <c r="A10" s="1169"/>
      <c r="B10" s="1170"/>
      <c r="C10" s="25" t="s">
        <v>1109</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1101</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1102</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1103</v>
      </c>
      <c r="D13" s="3781">
        <f t="shared" si="0"/>
        <v>6743.2</v>
      </c>
      <c r="E13" s="3671">
        <f>SUMPRODUCT(('数据-基础表'!BB10:BK10="地下")*('数据-基础表'!BB11:BK11="车库")*('数据-基础表'!BB5:BK5))</f>
        <v>48081</v>
      </c>
      <c r="F13" s="1928"/>
      <c r="G13" s="1928"/>
      <c r="H13" s="1928"/>
      <c r="I13" s="1928"/>
      <c r="J13" s="1928"/>
      <c r="K13" s="1928"/>
      <c r="L13" s="1928"/>
      <c r="M13" s="1928"/>
      <c r="N13" s="1928"/>
      <c r="O13" s="1928"/>
      <c r="P13" s="1928"/>
    </row>
    <row r="14" spans="1:16">
      <c r="A14" s="1169"/>
      <c r="B14" s="1170"/>
      <c r="C14" s="25" t="s">
        <v>1115</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1110</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1104</v>
      </c>
      <c r="D16" s="3625">
        <f>SUM(D8:D15)</f>
        <v>20915.82</v>
      </c>
      <c r="E16" s="3791">
        <f>SUM(E8:E15)</f>
        <v>149136</v>
      </c>
      <c r="F16" s="1928"/>
      <c r="G16" s="1928"/>
      <c r="H16" s="1171" t="s">
        <v>1116</v>
      </c>
      <c r="I16" s="1172"/>
      <c r="J16" s="763"/>
      <c r="K16" s="4356" t="s">
        <v>1116</v>
      </c>
      <c r="L16" s="4357"/>
      <c r="M16" s="4357"/>
      <c r="N16" s="4357"/>
      <c r="O16" s="4357"/>
      <c r="P16" s="4358"/>
    </row>
    <row r="17" spans="1:19" ht="15">
      <c r="A17" s="1173" t="s">
        <v>1117</v>
      </c>
      <c r="B17" s="1174" t="s">
        <v>1118</v>
      </c>
      <c r="C17" s="1175" t="s">
        <v>1119</v>
      </c>
      <c r="D17" s="1176" t="s">
        <v>1107</v>
      </c>
      <c r="E17" s="1177" t="s">
        <v>1108</v>
      </c>
      <c r="F17" s="1178"/>
      <c r="G17" s="1179"/>
      <c r="H17" s="1180" t="s">
        <v>1120</v>
      </c>
      <c r="I17" s="1181" t="s">
        <v>1105</v>
      </c>
      <c r="J17" s="763"/>
      <c r="K17" s="4353" t="s">
        <v>1121</v>
      </c>
      <c r="L17" s="4354"/>
      <c r="M17" s="4355"/>
      <c r="N17" s="4353" t="s">
        <v>1122</v>
      </c>
      <c r="O17" s="4354"/>
      <c r="P17" s="4355"/>
      <c r="R17" s="1163" t="s">
        <v>1123</v>
      </c>
      <c r="S17" s="30"/>
    </row>
    <row r="18" spans="1:19" ht="15">
      <c r="A18" s="1169"/>
      <c r="B18" s="1166"/>
      <c r="C18" s="1182"/>
      <c r="D18" s="1183"/>
      <c r="E18" s="1184" t="s">
        <v>1124</v>
      </c>
      <c r="F18" s="1185" t="s">
        <v>1125</v>
      </c>
      <c r="G18" s="1186" t="s">
        <v>1126</v>
      </c>
      <c r="H18" s="685" t="s">
        <v>1127</v>
      </c>
      <c r="I18" s="1187" t="s">
        <v>1128</v>
      </c>
      <c r="J18" s="763"/>
      <c r="K18" s="685" t="s">
        <v>1129</v>
      </c>
      <c r="L18" s="1188" t="s">
        <v>1130</v>
      </c>
      <c r="M18" s="545" t="s">
        <v>1131</v>
      </c>
      <c r="N18" s="685" t="s">
        <v>1129</v>
      </c>
      <c r="O18" s="1188" t="s">
        <v>1130</v>
      </c>
      <c r="P18" s="545" t="s">
        <v>1131</v>
      </c>
      <c r="R18" s="25" t="s">
        <v>1132</v>
      </c>
      <c r="S18" s="25" t="s">
        <v>1133</v>
      </c>
    </row>
    <row r="19" spans="1:19">
      <c r="A19" s="1189"/>
      <c r="B19" s="26" t="s">
        <v>1106</v>
      </c>
      <c r="C19" s="2465" t="str">
        <f>'数据-基础表'!C13</f>
        <v>商品住宅</v>
      </c>
      <c r="D19" s="3781">
        <f>ROUND($D$3*E19/$E$3,2)</f>
        <v>13947.39</v>
      </c>
      <c r="E19" s="3781">
        <f t="shared" ref="E19:E26" si="1">SUM(F19:G19)</f>
        <v>99449</v>
      </c>
      <c r="F19" s="3782">
        <f>'数据-基础表'!I13</f>
        <v>99449</v>
      </c>
      <c r="G19" s="3643"/>
      <c r="H19" s="3783">
        <f>ROUND($D$3*I19/$E$3,2)</f>
        <v>658.18</v>
      </c>
      <c r="I19" s="3671">
        <f t="shared" ref="I19:I26" si="2">IF($I$17="自定义",P19,M19)</f>
        <v>4693</v>
      </c>
      <c r="J19" s="763"/>
      <c r="K19" s="3783">
        <f t="shared" ref="K19:K26" si="3">ROUND(E$28*E19/E$27,2)</f>
        <v>0</v>
      </c>
      <c r="L19" s="3781">
        <f t="shared" ref="L19:L26" si="4">ROUND(IF(COUNTIF(C19,"*住宅*")&gt;0,E$29*E19/E$32,0),2)</f>
        <v>4693</v>
      </c>
      <c r="M19" s="3671">
        <f>K19+L19</f>
        <v>4693</v>
      </c>
      <c r="N19" s="3795"/>
      <c r="O19" s="3796"/>
      <c r="P19" s="3671">
        <f>N19+O19</f>
        <v>0</v>
      </c>
      <c r="R19" s="3781">
        <f t="shared" ref="R19:S26" si="5">D19+H19</f>
        <v>14605.57</v>
      </c>
      <c r="S19" s="3781">
        <f t="shared" si="5"/>
        <v>104142</v>
      </c>
    </row>
    <row r="20" spans="1:19">
      <c r="A20" s="1189"/>
      <c r="B20" s="26" t="s">
        <v>1134</v>
      </c>
      <c r="C20" s="2465" t="str">
        <f>'数据-基础表'!C14</f>
        <v>安置住宅</v>
      </c>
      <c r="D20" s="3781">
        <f t="shared" ref="D20:D26" si="6">ROUND($D$3*E20/$E$3,2)</f>
        <v>0</v>
      </c>
      <c r="E20" s="3781">
        <f t="shared" si="1"/>
        <v>0</v>
      </c>
      <c r="F20" s="3782">
        <f>'数据-基础表'!I14</f>
        <v>0</v>
      </c>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1134</v>
      </c>
      <c r="C21" s="2465" t="str">
        <f>'数据-基础表'!C15</f>
        <v>商业</v>
      </c>
      <c r="D21" s="3781">
        <f t="shared" si="6"/>
        <v>225.24</v>
      </c>
      <c r="E21" s="3781">
        <f t="shared" si="1"/>
        <v>1606</v>
      </c>
      <c r="F21" s="3782">
        <f>'数据-基础表'!K15</f>
        <v>1606</v>
      </c>
      <c r="G21" s="3643"/>
      <c r="H21" s="3783">
        <f t="shared" si="7"/>
        <v>0</v>
      </c>
      <c r="I21" s="3671">
        <f t="shared" si="2"/>
        <v>0</v>
      </c>
      <c r="J21" s="763"/>
      <c r="K21" s="3783">
        <f t="shared" si="3"/>
        <v>0</v>
      </c>
      <c r="L21" s="3781">
        <f t="shared" si="4"/>
        <v>0</v>
      </c>
      <c r="M21" s="3671">
        <f t="shared" si="8"/>
        <v>0</v>
      </c>
      <c r="N21" s="3795"/>
      <c r="O21" s="3796"/>
      <c r="P21" s="3671">
        <f t="shared" si="9"/>
        <v>0</v>
      </c>
      <c r="R21" s="3781">
        <f t="shared" si="5"/>
        <v>225.24</v>
      </c>
      <c r="S21" s="3781">
        <f t="shared" si="5"/>
        <v>1606</v>
      </c>
    </row>
    <row r="22" spans="1:19">
      <c r="A22" s="1189"/>
      <c r="B22" s="26" t="s">
        <v>1134</v>
      </c>
      <c r="C22" s="2466" t="str">
        <f>'数据-基础表'!C16</f>
        <v>地下车库</v>
      </c>
      <c r="D22" s="3781">
        <f t="shared" si="6"/>
        <v>6743.2</v>
      </c>
      <c r="E22" s="3781">
        <f t="shared" si="1"/>
        <v>48081</v>
      </c>
      <c r="F22" s="3784"/>
      <c r="G22" s="3785">
        <f>'数据-基础表'!M16</f>
        <v>48081</v>
      </c>
      <c r="H22" s="3783">
        <f t="shared" si="7"/>
        <v>0</v>
      </c>
      <c r="I22" s="3671">
        <f t="shared" si="2"/>
        <v>0</v>
      </c>
      <c r="J22" s="763"/>
      <c r="K22" s="3783">
        <f t="shared" si="3"/>
        <v>0</v>
      </c>
      <c r="L22" s="3781">
        <f t="shared" si="4"/>
        <v>0</v>
      </c>
      <c r="M22" s="3671">
        <f t="shared" si="8"/>
        <v>0</v>
      </c>
      <c r="N22" s="3795"/>
      <c r="O22" s="3796"/>
      <c r="P22" s="3671">
        <f t="shared" si="9"/>
        <v>0</v>
      </c>
      <c r="R22" s="3781">
        <f t="shared" si="5"/>
        <v>6743.2</v>
      </c>
      <c r="S22" s="3781">
        <f t="shared" si="5"/>
        <v>48081</v>
      </c>
    </row>
    <row r="23" spans="1:19">
      <c r="A23" s="1189"/>
      <c r="B23" s="26" t="s">
        <v>1134</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1134</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1134</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1134</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29.25" thickBot="1">
      <c r="A27" s="1189"/>
      <c r="B27" s="25"/>
      <c r="C27" s="1190" t="s">
        <v>1135</v>
      </c>
      <c r="D27" s="172">
        <f>SUM(D19:D26)</f>
        <v>20915.829999999998</v>
      </c>
      <c r="E27" s="172">
        <f>IF(SUM(E19:E26)='数据-基础表'!BA5,SUM(E19:E26),IF(F27="地上面积有误","面积有误","地下面积有误"))</f>
        <v>149136</v>
      </c>
      <c r="F27" s="172">
        <f>IF(SUM(F19:F26)=E8,SUM(F19:F26),"地上面积有误")</f>
        <v>101055</v>
      </c>
      <c r="G27" s="3669">
        <f>SUM(G19:G26)</f>
        <v>48081</v>
      </c>
      <c r="H27" s="3787">
        <f>SUM(H19:H26)</f>
        <v>658.18</v>
      </c>
      <c r="I27" s="3788">
        <f>SUM(I19:I26)</f>
        <v>4693</v>
      </c>
      <c r="J27" s="763"/>
      <c r="K27" s="3787">
        <f>SUM(K19:K26)</f>
        <v>0</v>
      </c>
      <c r="L27" s="3793">
        <f>SUM(L19:L26)</f>
        <v>4693</v>
      </c>
      <c r="M27" s="3794">
        <f>SUM(M19:M26)</f>
        <v>4693</v>
      </c>
      <c r="N27" s="3787">
        <f t="shared" ref="N27:O27" si="10">SUM(N19:N26)</f>
        <v>0</v>
      </c>
      <c r="O27" s="3793">
        <f t="shared" si="10"/>
        <v>0</v>
      </c>
      <c r="P27" s="3631">
        <f>SUM(P19:P26)</f>
        <v>0</v>
      </c>
      <c r="R27" s="679" t="str">
        <f>IF(SUM(R19:R26)=$D$3,SUM(R19:R26),SUM(R19:R26)&amp;"误差"&amp;ROUND(SUM(R19:R26)-$D$3,2))</f>
        <v>21574.01误差0.01</v>
      </c>
      <c r="S27" s="3781">
        <f>IF(SUM(S19:S26)=$E$3,SUM(S19:S26),SUM(S19:S26)&amp;"误差"&amp;ROUND(SUM(S19:S26)-E3,2))</f>
        <v>153829</v>
      </c>
    </row>
    <row r="28" spans="1:19">
      <c r="A28" s="1189"/>
      <c r="B28" s="26" t="s">
        <v>1136</v>
      </c>
      <c r="C28" s="30" t="s">
        <v>1137</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1136</v>
      </c>
      <c r="C29" s="1191" t="s">
        <v>1138</v>
      </c>
      <c r="D29" s="3781">
        <f>ROUND($D$3*E29/$E$3,2)</f>
        <v>658.18</v>
      </c>
      <c r="E29" s="3781">
        <f>SUM(F29:G29)</f>
        <v>4693</v>
      </c>
      <c r="F29" s="3790">
        <f>'数据-基础表'!BM5+'数据-基础表'!BO5</f>
        <v>4693</v>
      </c>
      <c r="G29" s="3791">
        <f>'数据-基础表'!BN5+'数据-基础表'!BP5</f>
        <v>0</v>
      </c>
      <c r="H29" s="1928"/>
      <c r="I29" s="1928"/>
      <c r="J29" s="1928"/>
      <c r="K29" s="1928"/>
      <c r="L29" s="1928"/>
      <c r="M29" s="1928"/>
      <c r="N29" s="1928"/>
      <c r="O29" s="1928"/>
      <c r="P29" s="1928"/>
    </row>
    <row r="30" spans="1:19" ht="15">
      <c r="A30" s="1189"/>
      <c r="B30" s="26"/>
      <c r="C30" s="1192" t="s">
        <v>1135</v>
      </c>
      <c r="D30" s="172">
        <f>SUM(D28:D29)</f>
        <v>658.18</v>
      </c>
      <c r="E30" s="172">
        <f>SUM(E28:E29)</f>
        <v>4693</v>
      </c>
      <c r="F30" s="172">
        <f>SUM(F28:F29)</f>
        <v>4693</v>
      </c>
      <c r="G30" s="3669">
        <f>SUM(G28:G29)</f>
        <v>0</v>
      </c>
      <c r="H30" s="1928"/>
      <c r="I30" s="1928"/>
      <c r="J30" s="1928"/>
      <c r="K30" s="1928"/>
      <c r="L30" s="1928"/>
      <c r="M30" s="1928"/>
      <c r="N30" s="1928"/>
      <c r="O30" s="1928"/>
      <c r="P30" s="1928"/>
    </row>
    <row r="31" spans="1:19" ht="15.75" thickBot="1">
      <c r="A31" s="1193"/>
      <c r="B31" s="45"/>
      <c r="C31" s="534" t="s">
        <v>1139</v>
      </c>
      <c r="D31" s="3792">
        <f>D27+D30</f>
        <v>21574.01</v>
      </c>
      <c r="E31" s="3792">
        <f>E27+E30</f>
        <v>153829</v>
      </c>
      <c r="F31" s="3793">
        <f>F27+F30</f>
        <v>105748</v>
      </c>
      <c r="G31" s="3794">
        <f>G27+G30</f>
        <v>48081</v>
      </c>
      <c r="H31" s="1928"/>
      <c r="I31" s="1928"/>
      <c r="J31" s="1928"/>
      <c r="K31" s="1928"/>
      <c r="L31" s="1928"/>
      <c r="M31" s="1928"/>
      <c r="N31" s="1928"/>
      <c r="O31" s="1928"/>
      <c r="P31" s="1928"/>
    </row>
    <row r="32" spans="1:19">
      <c r="A32" s="1166"/>
      <c r="B32" s="1166" t="s">
        <v>1140</v>
      </c>
      <c r="C32" s="1166"/>
      <c r="D32" s="3624"/>
      <c r="E32" s="3624">
        <f>SUMIF(C19:C26,"*住宅*",E19:E26)</f>
        <v>99449</v>
      </c>
      <c r="F32" s="3624"/>
      <c r="G32" s="3624"/>
      <c r="H32" s="1928"/>
      <c r="I32" s="1928"/>
      <c r="J32" s="1928"/>
      <c r="K32" s="1928"/>
      <c r="L32" s="1928"/>
      <c r="M32" s="1928"/>
      <c r="N32" s="1928"/>
      <c r="O32" s="1928"/>
      <c r="P32" s="1928"/>
    </row>
    <row r="33" spans="4:7">
      <c r="D33" s="1194"/>
    </row>
    <row r="36" spans="4:7">
      <c r="G36" s="1161">
        <f>8*8900</f>
        <v>71200</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1" sqref="L11"/>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1141</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1142</v>
      </c>
      <c r="B2" s="689">
        <f>项目基本情况!D3</f>
        <v>46105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1143</v>
      </c>
      <c r="B4" s="1200"/>
      <c r="C4" s="1201"/>
      <c r="D4" s="1202"/>
      <c r="E4" s="1201" t="s">
        <v>1144</v>
      </c>
      <c r="F4" s="1201"/>
      <c r="G4" s="1201"/>
      <c r="H4" s="1201"/>
      <c r="I4" s="1201"/>
      <c r="J4" s="1203"/>
      <c r="K4" s="1204"/>
      <c r="L4" s="1205"/>
      <c r="M4" s="1201"/>
      <c r="N4" s="1201" t="s">
        <v>1145</v>
      </c>
      <c r="O4" s="1201"/>
      <c r="P4" s="1201"/>
      <c r="Q4" s="1201"/>
      <c r="R4" s="1201"/>
      <c r="S4" s="1203"/>
      <c r="T4" s="1927" t="str">
        <f>'数据-汇总表'!I17</f>
        <v>按面积比例</v>
      </c>
      <c r="U4" s="1200" t="s">
        <v>1146</v>
      </c>
      <c r="V4" s="1201"/>
      <c r="W4" s="1201"/>
      <c r="X4" s="1201"/>
      <c r="Y4" s="1203"/>
      <c r="Z4" s="1175" t="s">
        <v>1147</v>
      </c>
      <c r="AA4" s="1175"/>
      <c r="AB4" s="1175"/>
      <c r="AC4" s="1175"/>
      <c r="AD4" s="1175"/>
      <c r="AE4" s="1173" t="s">
        <v>1148</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1149</v>
      </c>
      <c r="B5" s="1208" t="s">
        <v>1150</v>
      </c>
      <c r="C5" s="1209" t="s">
        <v>1151</v>
      </c>
      <c r="D5" s="1210" t="s">
        <v>1152</v>
      </c>
      <c r="E5" s="364" t="s">
        <v>1153</v>
      </c>
      <c r="F5" s="1211" t="s">
        <v>1154</v>
      </c>
      <c r="G5" s="364" t="s">
        <v>1155</v>
      </c>
      <c r="H5" s="364" t="s">
        <v>1156</v>
      </c>
      <c r="I5" s="364" t="s">
        <v>1157</v>
      </c>
      <c r="J5" s="891" t="s">
        <v>1158</v>
      </c>
      <c r="K5" s="1212" t="s">
        <v>1159</v>
      </c>
      <c r="L5" s="1213" t="s">
        <v>1160</v>
      </c>
      <c r="M5" s="1214" t="s">
        <v>1161</v>
      </c>
      <c r="N5" s="1215" t="s">
        <v>4082</v>
      </c>
      <c r="O5" s="1213" t="s">
        <v>1162</v>
      </c>
      <c r="P5" s="1216" t="s">
        <v>1163</v>
      </c>
      <c r="Q5" s="32" t="s">
        <v>1164</v>
      </c>
      <c r="R5" s="1217" t="s">
        <v>1165</v>
      </c>
      <c r="S5" s="1218" t="s">
        <v>1166</v>
      </c>
      <c r="T5" s="1219" t="s">
        <v>1167</v>
      </c>
      <c r="U5" s="690" t="s">
        <v>1168</v>
      </c>
      <c r="V5" s="364" t="s">
        <v>1169</v>
      </c>
      <c r="W5" s="364" t="s">
        <v>1170</v>
      </c>
      <c r="X5" s="34"/>
      <c r="Y5" s="33" t="s">
        <v>1171</v>
      </c>
      <c r="Z5" s="779" t="s">
        <v>1168</v>
      </c>
      <c r="AA5" s="364" t="s">
        <v>1169</v>
      </c>
      <c r="AB5" s="364" t="s">
        <v>1170</v>
      </c>
      <c r="AC5" s="34"/>
      <c r="AD5" s="34" t="s">
        <v>1171</v>
      </c>
      <c r="AE5" s="690" t="s">
        <v>1172</v>
      </c>
      <c r="AF5" s="364" t="s">
        <v>1173</v>
      </c>
      <c r="AG5" s="33" t="s">
        <v>1174</v>
      </c>
      <c r="AH5" s="690" t="s">
        <v>1175</v>
      </c>
      <c r="AI5" s="779" t="s">
        <v>1176</v>
      </c>
      <c r="AJ5" s="779" t="s">
        <v>1177</v>
      </c>
      <c r="AK5" s="364" t="s">
        <v>1178</v>
      </c>
      <c r="AL5" s="364" t="s">
        <v>1179</v>
      </c>
      <c r="AM5" s="33" t="s">
        <v>1180</v>
      </c>
      <c r="AN5" s="1220" t="s">
        <v>1181</v>
      </c>
      <c r="AO5" s="679" t="s">
        <v>1182</v>
      </c>
      <c r="AP5" s="679" t="s">
        <v>1183</v>
      </c>
      <c r="AQ5" s="3320" t="s">
        <v>1184</v>
      </c>
      <c r="AR5" s="3320" t="s">
        <v>1185</v>
      </c>
      <c r="AS5" s="3321" t="s">
        <v>3596</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商品住宅</v>
      </c>
      <c r="B6" s="1222" t="str">
        <f>IF(A6=0,"","经营性")</f>
        <v>经营性</v>
      </c>
      <c r="C6" s="1223" t="s">
        <v>3261</v>
      </c>
      <c r="D6" s="3293">
        <f>SUMIF(项目基本情况!C$12:I$12,C6,项目基本情况!C$14:I$14)</f>
        <v>70</v>
      </c>
      <c r="E6" s="547">
        <f>IF(B6="","",SUMIF(项目基本情况!C$12:I$12,C6,项目基本情况!C$13:I$13))</f>
        <v>69525</v>
      </c>
      <c r="F6" s="3295">
        <f>SUMIF(项目基本情况!C$12:I$12,C6,项目基本情况!C$15:I$15)</f>
        <v>64.16</v>
      </c>
      <c r="G6" s="3296">
        <f t="shared" ref="G6:G13" si="0">IF(ISERROR(ROUND(POWER(1+H6,D6-F6)*(POWER(1+H6,F6)-1)/(POWER(1+H6,D6)-1),4)),0,ROUND(POWER(1+H6,D6-F6)*(POWER(1+H6,F6)-1)/(POWER(1+H6,D6)-1),4))</f>
        <v>0.98229999999999995</v>
      </c>
      <c r="H6" s="3297">
        <v>0.04</v>
      </c>
      <c r="I6" s="3297">
        <v>4.4999999999999998E-2</v>
      </c>
      <c r="J6" s="3298">
        <v>7.0000000000000007E-2</v>
      </c>
      <c r="K6" s="3801">
        <f>SUMIF('数据-汇总表'!C$19:C$33,A6,'数据-汇总表'!E$19:E$33)</f>
        <v>99449</v>
      </c>
      <c r="L6" s="3802">
        <v>2300</v>
      </c>
      <c r="M6" s="3803">
        <f>ROUND(K6*L6/10000,0)</f>
        <v>22873</v>
      </c>
      <c r="N6" s="3285">
        <v>0</v>
      </c>
      <c r="O6" s="3803">
        <f>IF($N$5="成新度","——",ROUND(M6*N6,0))</f>
        <v>0</v>
      </c>
      <c r="P6" s="3633">
        <f>IF($N$5="成新度","——",M6-O6)</f>
        <v>22873</v>
      </c>
      <c r="Q6" s="3286">
        <v>0.1</v>
      </c>
      <c r="R6" s="3817">
        <f ca="1">SUMIF('数据-汇总表'!C$19:C$33,A6,'数据-汇总表'!R$19:R$27)</f>
        <v>14605.57</v>
      </c>
      <c r="S6" s="3781">
        <f>IF('数据-汇总表'!$I$17="按面积比例",SUMIF('数据-汇总表'!C$19:C$33,A6,'数据-汇总表'!K$19:K$33),SUMIF('数据-汇总表'!C$19:C$33,A6,'数据-汇总表'!N$19:N$33))</f>
        <v>0</v>
      </c>
      <c r="T6" s="3818">
        <f>ROUND($L$14*S6/10000,0)</f>
        <v>0</v>
      </c>
      <c r="U6" s="3822"/>
      <c r="V6" s="36"/>
      <c r="W6" s="36"/>
      <c r="X6" s="684"/>
      <c r="Y6" s="37"/>
      <c r="Z6" s="3827"/>
      <c r="AA6" s="35"/>
      <c r="AB6" s="35"/>
      <c r="AC6" s="684"/>
      <c r="AD6" s="38"/>
      <c r="AE6" s="685">
        <f ca="1">IF(AN6="",0,SUMIF(INDIRECT("'"&amp;AN6&amp;"'"&amp;"!E:E"),$AE$5,INDIRECT("'"&amp;AN6&amp;"'"&amp;"!F:F")))</f>
        <v>0</v>
      </c>
      <c r="AF6" s="3829"/>
      <c r="AG6" s="52">
        <f>IF(AF6="",0,AE6-AF6)</f>
        <v>0</v>
      </c>
      <c r="AH6" s="3822"/>
      <c r="AI6" s="3830"/>
      <c r="AJ6" s="3829"/>
      <c r="AK6" s="39"/>
      <c r="AL6" s="40"/>
      <c r="AM6" s="41"/>
      <c r="AN6" s="1224"/>
      <c r="AO6" s="3781" t="e">
        <f ca="1">SUMIF(INDIRECT("'"&amp;AN6&amp;"'"&amp;"!A:A"),"总价",INDIRECT("'"&amp;AN6&amp;"'"&amp;"!B:B"))</f>
        <v>#REF!</v>
      </c>
      <c r="AP6" s="3781">
        <f>IF(C6="住宅",K6*L6,0)</f>
        <v>228732700</v>
      </c>
      <c r="AQ6" s="3781">
        <f>ROUND($L$14*$N$14*S6/10000,0)</f>
        <v>0</v>
      </c>
      <c r="AR6" s="3781">
        <f>ROUND($L$14*(1-$N$14)*S6/10000,0)</f>
        <v>0</v>
      </c>
      <c r="AS6" s="3781">
        <f>ROUND(1-1/(1+H6)^F6,3)</f>
        <v>0.91900000000000004</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安置住宅</v>
      </c>
      <c r="B7" s="1222" t="str">
        <f t="shared" ref="B7:B13" si="1">IF(A7=0,"","经营性")</f>
        <v>经营性</v>
      </c>
      <c r="C7" s="1223" t="s">
        <v>3261</v>
      </c>
      <c r="D7" s="3293">
        <f>SUMIF(项目基本情况!C$12:I$12,C7,项目基本情况!C$14:I$14)</f>
        <v>70</v>
      </c>
      <c r="E7" s="547">
        <f>IF(B7="","",SUMIF(项目基本情况!C$12:I$12,C7,项目基本情况!C$13:I$13))</f>
        <v>69525</v>
      </c>
      <c r="F7" s="3295">
        <f>SUMIF(项目基本情况!C$12:I$12,C7,项目基本情况!C$15:I$15)</f>
        <v>64.16</v>
      </c>
      <c r="G7" s="3296">
        <f t="shared" si="0"/>
        <v>0</v>
      </c>
      <c r="H7" s="3297"/>
      <c r="I7" s="3297"/>
      <c r="J7" s="3298"/>
      <c r="K7" s="3801">
        <f>SUMIF('数据-汇总表'!C$19:C$33,A7,'数据-汇总表'!E$19:E$33)</f>
        <v>0</v>
      </c>
      <c r="L7" s="3802"/>
      <c r="M7" s="3803">
        <f>ROUND(K7*L7/10000,0)</f>
        <v>0</v>
      </c>
      <c r="N7" s="3285">
        <f>N6</f>
        <v>0</v>
      </c>
      <c r="O7" s="3803">
        <f t="shared" ref="O7:O14" si="2">IF($N$5="成新度","——",ROUND(M7*N7,0))</f>
        <v>0</v>
      </c>
      <c r="P7" s="3633">
        <f t="shared" ref="P7:P14" si="3">IF($N$5="成新度","——",M7-O7)</f>
        <v>0</v>
      </c>
      <c r="Q7" s="3286"/>
      <c r="R7" s="3817">
        <f ca="1">SUMIF('数据-汇总表'!C$19:C$33,A7,'数据-汇总表'!R$19:R$27)</f>
        <v>0</v>
      </c>
      <c r="S7" s="3781">
        <f>IF('数据-汇总表'!$I$17="按面积比例",SUMIF('数据-汇总表'!C$19:C$33,A7,'数据-汇总表'!K$19:K$33),SUMIF('数据-汇总表'!C$19:C$33,A7,'数据-汇总表'!N$19:N$33))</f>
        <v>0</v>
      </c>
      <c r="T7" s="3818">
        <f t="shared" ref="T7:T13" si="4">ROUND($L$14*S7/10000,0)</f>
        <v>0</v>
      </c>
      <c r="U7" s="3822"/>
      <c r="V7" s="36"/>
      <c r="W7" s="36"/>
      <c r="X7" s="684"/>
      <c r="Y7" s="37"/>
      <c r="Z7" s="3827"/>
      <c r="AA7" s="35"/>
      <c r="AB7" s="35"/>
      <c r="AC7" s="684"/>
      <c r="AD7" s="38"/>
      <c r="AE7" s="685">
        <f t="shared" ref="AE7:AE13" ca="1" si="5">IF(AN7="",0,SUMIF(INDIRECT("'"&amp;AN7&amp;"'"&amp;"!E:E"),$AE$5,INDIRECT("'"&amp;AN7&amp;"'"&amp;"!F:F")))</f>
        <v>0</v>
      </c>
      <c r="AF7" s="3829"/>
      <c r="AG7" s="52">
        <f t="shared" ref="AG7:AG13" si="6">IF(AF7="",0,AE7-AF7)</f>
        <v>0</v>
      </c>
      <c r="AH7" s="3822"/>
      <c r="AI7" s="3830"/>
      <c r="AJ7" s="3829"/>
      <c r="AK7" s="39"/>
      <c r="AL7" s="40"/>
      <c r="AM7" s="41"/>
      <c r="AN7" s="1224"/>
      <c r="AO7" s="3781" t="e">
        <f t="shared" ref="AO7:AO13" ca="1" si="7">SUMIF(INDIRECT("'"&amp;AN7&amp;"'"&amp;"!A:A"),"总价",INDIRECT("'"&amp;AN7&amp;"'"&amp;"!B:B"))</f>
        <v>#REF!</v>
      </c>
      <c r="AP7" s="3781">
        <f>IF(C7="住宅",K7*L7,0)</f>
        <v>0</v>
      </c>
      <c r="AQ7" s="3781">
        <f t="shared" ref="AQ7:AQ13" si="8">ROUND($L$14*$N$14*S7/10000,0)</f>
        <v>0</v>
      </c>
      <c r="AR7" s="3781">
        <f t="shared" ref="AR7:AR13" si="9">ROUND($L$14*(1-$N$14)*S7/10000,0)</f>
        <v>0</v>
      </c>
      <c r="AS7" s="3781">
        <f t="shared" ref="AS7:AS13" si="10">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t="str">
        <f>'数据-汇总表'!C21</f>
        <v>商业</v>
      </c>
      <c r="B8" s="1222" t="str">
        <f t="shared" si="1"/>
        <v>经营性</v>
      </c>
      <c r="C8" s="1223" t="s">
        <v>658</v>
      </c>
      <c r="D8" s="3293">
        <f>SUMIF(项目基本情况!C$12:I$12,C8,项目基本情况!C$14:I$14)</f>
        <v>40</v>
      </c>
      <c r="E8" s="547">
        <f>IF(B8="","",SUMIF(项目基本情况!C$12:I$12,C8,项目基本情况!C$13:I$13))</f>
        <v>58568</v>
      </c>
      <c r="F8" s="3295">
        <f>SUMIF(项目基本情况!C$12:I$12,C8,项目基本情况!C$15:I$15)</f>
        <v>34.14</v>
      </c>
      <c r="G8" s="3296">
        <f t="shared" si="0"/>
        <v>0.94520000000000004</v>
      </c>
      <c r="H8" s="3297">
        <v>0.05</v>
      </c>
      <c r="I8" s="3297">
        <v>5.5E-2</v>
      </c>
      <c r="J8" s="3298">
        <v>7.0000000000000007E-2</v>
      </c>
      <c r="K8" s="3801">
        <f>SUMIF('数据-汇总表'!C$19:C$33,A8,'数据-汇总表'!E$19:E$33)</f>
        <v>1606</v>
      </c>
      <c r="L8" s="3802">
        <v>2300</v>
      </c>
      <c r="M8" s="3803">
        <f>ROUND(K8*L8/10000,0)</f>
        <v>369</v>
      </c>
      <c r="N8" s="3285">
        <f t="shared" ref="N8:N9" si="11">N7</f>
        <v>0</v>
      </c>
      <c r="O8" s="3803">
        <f t="shared" si="2"/>
        <v>0</v>
      </c>
      <c r="P8" s="3633">
        <f t="shared" si="3"/>
        <v>369</v>
      </c>
      <c r="Q8" s="3286">
        <v>0.15</v>
      </c>
      <c r="R8" s="3817">
        <f ca="1">SUMIF('数据-汇总表'!C$19:C$33,A8,'数据-汇总表'!R$19:R$27)</f>
        <v>225.24</v>
      </c>
      <c r="S8" s="3781">
        <f>IF('数据-汇总表'!$I$17="按面积比例",SUMIF('数据-汇总表'!C$19:C$33,A8,'数据-汇总表'!K$19:K$33),SUMIF('数据-汇总表'!C$19:C$33,A8,'数据-汇总表'!N$19:N$33))</f>
        <v>0</v>
      </c>
      <c r="T8" s="3818">
        <f t="shared" si="4"/>
        <v>0</v>
      </c>
      <c r="U8" s="3823">
        <v>1.5</v>
      </c>
      <c r="V8" s="499">
        <v>1.4999999999999999E-2</v>
      </c>
      <c r="W8" s="499">
        <v>0.1</v>
      </c>
      <c r="X8" s="684"/>
      <c r="Y8" s="37">
        <v>1</v>
      </c>
      <c r="Z8" s="3827"/>
      <c r="AA8" s="35"/>
      <c r="AB8" s="35"/>
      <c r="AC8" s="684"/>
      <c r="AD8" s="38"/>
      <c r="AE8" s="685">
        <f t="shared" ca="1" si="5"/>
        <v>31.64</v>
      </c>
      <c r="AF8" s="3829"/>
      <c r="AG8" s="52">
        <f t="shared" si="6"/>
        <v>0</v>
      </c>
      <c r="AH8" s="3823"/>
      <c r="AI8" s="3830">
        <v>365</v>
      </c>
      <c r="AJ8" s="3829"/>
      <c r="AK8" s="500">
        <v>2E-3</v>
      </c>
      <c r="AL8" s="501">
        <v>1E-3</v>
      </c>
      <c r="AM8" s="502">
        <v>0.01</v>
      </c>
      <c r="AN8" s="1224" t="s">
        <v>4089</v>
      </c>
      <c r="AO8" s="3781">
        <f t="shared" ca="1" si="7"/>
        <v>1164</v>
      </c>
      <c r="AP8" s="3781">
        <f t="shared" ref="AP8:AP13" si="12">IF(C8="住宅",K8*L8,0)</f>
        <v>0</v>
      </c>
      <c r="AQ8" s="3781">
        <f t="shared" si="8"/>
        <v>0</v>
      </c>
      <c r="AR8" s="3781">
        <f t="shared" si="9"/>
        <v>0</v>
      </c>
      <c r="AS8" s="3781">
        <f t="shared" si="10"/>
        <v>0.81100000000000005</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t="str">
        <f>'数据-汇总表'!C22</f>
        <v>地下车库</v>
      </c>
      <c r="B9" s="1222" t="str">
        <f t="shared" si="1"/>
        <v>经营性</v>
      </c>
      <c r="C9" s="1223" t="s">
        <v>3209</v>
      </c>
      <c r="D9" s="3293">
        <f>SUMIF(项目基本情况!C$12:I$12,C9,项目基本情况!C$14:I$14)</f>
        <v>50</v>
      </c>
      <c r="E9" s="547">
        <f>IF(B9="","",SUMIF(项目基本情况!C$12:I$12,C9,项目基本情况!C$13:I$13))</f>
        <v>62220</v>
      </c>
      <c r="F9" s="3295">
        <f>SUMIF(项目基本情况!C$12:I$12,C9,项目基本情况!C$15:I$15)</f>
        <v>44.15</v>
      </c>
      <c r="G9" s="3296">
        <f t="shared" si="0"/>
        <v>0.95779999999999998</v>
      </c>
      <c r="H9" s="3297">
        <v>0.04</v>
      </c>
      <c r="I9" s="3297">
        <v>4.4999999999999998E-2</v>
      </c>
      <c r="J9" s="3298">
        <v>7.0000000000000007E-2</v>
      </c>
      <c r="K9" s="3801">
        <f>SUMIF('数据-汇总表'!C$19:C$33,A9,'数据-汇总表'!E$19:E$33)</f>
        <v>48081</v>
      </c>
      <c r="L9" s="3802">
        <v>2300</v>
      </c>
      <c r="M9" s="3803">
        <f t="shared" ref="M9:M14" si="13">ROUND(K9*L9/10000,0)</f>
        <v>11059</v>
      </c>
      <c r="N9" s="3285">
        <f t="shared" si="11"/>
        <v>0</v>
      </c>
      <c r="O9" s="3803">
        <f t="shared" si="2"/>
        <v>0</v>
      </c>
      <c r="P9" s="3633">
        <f t="shared" si="3"/>
        <v>11059</v>
      </c>
      <c r="Q9" s="3287">
        <v>0.05</v>
      </c>
      <c r="R9" s="3817">
        <f ca="1">SUMIF('数据-汇总表'!C$19:C$33,A9,'数据-汇总表'!R$19:R$27)</f>
        <v>6743.2</v>
      </c>
      <c r="S9" s="3781">
        <f>IF('数据-汇总表'!$I$17="按面积比例",SUMIF('数据-汇总表'!C$19:C$33,A9,'数据-汇总表'!K$19:K$33),SUMIF('数据-汇总表'!C$19:C$33,A9,'数据-汇总表'!N$19:N$33))</f>
        <v>0</v>
      </c>
      <c r="T9" s="3818">
        <f t="shared" si="4"/>
        <v>0</v>
      </c>
      <c r="U9" s="3822">
        <v>0.4</v>
      </c>
      <c r="V9" s="36">
        <v>1.4999999999999999E-2</v>
      </c>
      <c r="W9" s="36">
        <v>0.1</v>
      </c>
      <c r="X9" s="684"/>
      <c r="Y9" s="37">
        <v>1</v>
      </c>
      <c r="Z9" s="3827"/>
      <c r="AA9" s="35"/>
      <c r="AB9" s="35"/>
      <c r="AC9" s="684"/>
      <c r="AD9" s="38"/>
      <c r="AE9" s="685">
        <f t="shared" ca="1" si="5"/>
        <v>41.65</v>
      </c>
      <c r="AF9" s="3829"/>
      <c r="AG9" s="52">
        <f t="shared" si="6"/>
        <v>0</v>
      </c>
      <c r="AH9" s="3822"/>
      <c r="AI9" s="3830">
        <v>365</v>
      </c>
      <c r="AJ9" s="3829"/>
      <c r="AK9" s="39">
        <v>2E-3</v>
      </c>
      <c r="AL9" s="40">
        <v>1E-3</v>
      </c>
      <c r="AM9" s="41">
        <v>0.01</v>
      </c>
      <c r="AN9" s="1224" t="s">
        <v>4090</v>
      </c>
      <c r="AO9" s="3781">
        <f t="shared" ca="1" si="7"/>
        <v>11244</v>
      </c>
      <c r="AP9" s="3781">
        <f t="shared" si="12"/>
        <v>0</v>
      </c>
      <c r="AQ9" s="3781">
        <f t="shared" si="8"/>
        <v>0</v>
      </c>
      <c r="AR9" s="3781">
        <f t="shared" si="9"/>
        <v>0</v>
      </c>
      <c r="AS9" s="3781">
        <f t="shared" si="10"/>
        <v>0.82299999999999995</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1"/>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3"/>
        <v>0</v>
      </c>
      <c r="N10" s="3285"/>
      <c r="O10" s="3803">
        <f t="shared" si="2"/>
        <v>0</v>
      </c>
      <c r="P10" s="3633">
        <f t="shared" si="3"/>
        <v>0</v>
      </c>
      <c r="Q10" s="3287"/>
      <c r="R10" s="3817">
        <f ca="1">SUMIF('数据-汇总表'!C$19:C$33,A10,'数据-汇总表'!R$19:R$27)</f>
        <v>0</v>
      </c>
      <c r="S10" s="3781">
        <f>IF('数据-汇总表'!$I$17="按面积比例",SUMIF('数据-汇总表'!C$19:C$33,A10,'数据-汇总表'!K$19:K$33),SUMIF('数据-汇总表'!C$19:C$33,A10,'数据-汇总表'!N$19:N$33))</f>
        <v>0</v>
      </c>
      <c r="T10" s="3818">
        <f t="shared" si="4"/>
        <v>0</v>
      </c>
      <c r="U10" s="3822"/>
      <c r="V10" s="36"/>
      <c r="W10" s="36"/>
      <c r="X10" s="684"/>
      <c r="Y10" s="37"/>
      <c r="Z10" s="3827"/>
      <c r="AA10" s="35"/>
      <c r="AB10" s="35"/>
      <c r="AC10" s="684"/>
      <c r="AD10" s="38"/>
      <c r="AE10" s="685">
        <f t="shared" ca="1" si="5"/>
        <v>0</v>
      </c>
      <c r="AF10" s="3829"/>
      <c r="AG10" s="52">
        <f t="shared" si="6"/>
        <v>0</v>
      </c>
      <c r="AH10" s="3822"/>
      <c r="AI10" s="3830"/>
      <c r="AJ10" s="3829"/>
      <c r="AK10" s="39"/>
      <c r="AL10" s="40"/>
      <c r="AM10" s="41"/>
      <c r="AN10" s="1224"/>
      <c r="AO10" s="3781" t="e">
        <f t="shared" ca="1" si="7"/>
        <v>#REF!</v>
      </c>
      <c r="AP10" s="3781">
        <f t="shared" si="12"/>
        <v>0</v>
      </c>
      <c r="AQ10" s="3781">
        <f t="shared" si="8"/>
        <v>0</v>
      </c>
      <c r="AR10" s="3781">
        <f t="shared" si="9"/>
        <v>0</v>
      </c>
      <c r="AS10" s="3781">
        <f t="shared" si="10"/>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1"/>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3"/>
        <v>0</v>
      </c>
      <c r="N11" s="3285"/>
      <c r="O11" s="3803">
        <f t="shared" si="2"/>
        <v>0</v>
      </c>
      <c r="P11" s="3633">
        <f t="shared" si="3"/>
        <v>0</v>
      </c>
      <c r="Q11" s="3287"/>
      <c r="R11" s="3817">
        <f ca="1">SUMIF('数据-汇总表'!C$19:C$33,A11,'数据-汇总表'!R$19:R$27)</f>
        <v>0</v>
      </c>
      <c r="S11" s="3781">
        <f>IF('数据-汇总表'!$I$17="按面积比例",SUMIF('数据-汇总表'!C$19:C$33,A11,'数据-汇总表'!K$19:K$33),SUMIF('数据-汇总表'!C$19:C$33,A11,'数据-汇总表'!N$19:N$33))</f>
        <v>0</v>
      </c>
      <c r="T11" s="3818">
        <f t="shared" si="4"/>
        <v>0</v>
      </c>
      <c r="U11" s="3822"/>
      <c r="V11" s="35"/>
      <c r="W11" s="35"/>
      <c r="X11" s="684"/>
      <c r="Y11" s="37"/>
      <c r="Z11" s="3828"/>
      <c r="AA11" s="35"/>
      <c r="AB11" s="35"/>
      <c r="AC11" s="684"/>
      <c r="AD11" s="38"/>
      <c r="AE11" s="685">
        <f t="shared" ca="1" si="5"/>
        <v>0</v>
      </c>
      <c r="AF11" s="3829"/>
      <c r="AG11" s="52">
        <f t="shared" si="6"/>
        <v>0</v>
      </c>
      <c r="AH11" s="3822"/>
      <c r="AI11" s="3830"/>
      <c r="AJ11" s="3829"/>
      <c r="AK11" s="39"/>
      <c r="AL11" s="40"/>
      <c r="AM11" s="41"/>
      <c r="AN11" s="1224"/>
      <c r="AO11" s="3781" t="e">
        <f t="shared" ca="1" si="7"/>
        <v>#REF!</v>
      </c>
      <c r="AP11" s="3781">
        <f t="shared" si="12"/>
        <v>0</v>
      </c>
      <c r="AQ11" s="3781">
        <f t="shared" si="8"/>
        <v>0</v>
      </c>
      <c r="AR11" s="3781">
        <f t="shared" si="9"/>
        <v>0</v>
      </c>
      <c r="AS11" s="3781">
        <f t="shared" si="10"/>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1"/>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f t="shared" si="2"/>
        <v>0</v>
      </c>
      <c r="P12" s="3633">
        <f t="shared" si="3"/>
        <v>0</v>
      </c>
      <c r="Q12" s="3287"/>
      <c r="R12" s="3817">
        <f ca="1">SUMIF('数据-汇总表'!C$19:C$33,A12,'数据-汇总表'!R$19:R$27)</f>
        <v>0</v>
      </c>
      <c r="S12" s="3781">
        <f>IF('数据-汇总表'!$I$17="按面积比例",SUMIF('数据-汇总表'!C$19:C$33,A12,'数据-汇总表'!K$19:K$33),SUMIF('数据-汇总表'!C$19:C$33,A12,'数据-汇总表'!N$19:N$33))</f>
        <v>0</v>
      </c>
      <c r="T12" s="3818">
        <f t="shared" si="4"/>
        <v>0</v>
      </c>
      <c r="U12" s="3822"/>
      <c r="V12" s="35"/>
      <c r="W12" s="35"/>
      <c r="X12" s="684"/>
      <c r="Y12" s="37"/>
      <c r="Z12" s="3828"/>
      <c r="AA12" s="35"/>
      <c r="AB12" s="35"/>
      <c r="AC12" s="684"/>
      <c r="AD12" s="38"/>
      <c r="AE12" s="685">
        <f t="shared" ca="1" si="5"/>
        <v>0</v>
      </c>
      <c r="AF12" s="3829"/>
      <c r="AG12" s="52">
        <f t="shared" si="6"/>
        <v>0</v>
      </c>
      <c r="AH12" s="3822"/>
      <c r="AI12" s="3830"/>
      <c r="AJ12" s="3829"/>
      <c r="AK12" s="39"/>
      <c r="AL12" s="40"/>
      <c r="AM12" s="41"/>
      <c r="AN12" s="1224"/>
      <c r="AO12" s="3781" t="e">
        <f t="shared" ca="1" si="7"/>
        <v>#REF!</v>
      </c>
      <c r="AP12" s="3781">
        <f t="shared" si="12"/>
        <v>0</v>
      </c>
      <c r="AQ12" s="3781">
        <f t="shared" si="8"/>
        <v>0</v>
      </c>
      <c r="AR12" s="3781">
        <f t="shared" si="9"/>
        <v>0</v>
      </c>
      <c r="AS12" s="3781">
        <f t="shared" si="10"/>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1"/>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f t="shared" si="2"/>
        <v>0</v>
      </c>
      <c r="P13" s="3633">
        <f t="shared" si="3"/>
        <v>0</v>
      </c>
      <c r="Q13" s="3287"/>
      <c r="R13" s="3817">
        <f ca="1">SUMIF('数据-汇总表'!C$19:C$33,A13,'数据-汇总表'!R$19:R$27)</f>
        <v>0</v>
      </c>
      <c r="S13" s="3781">
        <f>IF('数据-汇总表'!$I$17="按面积比例",SUMIF('数据-汇总表'!C$19:C$33,A13,'数据-汇总表'!K$19:K$33),SUMIF('数据-汇总表'!C$19:C$33,A13,'数据-汇总表'!N$19:N$33))</f>
        <v>0</v>
      </c>
      <c r="T13" s="3818">
        <f t="shared" si="4"/>
        <v>0</v>
      </c>
      <c r="U13" s="3824"/>
      <c r="V13" s="36"/>
      <c r="W13" s="36"/>
      <c r="X13" s="684"/>
      <c r="Y13" s="37"/>
      <c r="Z13" s="3827"/>
      <c r="AA13" s="35"/>
      <c r="AB13" s="35"/>
      <c r="AC13" s="684"/>
      <c r="AD13" s="38"/>
      <c r="AE13" s="685">
        <f t="shared" ca="1" si="5"/>
        <v>0</v>
      </c>
      <c r="AF13" s="3829"/>
      <c r="AG13" s="52">
        <f t="shared" si="6"/>
        <v>0</v>
      </c>
      <c r="AH13" s="3822"/>
      <c r="AI13" s="3830"/>
      <c r="AJ13" s="3829"/>
      <c r="AK13" s="39"/>
      <c r="AL13" s="40"/>
      <c r="AM13" s="41"/>
      <c r="AN13" s="1224"/>
      <c r="AO13" s="3781" t="e">
        <f t="shared" ca="1" si="7"/>
        <v>#REF!</v>
      </c>
      <c r="AP13" s="3781">
        <f t="shared" si="12"/>
        <v>0</v>
      </c>
      <c r="AQ13" s="3781">
        <f t="shared" si="8"/>
        <v>0</v>
      </c>
      <c r="AR13" s="3781">
        <f t="shared" si="9"/>
        <v>0</v>
      </c>
      <c r="AS13" s="3781">
        <f t="shared" si="10"/>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1186</v>
      </c>
      <c r="B14" s="1222" t="s">
        <v>1187</v>
      </c>
      <c r="C14" s="1226" t="s">
        <v>1186</v>
      </c>
      <c r="D14" s="3293"/>
      <c r="E14" s="547"/>
      <c r="F14" s="3295"/>
      <c r="G14" s="3296"/>
      <c r="H14" s="3299"/>
      <c r="I14" s="3299"/>
      <c r="J14" s="3299"/>
      <c r="K14" s="3801">
        <f>SUMIF('数据-汇总表'!C$19:C$33,A14,'数据-汇总表'!E$19:E$33)</f>
        <v>0</v>
      </c>
      <c r="L14" s="3804"/>
      <c r="M14" s="3803">
        <f t="shared" si="13"/>
        <v>0</v>
      </c>
      <c r="N14" s="3288"/>
      <c r="O14" s="3803">
        <f t="shared" si="2"/>
        <v>0</v>
      </c>
      <c r="P14" s="3633">
        <f t="shared" si="3"/>
        <v>0</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1188</v>
      </c>
      <c r="B15" s="1222" t="s">
        <v>1187</v>
      </c>
      <c r="C15" s="1226" t="s">
        <v>1189</v>
      </c>
      <c r="D15" s="3293"/>
      <c r="E15" s="547"/>
      <c r="F15" s="3295"/>
      <c r="G15" s="3296"/>
      <c r="H15" s="3299"/>
      <c r="I15" s="3299"/>
      <c r="J15" s="3299"/>
      <c r="K15" s="3801">
        <f>SUMIF('数据-汇总表'!C$19:C$33,A15,'数据-汇总表'!E$19:E$33)</f>
        <v>4693</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1190</v>
      </c>
      <c r="B16" s="42"/>
      <c r="C16" s="533"/>
      <c r="D16" s="3294"/>
      <c r="E16" s="42"/>
      <c r="F16" s="3300"/>
      <c r="G16" s="3301">
        <f>ROUND(SUMPRODUCT(G6:G13,K6:K13)/SUMPRODUCT((G6:G13&gt;0)*(K6:K13)),4)</f>
        <v>0.97399999999999998</v>
      </c>
      <c r="H16" s="3302">
        <f>ROUND(SUMPRODUCT(H6:H13,K6:K13)/SUMPRODUCT((H6:H13&gt;0)*(K6:K13)),3)</f>
        <v>0.04</v>
      </c>
      <c r="I16" s="3303"/>
      <c r="J16" s="3303"/>
      <c r="K16" s="3805">
        <f>SUM(K6:K15)</f>
        <v>153829</v>
      </c>
      <c r="L16" s="3806">
        <f>ROUND(M16*10000/SUM(K6:K14),0)</f>
        <v>2300</v>
      </c>
      <c r="M16" s="3806">
        <f>SUM(M6:M14)</f>
        <v>34301</v>
      </c>
      <c r="N16" s="3291">
        <f>ROUND(SUMPRODUCT(M6:M14,N6:N14)/M16,3)</f>
        <v>0</v>
      </c>
      <c r="O16" s="3806">
        <f>SUM(O6:O14)</f>
        <v>0</v>
      </c>
      <c r="P16" s="3806">
        <f>SUM(P6:P14)</f>
        <v>34301</v>
      </c>
      <c r="Q16" s="3292">
        <f>ROUND(SUMPRODUCT(Q6:Q13,K6:K13)/SUMPRODUCT((Q6:Q13&gt;0)*(K6:K13)),2)</f>
        <v>0.08</v>
      </c>
      <c r="R16" s="3819">
        <f ca="1">SUM(R6:R13)</f>
        <v>21574.01</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0.88700000000000001</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1191</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1192</v>
      </c>
      <c r="B19" s="3807">
        <v>0</v>
      </c>
      <c r="C19" s="3918" t="s">
        <v>2187</v>
      </c>
      <c r="D19" s="3914"/>
      <c r="E19" s="3915"/>
      <c r="F19" s="3915"/>
      <c r="G19" s="3915"/>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1193</v>
      </c>
      <c r="B20" s="3808">
        <v>2.5</v>
      </c>
      <c r="C20" s="3916" t="s">
        <v>3837</v>
      </c>
      <c r="D20" s="3914"/>
      <c r="E20" s="3915"/>
      <c r="F20" s="3915"/>
      <c r="G20" s="3915"/>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1194</v>
      </c>
      <c r="B21" s="3808">
        <v>0</v>
      </c>
      <c r="C21" s="1928"/>
      <c r="D21" s="1941"/>
      <c r="E21" s="1928"/>
      <c r="F21" s="1928"/>
      <c r="G21" s="1928"/>
      <c r="H21" s="1928"/>
      <c r="I21" s="1928"/>
      <c r="J21" s="1928"/>
      <c r="K21" s="1939"/>
      <c r="L21" s="1939">
        <v>2500</v>
      </c>
      <c r="M21" s="1938"/>
      <c r="N21" s="1938"/>
      <c r="O21" s="1938"/>
      <c r="P21" s="1938"/>
      <c r="Q21" s="1938"/>
      <c r="R21" s="1938"/>
      <c r="S21" s="1938"/>
      <c r="T21" s="1938"/>
      <c r="U21" s="1938">
        <f>0.4*40*30</f>
        <v>480</v>
      </c>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1195</v>
      </c>
      <c r="B22" s="3809">
        <f>B19+B20</f>
        <v>2.5</v>
      </c>
      <c r="C22" s="1928"/>
      <c r="D22" s="1941"/>
      <c r="E22" s="1928"/>
      <c r="F22" s="1928"/>
      <c r="G22" s="1928"/>
      <c r="H22" s="1928"/>
      <c r="I22" s="1928"/>
      <c r="J22" s="1928"/>
      <c r="K22" s="1939"/>
      <c r="L22" s="1939">
        <v>1.0900000000000001</v>
      </c>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1196</v>
      </c>
      <c r="B23" s="3809">
        <f>B19+B21</f>
        <v>0</v>
      </c>
      <c r="C23" s="1928"/>
      <c r="D23" s="1941"/>
      <c r="E23" s="1928"/>
      <c r="F23" s="1928"/>
      <c r="G23" s="1928"/>
      <c r="H23" s="1928"/>
      <c r="I23" s="1928"/>
      <c r="J23" s="1928"/>
      <c r="K23" s="1939"/>
      <c r="L23" s="1939">
        <f>L21/L22</f>
        <v>2293.5779816513759</v>
      </c>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1197</v>
      </c>
      <c r="B24" s="3810">
        <f>B20-B21</f>
        <v>2.5</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1198</v>
      </c>
      <c r="B26" s="1232" t="s">
        <v>1199</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1200</v>
      </c>
      <c r="B27" s="3811">
        <v>50</v>
      </c>
      <c r="C27" s="3961" t="s">
        <v>2188</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1201</v>
      </c>
      <c r="B28" s="3812">
        <v>90</v>
      </c>
      <c r="C28" s="4107"/>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1202</v>
      </c>
      <c r="B29" s="3813">
        <v>0</v>
      </c>
      <c r="C29" s="3962" t="s">
        <v>3836</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1203</v>
      </c>
      <c r="B30" s="3814">
        <v>150</v>
      </c>
      <c r="C30" s="3967" t="s">
        <v>3964</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1204</v>
      </c>
      <c r="B31" s="3809">
        <f>B30-B32</f>
        <v>150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1205</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3801</v>
      </c>
      <c r="B33" s="3908">
        <v>0.08</v>
      </c>
      <c r="C33" s="3952" t="s">
        <v>3829</v>
      </c>
      <c r="D33" s="3914"/>
      <c r="E33" s="3915"/>
      <c r="F33" s="3915"/>
      <c r="G33" s="3915"/>
      <c r="H33" s="1928"/>
      <c r="I33" s="1928"/>
      <c r="J33" s="1928">
        <f>B33*L16</f>
        <v>184</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1206</v>
      </c>
      <c r="B34" s="3909">
        <v>0.1</v>
      </c>
      <c r="C34" s="3916" t="s">
        <v>3831</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1207</v>
      </c>
      <c r="B35" s="3910">
        <v>350</v>
      </c>
      <c r="C35" s="3918" t="s">
        <v>3833</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3282</v>
      </c>
      <c r="B36" s="3304">
        <v>0.03</v>
      </c>
      <c r="C36" s="3953" t="s">
        <v>3832</v>
      </c>
      <c r="D36" s="3919"/>
      <c r="E36" s="3920"/>
      <c r="F36" s="3920"/>
      <c r="G36" s="3915"/>
      <c r="H36" s="1928"/>
      <c r="I36" s="1928"/>
      <c r="J36" s="1928">
        <f>B36*L16</f>
        <v>69</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3283</v>
      </c>
      <c r="B37" s="3305">
        <v>0.03</v>
      </c>
      <c r="C37" s="3918" t="s">
        <v>3830</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1208</v>
      </c>
      <c r="B38" s="3306">
        <v>0.01</v>
      </c>
      <c r="C38" s="3916" t="s">
        <v>3258</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1209</v>
      </c>
      <c r="B39" s="3304">
        <v>0.03</v>
      </c>
      <c r="C39" s="3916" t="s">
        <v>3834</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1210</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2194</v>
      </c>
      <c r="B41" s="3308">
        <f ca="1">IF(A41="利息：取LPR",存贷款利率!G1,存贷款利率!G1+C41)</f>
        <v>3.1899999999999998E-2</v>
      </c>
      <c r="C41" s="4108"/>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3275</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1211</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1212</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1213</v>
      </c>
      <c r="B45" s="3310">
        <v>7.0000000000000007E-2</v>
      </c>
      <c r="C45" s="3916" t="s">
        <v>3259</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1214</v>
      </c>
      <c r="B46" s="3311">
        <v>0.03</v>
      </c>
      <c r="C46" s="3962" t="s">
        <v>3838</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1215</v>
      </c>
      <c r="B47" s="3311">
        <v>0.02</v>
      </c>
      <c r="C47" s="3962" t="s">
        <v>3839</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1216</v>
      </c>
      <c r="B48" s="3312">
        <v>0</v>
      </c>
      <c r="C48" s="3965" t="s">
        <v>2189</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1217</v>
      </c>
      <c r="B49" s="3313">
        <v>0.03</v>
      </c>
      <c r="C49" s="3962" t="s">
        <v>3840</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1218</v>
      </c>
      <c r="B50" s="3311">
        <v>5.0000000000000001E-4</v>
      </c>
      <c r="C50" s="3962" t="s">
        <v>3841</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1219</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1220</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1221</v>
      </c>
      <c r="B53" s="3314">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1222</v>
      </c>
      <c r="B54" s="3315" t="s">
        <v>182</v>
      </c>
      <c r="C54" s="1939" t="s">
        <v>3842</v>
      </c>
      <c r="D54" s="3966" t="s">
        <v>3843</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1223</v>
      </c>
      <c r="B55" s="3800">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1224</v>
      </c>
      <c r="B56" s="3800">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1225</v>
      </c>
      <c r="B57" s="3800">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1226</v>
      </c>
      <c r="B58" s="3800">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1227</v>
      </c>
      <c r="B59" s="3800">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1228</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1229</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1230</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1231</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1232</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8" t="s">
        <v>2179</v>
      </c>
      <c r="B1" s="4369"/>
      <c r="C1" s="4369"/>
      <c r="D1" s="4369"/>
      <c r="E1" s="4369"/>
      <c r="F1" s="4369"/>
      <c r="G1" s="436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2176</v>
      </c>
      <c r="D2" s="1228"/>
      <c r="E2" s="1800"/>
      <c r="F2" s="1803"/>
      <c r="G2" s="1802" t="s">
        <v>2177</v>
      </c>
      <c r="H2" s="521"/>
      <c r="I2" s="521"/>
      <c r="J2" s="521"/>
      <c r="K2" s="521"/>
      <c r="L2" s="521"/>
      <c r="M2" s="521"/>
      <c r="N2" s="521"/>
      <c r="O2" s="521"/>
      <c r="P2" s="521"/>
      <c r="Q2" s="521"/>
    </row>
    <row r="3" spans="1:29" ht="24">
      <c r="A3" s="1787" t="s">
        <v>2178</v>
      </c>
      <c r="B3" s="1804" t="s">
        <v>2154</v>
      </c>
      <c r="C3" s="1805"/>
      <c r="D3" s="1806"/>
      <c r="E3" s="1788" t="s">
        <v>2178</v>
      </c>
      <c r="F3" s="1807" t="s">
        <v>2155</v>
      </c>
      <c r="G3" s="1808"/>
      <c r="H3" s="521"/>
      <c r="I3" s="521"/>
      <c r="J3" s="521"/>
      <c r="K3" s="521"/>
      <c r="L3" s="521"/>
      <c r="M3" s="521"/>
      <c r="N3" s="521"/>
      <c r="O3" s="521"/>
      <c r="P3" s="521"/>
      <c r="Q3" s="521"/>
    </row>
    <row r="4" spans="1:29">
      <c r="A4" s="1788"/>
      <c r="B4" s="206" t="s">
        <v>2156</v>
      </c>
      <c r="C4" s="1809"/>
      <c r="D4" s="1806"/>
      <c r="E4" s="1810"/>
      <c r="F4" s="924" t="s">
        <v>2157</v>
      </c>
      <c r="G4" s="1811"/>
      <c r="H4" s="521"/>
      <c r="I4" s="521"/>
      <c r="J4" s="521"/>
      <c r="K4" s="521"/>
      <c r="L4" s="521"/>
      <c r="M4" s="521"/>
      <c r="N4" s="521"/>
      <c r="O4" s="521"/>
      <c r="P4" s="521"/>
      <c r="Q4" s="521"/>
    </row>
    <row r="5" spans="1:29">
      <c r="A5" s="1788"/>
      <c r="B5" s="206" t="s">
        <v>2158</v>
      </c>
      <c r="C5" s="1809"/>
      <c r="D5" s="1806"/>
      <c r="E5" s="1810"/>
      <c r="F5" s="206" t="s">
        <v>2159</v>
      </c>
      <c r="G5" s="1811"/>
      <c r="H5" s="521"/>
      <c r="I5" s="521"/>
      <c r="J5" s="521"/>
      <c r="K5" s="521"/>
      <c r="L5" s="521"/>
      <c r="M5" s="521"/>
      <c r="N5" s="521"/>
      <c r="O5" s="521"/>
      <c r="P5" s="521"/>
      <c r="Q5" s="521"/>
    </row>
    <row r="6" spans="1:29">
      <c r="A6" s="1788"/>
      <c r="B6" s="206" t="s">
        <v>2160</v>
      </c>
      <c r="C6" s="1811"/>
      <c r="D6" s="1806"/>
      <c r="E6" s="1810"/>
      <c r="F6" s="206" t="s">
        <v>2161</v>
      </c>
      <c r="G6" s="1811"/>
      <c r="H6" s="521"/>
      <c r="I6" s="521"/>
      <c r="J6" s="521"/>
      <c r="K6" s="521"/>
      <c r="L6" s="521"/>
      <c r="M6" s="521"/>
      <c r="N6" s="521"/>
      <c r="O6" s="521"/>
      <c r="P6" s="521"/>
      <c r="Q6" s="521"/>
    </row>
    <row r="7" spans="1:29" ht="15" thickBot="1">
      <c r="A7" s="1788"/>
      <c r="B7" s="206" t="s">
        <v>2159</v>
      </c>
      <c r="C7" s="1811"/>
      <c r="D7" s="1785"/>
      <c r="E7" s="1812"/>
      <c r="F7" s="1813" t="s">
        <v>2162</v>
      </c>
      <c r="G7" s="1814"/>
      <c r="H7" s="521"/>
      <c r="I7" s="521"/>
      <c r="J7" s="521"/>
      <c r="K7" s="521"/>
      <c r="L7" s="521"/>
      <c r="M7" s="521"/>
      <c r="N7" s="521"/>
      <c r="O7" s="521"/>
      <c r="P7" s="521"/>
      <c r="Q7" s="521"/>
    </row>
    <row r="8" spans="1:29">
      <c r="A8" s="1788"/>
      <c r="B8" s="206" t="s">
        <v>2161</v>
      </c>
      <c r="C8" s="1811"/>
      <c r="D8" s="1785"/>
      <c r="E8" s="1785"/>
      <c r="F8" s="47"/>
      <c r="G8" s="47"/>
      <c r="H8" s="521"/>
      <c r="I8" s="521"/>
      <c r="J8" s="521"/>
      <c r="K8" s="521"/>
      <c r="L8" s="521"/>
      <c r="M8" s="521"/>
      <c r="N8" s="521"/>
      <c r="O8" s="521"/>
      <c r="P8" s="521"/>
      <c r="Q8" s="521"/>
    </row>
    <row r="9" spans="1:29">
      <c r="A9" s="1788"/>
      <c r="B9" s="206" t="s">
        <v>2163</v>
      </c>
      <c r="C9" s="1809"/>
      <c r="D9" s="1806"/>
      <c r="E9" s="1785"/>
      <c r="F9" s="47"/>
      <c r="G9" s="47"/>
      <c r="H9" s="521"/>
      <c r="I9" s="521"/>
      <c r="J9" s="521"/>
      <c r="K9" s="521"/>
      <c r="L9" s="521"/>
      <c r="M9" s="521"/>
      <c r="N9" s="521"/>
      <c r="O9" s="521"/>
      <c r="P9" s="521"/>
      <c r="Q9" s="521"/>
    </row>
    <row r="10" spans="1:29" ht="15" thickBot="1">
      <c r="A10" s="1789"/>
      <c r="B10" s="1815" t="s">
        <v>2164</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2180</v>
      </c>
      <c r="B13" s="1820"/>
      <c r="C13" s="1820"/>
      <c r="D13" s="1819"/>
      <c r="E13" s="1820"/>
      <c r="F13" s="1820"/>
      <c r="G13" s="1820"/>
    </row>
    <row r="14" spans="1:29" ht="15" thickBot="1">
      <c r="A14" s="1825"/>
      <c r="B14" s="1825"/>
      <c r="C14" s="1826" t="s">
        <v>2165</v>
      </c>
      <c r="D14" s="1806"/>
      <c r="E14" s="1827"/>
      <c r="F14" s="1827"/>
      <c r="G14" s="1802" t="s">
        <v>2166</v>
      </c>
    </row>
    <row r="15" spans="1:29" ht="24">
      <c r="A15" s="1790" t="s">
        <v>2167</v>
      </c>
      <c r="B15" s="1828" t="s">
        <v>2154</v>
      </c>
      <c r="C15" s="1829">
        <f>C3</f>
        <v>0</v>
      </c>
      <c r="D15" s="1806"/>
      <c r="E15" s="1791" t="s">
        <v>2168</v>
      </c>
      <c r="F15" s="1828" t="s">
        <v>2169</v>
      </c>
      <c r="G15" s="1830">
        <f>G3</f>
        <v>0</v>
      </c>
    </row>
    <row r="16" spans="1:29">
      <c r="A16" s="1792"/>
      <c r="B16" s="1831" t="s">
        <v>2156</v>
      </c>
      <c r="C16" s="1832">
        <f>C4</f>
        <v>0</v>
      </c>
      <c r="D16" s="1806"/>
      <c r="E16" s="1793"/>
      <c r="F16" s="1833" t="s">
        <v>2157</v>
      </c>
      <c r="G16" s="1834">
        <f>G4</f>
        <v>0</v>
      </c>
    </row>
    <row r="17" spans="1:17">
      <c r="A17" s="1792"/>
      <c r="B17" s="1831" t="s">
        <v>2158</v>
      </c>
      <c r="C17" s="1832">
        <f>C5</f>
        <v>0</v>
      </c>
      <c r="D17" s="1785"/>
      <c r="E17" s="1793"/>
      <c r="F17" s="1833" t="s">
        <v>2170</v>
      </c>
      <c r="G17" s="1835"/>
    </row>
    <row r="18" spans="1:17">
      <c r="A18" s="1792"/>
      <c r="B18" s="1833" t="s">
        <v>2160</v>
      </c>
      <c r="C18" s="1834">
        <f>C6</f>
        <v>0</v>
      </c>
      <c r="D18" s="1785"/>
      <c r="E18" s="1793"/>
      <c r="F18" s="1833" t="s">
        <v>2162</v>
      </c>
      <c r="G18" s="1834">
        <f>G7</f>
        <v>0</v>
      </c>
    </row>
    <row r="19" spans="1:17">
      <c r="A19" s="1792"/>
      <c r="B19" s="1833" t="s">
        <v>2171</v>
      </c>
      <c r="C19" s="1835"/>
      <c r="D19" s="1806"/>
      <c r="E19" s="1793"/>
      <c r="F19" s="206" t="s">
        <v>2159</v>
      </c>
      <c r="G19" s="1834">
        <f>G5</f>
        <v>0</v>
      </c>
    </row>
    <row r="20" spans="1:17">
      <c r="A20" s="1792"/>
      <c r="B20" s="1833" t="s">
        <v>2172</v>
      </c>
      <c r="C20" s="1832">
        <f>C9</f>
        <v>0</v>
      </c>
      <c r="D20" s="1785"/>
      <c r="E20" s="1793"/>
      <c r="F20" s="206" t="s">
        <v>2161</v>
      </c>
      <c r="G20" s="1834">
        <f>G6</f>
        <v>0</v>
      </c>
    </row>
    <row r="21" spans="1:17">
      <c r="A21" s="1792"/>
      <c r="B21" s="206" t="s">
        <v>2159</v>
      </c>
      <c r="C21" s="1834">
        <f>C7</f>
        <v>0</v>
      </c>
      <c r="D21" s="1806"/>
      <c r="E21" s="1793"/>
      <c r="F21" s="1833" t="s">
        <v>2173</v>
      </c>
      <c r="G21" s="1836"/>
    </row>
    <row r="22" spans="1:17" ht="13.5" customHeight="1">
      <c r="A22" s="1792"/>
      <c r="B22" s="206" t="s">
        <v>2161</v>
      </c>
      <c r="C22" s="1834">
        <f>C8</f>
        <v>0</v>
      </c>
      <c r="D22" s="1806"/>
      <c r="E22" s="1793"/>
      <c r="F22" s="1833" t="s">
        <v>2164</v>
      </c>
      <c r="G22" s="1835"/>
    </row>
    <row r="23" spans="1:17" s="521" customFormat="1" ht="15" thickBot="1">
      <c r="A23" s="1792"/>
      <c r="B23" s="1833" t="s">
        <v>2173</v>
      </c>
      <c r="C23" s="1836"/>
      <c r="D23" s="1245"/>
      <c r="E23" s="1794"/>
      <c r="F23" s="1837" t="s">
        <v>2174</v>
      </c>
      <c r="G23" s="1838"/>
      <c r="H23" s="1817"/>
      <c r="I23" s="1817"/>
      <c r="J23" s="1817"/>
      <c r="K23" s="1817"/>
      <c r="L23" s="1817"/>
      <c r="M23" s="1817"/>
      <c r="N23" s="1817"/>
      <c r="O23" s="1817"/>
      <c r="P23" s="1817"/>
      <c r="Q23" s="1817"/>
    </row>
    <row r="24" spans="1:17" s="521" customFormat="1" ht="15" thickBot="1">
      <c r="A24" s="1795"/>
      <c r="B24" s="1837" t="s">
        <v>2175</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75" t="str">
        <f>项目基本情况!B1</f>
        <v>北京市房地产抵押价值预评估</v>
      </c>
      <c r="C37" s="4275"/>
      <c r="D37" s="4275"/>
      <c r="E37" s="4275"/>
      <c r="F37" s="4275"/>
      <c r="G37" s="4275"/>
      <c r="H37" s="4275"/>
      <c r="I37" s="427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3.5"/>
  <cols>
    <col min="1" max="1" width="25" style="1841" customWidth="1"/>
    <col min="2" max="9" width="15.75" style="1841" customWidth="1"/>
    <col min="10" max="16384" width="9" style="1841"/>
  </cols>
  <sheetData>
    <row r="1" spans="1:11" ht="16.5">
      <c r="A1" s="1840" t="s">
        <v>651</v>
      </c>
      <c r="B1" s="1840">
        <f>SUM(B14:B23)</f>
        <v>327689</v>
      </c>
      <c r="C1" s="1949"/>
      <c r="D1" s="1949"/>
      <c r="E1" s="1949"/>
      <c r="F1" s="1949"/>
      <c r="G1" s="1950"/>
      <c r="H1" s="1950"/>
      <c r="I1" s="1950"/>
      <c r="J1" s="1950"/>
      <c r="K1" s="1950"/>
    </row>
    <row r="2" spans="1:11" ht="16.5">
      <c r="A2" s="1840" t="s">
        <v>639</v>
      </c>
      <c r="B2" s="1840">
        <f>SUM(C14:C23)</f>
        <v>48648</v>
      </c>
      <c r="C2" s="1949"/>
      <c r="D2" s="1949"/>
      <c r="E2" s="1949"/>
      <c r="F2" s="1949"/>
      <c r="G2" s="1950"/>
      <c r="H2" s="1950"/>
      <c r="I2" s="1950"/>
      <c r="J2" s="1950"/>
      <c r="K2" s="1950"/>
    </row>
    <row r="3" spans="1:11" ht="16.5">
      <c r="A3" s="1840" t="s">
        <v>648</v>
      </c>
      <c r="B3" s="1842">
        <f>项目基本情况!D3</f>
        <v>46105</v>
      </c>
      <c r="C3" s="1949"/>
      <c r="D3" s="1949"/>
      <c r="E3" s="1949"/>
      <c r="F3" s="1949"/>
      <c r="G3" s="1950"/>
      <c r="H3" s="1950"/>
      <c r="I3" s="1950"/>
      <c r="J3" s="1950"/>
      <c r="K3" s="1950"/>
    </row>
    <row r="4" spans="1:11" ht="33">
      <c r="A4" s="1840" t="s">
        <v>647</v>
      </c>
      <c r="B4" s="1840" t="s">
        <v>646</v>
      </c>
      <c r="C4" s="1840" t="s">
        <v>645</v>
      </c>
      <c r="D4" s="1840" t="s">
        <v>644</v>
      </c>
      <c r="E4" s="1949"/>
      <c r="F4" s="1950"/>
      <c r="G4" s="1950"/>
      <c r="H4" s="1950"/>
      <c r="I4" s="1950"/>
      <c r="J4" s="1950"/>
      <c r="K4" s="1950"/>
    </row>
    <row r="5" spans="1:11" ht="16.5">
      <c r="A5" s="1840" t="s">
        <v>643</v>
      </c>
      <c r="B5" s="1840">
        <f ca="1">SUM(D14:D23)</f>
        <v>45511</v>
      </c>
      <c r="C5" s="1840">
        <f ca="1">ROUND(B5*10000/$B$1,0)</f>
        <v>1389</v>
      </c>
      <c r="D5" s="1840">
        <f ca="1">ROUND(B5*10000/$B$2,0)</f>
        <v>9355</v>
      </c>
      <c r="E5" s="1949"/>
      <c r="F5" s="1950"/>
      <c r="G5" s="1950"/>
      <c r="H5" s="1950"/>
      <c r="I5" s="1950"/>
      <c r="J5" s="1950"/>
      <c r="K5" s="1950"/>
    </row>
    <row r="6" spans="1:11" ht="16.5">
      <c r="A6" s="1840" t="s">
        <v>642</v>
      </c>
      <c r="B6" s="1840">
        <f>SUM(G14:G23)</f>
        <v>0</v>
      </c>
      <c r="C6" s="1840">
        <f>ROUND(B6*10000/$B$1,0)</f>
        <v>0</v>
      </c>
      <c r="D6" s="1840">
        <f>ROUND(B6*10000/$B$2,0)</f>
        <v>0</v>
      </c>
      <c r="E6" s="1949"/>
      <c r="F6" s="1950"/>
      <c r="G6" s="1950"/>
      <c r="H6" s="1950"/>
      <c r="I6" s="1950"/>
      <c r="J6" s="1950"/>
      <c r="K6" s="1950"/>
    </row>
    <row r="7" spans="1:11" ht="16.5">
      <c r="A7" s="1840" t="s">
        <v>650</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t="str">
        <f>IF(B8=I14,结果表!H112,ROUND(B8*10000/$B$1,0))</f>
        <v>——</v>
      </c>
      <c r="D8" s="1840">
        <f>ROUND(B8*10000/$B$2,0)</f>
        <v>0</v>
      </c>
      <c r="E8" s="1949"/>
      <c r="F8" s="1950"/>
      <c r="G8" s="1950"/>
      <c r="H8" s="1950"/>
      <c r="I8" s="1950"/>
      <c r="J8" s="1950"/>
      <c r="K8" s="1950"/>
    </row>
    <row r="9" spans="1:11" ht="16.5">
      <c r="A9" s="1840" t="s">
        <v>641</v>
      </c>
      <c r="B9" s="2586"/>
      <c r="C9" s="2587"/>
      <c r="D9" s="2587"/>
      <c r="E9" s="1949"/>
      <c r="F9" s="1950"/>
      <c r="G9" s="1950"/>
      <c r="H9" s="1950"/>
      <c r="I9" s="1950"/>
      <c r="J9" s="1950"/>
      <c r="K9" s="1950"/>
    </row>
    <row r="10" spans="1:11" ht="16.5">
      <c r="A10" s="1840" t="s">
        <v>640</v>
      </c>
      <c r="B10" s="1840">
        <f>IF(E10="",0,ROUND(B1*(E10*365/G10)/10000,0))</f>
        <v>0</v>
      </c>
      <c r="C10" s="1840" t="s">
        <v>3231</v>
      </c>
      <c r="D10" s="1840" t="s">
        <v>3232</v>
      </c>
      <c r="E10" s="3622"/>
      <c r="F10" s="2482" t="s">
        <v>3233</v>
      </c>
      <c r="G10" s="3623"/>
      <c r="H10" s="1950"/>
      <c r="I10" s="1950"/>
      <c r="J10" s="1950"/>
      <c r="K10" s="1950"/>
    </row>
    <row r="11" spans="1:11" ht="16.5">
      <c r="A11" s="1840" t="s">
        <v>656</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655</v>
      </c>
      <c r="B13" s="1844" t="s">
        <v>652</v>
      </c>
      <c r="C13" s="1844" t="s">
        <v>654</v>
      </c>
      <c r="D13" s="1844" t="s">
        <v>653</v>
      </c>
      <c r="E13" s="1840" t="s">
        <v>645</v>
      </c>
      <c r="F13" s="1840" t="s">
        <v>644</v>
      </c>
      <c r="G13" s="1844" t="s">
        <v>638</v>
      </c>
      <c r="H13" s="1844" t="s">
        <v>649</v>
      </c>
      <c r="I13" s="1844" t="s">
        <v>637</v>
      </c>
      <c r="J13" s="1950"/>
      <c r="K13" s="1950"/>
    </row>
    <row r="14" spans="1:11" ht="16.5">
      <c r="A14" s="1845" t="s">
        <v>4203</v>
      </c>
      <c r="B14" s="3619">
        <f>'数据-汇总表'!E3</f>
        <v>153829</v>
      </c>
      <c r="C14" s="3619">
        <f>'数据-汇总表'!D3</f>
        <v>21574</v>
      </c>
      <c r="D14" s="3619">
        <f ca="1">结果表!G19</f>
        <v>20029</v>
      </c>
      <c r="E14" s="3619">
        <f ca="1">ROUND(D14*10000/B14,0)</f>
        <v>1302</v>
      </c>
      <c r="F14" s="3619">
        <f ca="1">ROUND(D14*10000/C14,0)</f>
        <v>9284</v>
      </c>
      <c r="G14" s="3619"/>
      <c r="H14" s="3619"/>
      <c r="I14" s="3619"/>
      <c r="J14" s="1950"/>
      <c r="K14" s="1950"/>
    </row>
    <row r="15" spans="1:11" ht="16.5">
      <c r="A15" s="1845" t="s">
        <v>4204</v>
      </c>
      <c r="B15" s="3620">
        <f>[2]系统读取表!B14</f>
        <v>173860</v>
      </c>
      <c r="C15" s="3620">
        <f>[2]系统读取表!C14</f>
        <v>27074</v>
      </c>
      <c r="D15" s="3620">
        <f ca="1">[2]系统读取表!D14</f>
        <v>25482</v>
      </c>
      <c r="E15" s="3619">
        <f t="shared" ref="E15:E23" ca="1" si="0">ROUND(D15*10000/B15,0)</f>
        <v>1466</v>
      </c>
      <c r="F15" s="3619">
        <f t="shared" ref="F15:F23" ca="1" si="1">ROUND(D15*10000/C15,0)</f>
        <v>9412</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1238</v>
      </c>
      <c r="B1" s="464"/>
      <c r="C1" s="1251"/>
      <c r="D1" s="464"/>
      <c r="E1" s="464"/>
      <c r="F1" s="1252" t="s">
        <v>1239</v>
      </c>
      <c r="G1" s="1097"/>
      <c r="H1" s="1252" t="str">
        <f>IF(G1="现房","——","估价对象范围")</f>
        <v>估价对象范围</v>
      </c>
      <c r="I1" s="1253"/>
    </row>
    <row r="2" spans="1:12" ht="21.75" customHeight="1" thickBot="1">
      <c r="A2" s="4454" t="str">
        <f>项目基本情况!S2</f>
        <v>北京市房地产</v>
      </c>
      <c r="B2" s="4455"/>
      <c r="C2" s="4455"/>
      <c r="D2" s="4455"/>
      <c r="E2" s="4455"/>
      <c r="F2" s="4455"/>
      <c r="G2" s="4455"/>
      <c r="H2" s="4455"/>
      <c r="I2" s="4456"/>
    </row>
    <row r="3" spans="1:12" ht="12.75">
      <c r="A3" s="4458" t="s">
        <v>1240</v>
      </c>
      <c r="B3" s="4459"/>
      <c r="C3" s="4459"/>
      <c r="D3" s="4459"/>
      <c r="E3" s="4459"/>
      <c r="F3" s="4459"/>
      <c r="G3" s="4459"/>
      <c r="H3" s="4459"/>
      <c r="I3" s="4459"/>
    </row>
    <row r="4" spans="1:12" ht="14.25">
      <c r="A4" s="1255" t="s">
        <v>1241</v>
      </c>
      <c r="B4" s="1256" t="s">
        <v>1242</v>
      </c>
      <c r="C4" s="3543" t="s">
        <v>4099</v>
      </c>
      <c r="D4" s="3543" t="s">
        <v>4100</v>
      </c>
      <c r="E4" s="4460" t="s">
        <v>1243</v>
      </c>
      <c r="F4" s="4461"/>
      <c r="G4" s="4461"/>
      <c r="H4" s="4461"/>
      <c r="I4" s="446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393" t="s">
        <v>1244</v>
      </c>
      <c r="B5" s="4457">
        <v>25</v>
      </c>
      <c r="C5" s="4436"/>
      <c r="D5" s="4431"/>
      <c r="E5" s="49" t="s">
        <v>1245</v>
      </c>
      <c r="F5" s="1257"/>
      <c r="G5" s="1257"/>
      <c r="H5" s="1257"/>
      <c r="I5" s="924"/>
    </row>
    <row r="6" spans="1:12" ht="12.75">
      <c r="A6" s="4393"/>
      <c r="B6" s="4457"/>
      <c r="C6" s="4437"/>
      <c r="D6" s="4431"/>
      <c r="E6" s="49" t="s">
        <v>1246</v>
      </c>
      <c r="F6" s="1257"/>
      <c r="G6" s="1257"/>
      <c r="H6" s="1257"/>
      <c r="I6" s="924"/>
    </row>
    <row r="7" spans="1:12" ht="12.75">
      <c r="A7" s="4393"/>
      <c r="B7" s="4457"/>
      <c r="C7" s="4438"/>
      <c r="D7" s="4431"/>
      <c r="E7" s="49" t="s">
        <v>1247</v>
      </c>
      <c r="F7" s="1257"/>
      <c r="G7" s="1257"/>
      <c r="H7" s="1257"/>
      <c r="I7" s="924"/>
    </row>
    <row r="8" spans="1:12" ht="12.75">
      <c r="A8" s="4393" t="s">
        <v>1248</v>
      </c>
      <c r="B8" s="4457">
        <v>15</v>
      </c>
      <c r="C8" s="4436"/>
      <c r="D8" s="4431"/>
      <c r="E8" s="49" t="s">
        <v>1249</v>
      </c>
      <c r="F8" s="1257"/>
      <c r="G8" s="1257"/>
      <c r="H8" s="1257"/>
      <c r="I8" s="924"/>
    </row>
    <row r="9" spans="1:12" ht="12.75">
      <c r="A9" s="4393"/>
      <c r="B9" s="4457"/>
      <c r="C9" s="4438"/>
      <c r="D9" s="4431"/>
      <c r="E9" s="49" t="s">
        <v>1250</v>
      </c>
      <c r="F9" s="1257"/>
      <c r="G9" s="1257"/>
      <c r="H9" s="1257"/>
      <c r="I9" s="924"/>
    </row>
    <row r="10" spans="1:12" ht="12.75">
      <c r="A10" s="4393" t="s">
        <v>1251</v>
      </c>
      <c r="B10" s="4457">
        <v>15</v>
      </c>
      <c r="C10" s="4436"/>
      <c r="D10" s="4431"/>
      <c r="E10" s="49" t="s">
        <v>1252</v>
      </c>
      <c r="F10" s="1257"/>
      <c r="G10" s="1257"/>
      <c r="H10" s="1257"/>
      <c r="I10" s="924"/>
    </row>
    <row r="11" spans="1:12" ht="12.75">
      <c r="A11" s="4393"/>
      <c r="B11" s="4457"/>
      <c r="C11" s="4438"/>
      <c r="D11" s="4431"/>
      <c r="E11" s="49" t="s">
        <v>1253</v>
      </c>
      <c r="F11" s="1257"/>
      <c r="G11" s="1257"/>
      <c r="H11" s="1257"/>
      <c r="I11" s="924"/>
    </row>
    <row r="12" spans="1:12" ht="12.75">
      <c r="A12" s="4393" t="s">
        <v>1254</v>
      </c>
      <c r="B12" s="4457">
        <v>15</v>
      </c>
      <c r="C12" s="4436"/>
      <c r="D12" s="4431"/>
      <c r="E12" s="49" t="s">
        <v>1255</v>
      </c>
      <c r="F12" s="1257"/>
      <c r="G12" s="1257"/>
      <c r="H12" s="1257"/>
      <c r="I12" s="924"/>
    </row>
    <row r="13" spans="1:12" ht="12.75">
      <c r="A13" s="4393"/>
      <c r="B13" s="4457"/>
      <c r="C13" s="4438"/>
      <c r="D13" s="4431"/>
      <c r="E13" s="49" t="s">
        <v>1256</v>
      </c>
      <c r="F13" s="1257"/>
      <c r="G13" s="1257"/>
      <c r="H13" s="1257"/>
      <c r="I13" s="924"/>
    </row>
    <row r="14" spans="1:12" ht="12.75">
      <c r="A14" s="4393" t="s">
        <v>1257</v>
      </c>
      <c r="B14" s="4457">
        <v>30</v>
      </c>
      <c r="C14" s="4436">
        <v>4</v>
      </c>
      <c r="D14" s="4431">
        <v>6</v>
      </c>
      <c r="E14" s="49" t="s">
        <v>1258</v>
      </c>
      <c r="F14" s="1257"/>
      <c r="G14" s="1257"/>
      <c r="H14" s="1257"/>
      <c r="I14" s="924"/>
    </row>
    <row r="15" spans="1:12" ht="12.75">
      <c r="A15" s="4393"/>
      <c r="B15" s="4457"/>
      <c r="C15" s="4437"/>
      <c r="D15" s="4431"/>
      <c r="E15" s="49" t="s">
        <v>1259</v>
      </c>
      <c r="F15" s="1257"/>
      <c r="G15" s="1257"/>
      <c r="H15" s="1257"/>
      <c r="I15" s="924"/>
    </row>
    <row r="16" spans="1:12" ht="12.75">
      <c r="A16" s="4393"/>
      <c r="B16" s="4457"/>
      <c r="C16" s="4438"/>
      <c r="D16" s="4431"/>
      <c r="E16" s="49" t="s">
        <v>1260</v>
      </c>
      <c r="F16" s="1257"/>
      <c r="G16" s="1257"/>
      <c r="H16" s="1257"/>
      <c r="I16" s="924"/>
    </row>
    <row r="17" spans="1:36" ht="15">
      <c r="A17" s="1258" t="s">
        <v>1261</v>
      </c>
      <c r="B17" s="3542"/>
      <c r="C17" s="3624">
        <f>SUM(C5:C16)</f>
        <v>4</v>
      </c>
      <c r="D17" s="3624">
        <f>SUM(D5:D16)</f>
        <v>6</v>
      </c>
      <c r="E17" s="47"/>
      <c r="F17" s="47"/>
      <c r="G17" s="47"/>
      <c r="H17" s="47"/>
      <c r="I17" s="47"/>
      <c r="K17" s="186"/>
      <c r="L17" s="186" t="s">
        <v>1262</v>
      </c>
      <c r="M17" s="186" t="s">
        <v>1263</v>
      </c>
    </row>
    <row r="18" spans="1:36" ht="31.9" customHeight="1" thickBot="1">
      <c r="A18" s="1259" t="s">
        <v>1264</v>
      </c>
      <c r="B18" s="1182"/>
      <c r="C18" s="3625">
        <f>ROUND(C17/SUM(C17:D17),2)</f>
        <v>0.4</v>
      </c>
      <c r="D18" s="3625">
        <f>1-C18</f>
        <v>0.6</v>
      </c>
      <c r="E18" s="4445" t="s">
        <v>2033</v>
      </c>
      <c r="F18" s="4446"/>
      <c r="G18" s="4446"/>
      <c r="H18" s="4446"/>
      <c r="I18" s="4446"/>
      <c r="K18" s="186" t="s">
        <v>1265</v>
      </c>
      <c r="L18" s="2665">
        <f>IF(C1="",'数据-汇总表'!E3,SUMIF(项目类型,C1,'数据-汇总表'!E17:E26)+SUMIF(项目类型,C1,'数据-汇总表'!I17:I26))</f>
        <v>153829</v>
      </c>
      <c r="M18" s="2665">
        <f>IF(C1="",'数据-汇总表'!E3,SUMIF(项目类型,C1,'数据-汇总表'!E17:E26))</f>
        <v>153829</v>
      </c>
    </row>
    <row r="19" spans="1:36" ht="15">
      <c r="A19" s="1260" t="s">
        <v>1266</v>
      </c>
      <c r="B19" s="1261" t="s">
        <v>1267</v>
      </c>
      <c r="C19" s="3626">
        <f ca="1">SUMIF(INDIRECT("'"&amp;C4&amp;"'"&amp;"!A:A"),结果表!B19,INDIRECT("'"&amp;C4&amp;"'"&amp;"!B:B"))</f>
        <v>22768</v>
      </c>
      <c r="D19" s="3627">
        <f ca="1">SUMIF(INDIRECT("'"&amp;D4&amp;"'"&amp;"!A:A"),结果表!B19,INDIRECT("'"&amp;D4&amp;"'"&amp;"!B:B"))</f>
        <v>18203</v>
      </c>
      <c r="E19" s="1260" t="s">
        <v>1268</v>
      </c>
      <c r="F19" s="1261" t="s">
        <v>1267</v>
      </c>
      <c r="G19" s="3632">
        <f ca="1">ROUND(C19*$C$18+D19*$D$18,0)</f>
        <v>20029</v>
      </c>
      <c r="H19" s="1262" t="s">
        <v>1269</v>
      </c>
      <c r="I19" s="47">
        <f ca="1">ROUND(C19*$C$18+D19*$D$18,4)</f>
        <v>20029</v>
      </c>
      <c r="K19" s="186" t="s">
        <v>1270</v>
      </c>
      <c r="L19" s="2665">
        <f>IF(C1="",'数据-汇总表'!D3,SUMIF(项目类型,C1,'数据-汇总表'!D17:D26)+SUMIF(项目类型,C1,'数据-汇总表'!H17:H27))</f>
        <v>21574</v>
      </c>
      <c r="M19" s="2665">
        <f>IF(C1="",'数据-汇总表'!D3,SUMIF(项目类型,C1,'数据-汇总表'!D17:D26))</f>
        <v>21574</v>
      </c>
    </row>
    <row r="20" spans="1:36" ht="15">
      <c r="A20" s="1263"/>
      <c r="B20" s="25" t="s">
        <v>1271</v>
      </c>
      <c r="C20" s="3628">
        <f ca="1">SUMIF(INDIRECT("'"&amp;C4&amp;"'"&amp;"!A:A"),结果表!B20,INDIRECT("'"&amp;C4&amp;"'"&amp;"!B:B"))</f>
        <v>1480</v>
      </c>
      <c r="D20" s="3629">
        <f ca="1">SUMIF(INDIRECT("'"&amp;D4&amp;"'"&amp;"!A:A"),结果表!B20,INDIRECT("'"&amp;D4&amp;"'"&amp;"!B:B"))</f>
        <v>1183</v>
      </c>
      <c r="E20" s="1263"/>
      <c r="F20" s="25" t="s">
        <v>1271</v>
      </c>
      <c r="G20" s="3633">
        <f ca="1">ROUND(C20*$C$18+D20*$D$18,0)</f>
        <v>1302</v>
      </c>
      <c r="H20" s="527" t="s">
        <v>1272</v>
      </c>
      <c r="I20" s="47"/>
    </row>
    <row r="21" spans="1:36" ht="15" customHeight="1" thickBot="1">
      <c r="A21" s="312"/>
      <c r="B21" s="3384" t="s">
        <v>3617</v>
      </c>
      <c r="C21" s="3630">
        <f ca="1">SUMIF(INDIRECT("'"&amp;C4&amp;"'"&amp;"!A:A"),结果表!B21,INDIRECT("'"&amp;C4&amp;"'"&amp;"!B:B"))</f>
        <v>10553</v>
      </c>
      <c r="D21" s="3631">
        <f ca="1">SUMIF(INDIRECT("'"&amp;D4&amp;"'"&amp;"!A:A"),结果表!B21,INDIRECT("'"&amp;D4&amp;"'"&amp;"!B:B"))</f>
        <v>8437</v>
      </c>
      <c r="E21" s="1263"/>
      <c r="F21" s="26" t="s">
        <v>1273</v>
      </c>
      <c r="G21" s="3633">
        <f ca="1">ROUND(C21*$C$18+D21*$D$18,0)</f>
        <v>9283</v>
      </c>
      <c r="H21" s="527" t="s">
        <v>1272</v>
      </c>
      <c r="I21" s="47"/>
    </row>
    <row r="22" spans="1:36" ht="15" thickBot="1">
      <c r="A22" s="1200" t="s">
        <v>1274</v>
      </c>
      <c r="B22" s="1264"/>
      <c r="C22" s="2588"/>
      <c r="D22" s="3881">
        <f ca="1">IF(C19&lt;D19,D19/C19-1,C19/D19-1)</f>
        <v>0.25078283799373735</v>
      </c>
      <c r="E22" s="3375"/>
      <c r="F22" s="3377"/>
      <c r="G22" s="3634">
        <f ca="1">ROUND(G19/('数据-汇总表'!D3/666.67),0)</f>
        <v>619</v>
      </c>
      <c r="H22" s="3376" t="s">
        <v>3615</v>
      </c>
      <c r="I22" s="47"/>
    </row>
    <row r="23" spans="1:36" ht="13.5" thickBot="1">
      <c r="A23" s="464"/>
      <c r="B23" s="464"/>
      <c r="C23" s="464"/>
      <c r="D23" s="464"/>
      <c r="E23" s="47"/>
      <c r="F23" s="47"/>
      <c r="G23" s="47"/>
      <c r="H23" s="47"/>
      <c r="I23" s="47"/>
    </row>
    <row r="24" spans="1:36" ht="14.25">
      <c r="A24" s="4478" t="s">
        <v>1275</v>
      </c>
      <c r="B24" s="1261" t="s">
        <v>1267</v>
      </c>
      <c r="C24" s="3632">
        <f>IF(B30=0,0,D30)</f>
        <v>0</v>
      </c>
      <c r="D24" s="3635"/>
      <c r="E24" s="47"/>
      <c r="F24" s="47"/>
      <c r="G24" s="47"/>
      <c r="H24" s="47"/>
      <c r="I24" s="47"/>
    </row>
    <row r="25" spans="1:36" ht="14.25">
      <c r="A25" s="4479"/>
      <c r="B25" s="3385" t="s">
        <v>3618</v>
      </c>
      <c r="C25" s="3636">
        <f>IF(B30=0,0,C30)</f>
        <v>0</v>
      </c>
      <c r="D25" s="3637"/>
      <c r="E25" s="47"/>
      <c r="F25" s="47"/>
      <c r="G25" s="47"/>
      <c r="H25" s="47"/>
      <c r="I25" s="47"/>
    </row>
    <row r="26" spans="1:36" ht="13.5" customHeight="1">
      <c r="A26" s="1265" t="s">
        <v>1276</v>
      </c>
      <c r="B26" s="53" t="s">
        <v>1277</v>
      </c>
      <c r="C26" s="53" t="s">
        <v>1278</v>
      </c>
      <c r="D26" s="54" t="s">
        <v>1279</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1280</v>
      </c>
      <c r="B30" s="3638"/>
      <c r="C30" s="3638"/>
      <c r="D30" s="3638"/>
      <c r="E30" s="1685" t="s">
        <v>2034</v>
      </c>
      <c r="F30" s="47"/>
      <c r="G30" s="47"/>
      <c r="H30" s="47"/>
      <c r="I30" s="47"/>
    </row>
    <row r="31" spans="1:36" s="1691" customFormat="1" ht="26.45" customHeight="1" thickTop="1" thickBot="1">
      <c r="A31" s="1686"/>
      <c r="B31" s="1687"/>
      <c r="C31" s="1687"/>
      <c r="D31" s="1687"/>
      <c r="E31" s="1687"/>
      <c r="F31" s="1687"/>
      <c r="G31" s="1687"/>
      <c r="H31" s="1687"/>
      <c r="I31" s="1688" t="s">
        <v>2035</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1281</v>
      </c>
      <c r="B32" s="1175"/>
      <c r="C32" s="3640">
        <f ca="1">IF(D32="总价",G19-C24,G20-C25)</f>
        <v>1302</v>
      </c>
      <c r="D32" s="1267"/>
      <c r="E32" s="47"/>
      <c r="F32" s="47"/>
      <c r="G32" s="47"/>
      <c r="H32" s="47"/>
      <c r="I32" s="47"/>
    </row>
    <row r="33" spans="1:19" ht="15">
      <c r="A33" s="516" t="s">
        <v>1282</v>
      </c>
      <c r="B33" s="49"/>
      <c r="C33" s="1268"/>
      <c r="D33" s="1269"/>
      <c r="E33" s="1270" t="s">
        <v>1283</v>
      </c>
      <c r="F33" s="1271" t="str">
        <f>IF(D32="楼面单价","取值（单价）","取值（总价）")</f>
        <v>取值（总价）</v>
      </c>
      <c r="G33" s="47"/>
      <c r="H33" s="47"/>
      <c r="I33" s="47"/>
    </row>
    <row r="34" spans="1:19" ht="15">
      <c r="A34" s="1272"/>
      <c r="B34" s="1273" t="s">
        <v>1284</v>
      </c>
      <c r="C34" s="3641" t="e">
        <f ca="1">IF(C33="自定义",F34,C32-C35)</f>
        <v>#REF!</v>
      </c>
      <c r="D34" s="3882" t="e">
        <f ca="1">IF(C33="自定义",ROUND(C34/C32,3),IF(C33="收益比率",SUMIF(INDIRECT("'"&amp;D33&amp;"'"&amp;"!b:b"),"土地收益比率",INDIRECT("'"&amp;D33&amp;"'"&amp;"!c:c")),SUMIF(INDIRECT("'"&amp;D33&amp;"'"&amp;"!b:b"),"土地成本比率",INDIRECT("'"&amp;D33&amp;"'"&amp;"!c:c"))))</f>
        <v>#REF!</v>
      </c>
      <c r="E34" s="1274" t="s">
        <v>1285</v>
      </c>
      <c r="F34" s="3643"/>
      <c r="G34" s="47"/>
      <c r="H34" s="47"/>
      <c r="I34" s="47"/>
    </row>
    <row r="35" spans="1:19" ht="15.75" thickBot="1">
      <c r="A35" s="1275"/>
      <c r="B35" s="1276" t="s">
        <v>1286</v>
      </c>
      <c r="C35" s="3642" t="e">
        <f ca="1">IF(C33="自定义",F35,ROUND(C32*D35,0))</f>
        <v>#REF!</v>
      </c>
      <c r="D35" s="3883" t="e">
        <f ca="1">IF(C33="自定义",ROUND(C35/C32,3),IF(C33="收益比率",SUMIF(INDIRECT("'"&amp;D33&amp;"'"&amp;"!b:b"),"建筑物收益比率",INDIRECT("'"&amp;D33&amp;"'"&amp;"!c:c")),SUMIF(INDIRECT("'"&amp;D33&amp;"'"&amp;"!b:b"),"建筑物成本比率",INDIRECT("'"&amp;D33&amp;"'"&amp;"!c:c"))))</f>
        <v>#REF!</v>
      </c>
      <c r="E35" s="1277" t="s">
        <v>1287</v>
      </c>
      <c r="F35" s="3644"/>
      <c r="G35" s="47"/>
      <c r="H35" s="47"/>
      <c r="I35" s="47"/>
    </row>
    <row r="36" spans="1:19" ht="15.75" thickBot="1">
      <c r="A36" s="4450" t="s">
        <v>1288</v>
      </c>
      <c r="B36" s="1278" t="s">
        <v>1289</v>
      </c>
      <c r="C36" s="3645"/>
      <c r="D36" s="1279"/>
      <c r="E36" s="1203"/>
      <c r="F36" s="1280"/>
      <c r="G36" s="47"/>
      <c r="H36" s="47"/>
      <c r="I36" s="47"/>
    </row>
    <row r="37" spans="1:19" ht="15.75" thickBot="1">
      <c r="A37" s="4451"/>
      <c r="B37" s="1191" t="s">
        <v>1290</v>
      </c>
      <c r="C37" s="3646"/>
      <c r="D37" s="763"/>
      <c r="E37" s="763"/>
      <c r="F37" s="1280"/>
      <c r="G37" s="47"/>
      <c r="H37" s="47"/>
      <c r="I37" s="47"/>
    </row>
    <row r="38" spans="1:19" ht="15.75" thickBot="1">
      <c r="A38" s="4452"/>
      <c r="B38" s="1281" t="s">
        <v>1291</v>
      </c>
      <c r="C38" s="3647"/>
      <c r="D38" s="1282" t="s">
        <v>1292</v>
      </c>
      <c r="E38" s="763"/>
      <c r="F38" s="1280"/>
      <c r="G38" s="47"/>
      <c r="H38" s="47"/>
      <c r="I38" s="47"/>
    </row>
    <row r="39" spans="1:19" ht="15">
      <c r="A39" s="1263" t="s">
        <v>1293</v>
      </c>
      <c r="B39" s="1283" t="s">
        <v>1294</v>
      </c>
      <c r="C39" s="1284" t="s">
        <v>1295</v>
      </c>
      <c r="D39" s="1284" t="s">
        <v>1296</v>
      </c>
      <c r="E39" s="1285" t="s">
        <v>1297</v>
      </c>
      <c r="F39" s="1280"/>
      <c r="G39" s="47"/>
      <c r="H39" s="47"/>
      <c r="I39" s="47"/>
    </row>
    <row r="40" spans="1:19" ht="14.25">
      <c r="A40" s="1286" t="s">
        <v>1298</v>
      </c>
      <c r="B40" s="3648"/>
      <c r="C40" s="3649"/>
      <c r="D40" s="3649"/>
      <c r="E40" s="3643"/>
      <c r="F40" s="1280"/>
      <c r="G40" s="47"/>
      <c r="H40" s="47"/>
      <c r="I40" s="47"/>
    </row>
    <row r="41" spans="1:19" ht="14.25">
      <c r="A41" s="1286" t="s">
        <v>1299</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1300</v>
      </c>
      <c r="B44" s="1290"/>
      <c r="C44" s="1290"/>
      <c r="D44" s="1291"/>
      <c r="E44" s="1291"/>
      <c r="F44" s="1292"/>
      <c r="G44" s="1292"/>
      <c r="H44" s="1292"/>
      <c r="I44" s="1292"/>
      <c r="J44" s="1293" t="s">
        <v>1301</v>
      </c>
      <c r="K44" s="4"/>
      <c r="L44" s="4"/>
      <c r="M44" s="4"/>
      <c r="N44" s="4"/>
      <c r="O44" s="4"/>
    </row>
    <row r="45" spans="1:19" ht="14.25" customHeight="1" thickBot="1">
      <c r="A45" s="4475" t="s">
        <v>1302</v>
      </c>
      <c r="B45" s="4476"/>
      <c r="C45" s="4477"/>
      <c r="D45" s="56">
        <f ca="1">ROUND(H101*F45,0)</f>
        <v>20029</v>
      </c>
      <c r="E45" s="57" t="s">
        <v>1303</v>
      </c>
      <c r="F45" s="58">
        <v>1</v>
      </c>
      <c r="G45" s="59" t="s">
        <v>1304</v>
      </c>
      <c r="H45" s="47"/>
      <c r="I45" s="47"/>
      <c r="J45" s="4481" t="s">
        <v>1305</v>
      </c>
      <c r="K45" s="4481"/>
      <c r="L45" s="4481"/>
      <c r="M45" s="4481"/>
      <c r="N45" s="4481"/>
      <c r="O45" s="4481"/>
    </row>
    <row r="46" spans="1:19" ht="14.25" customHeight="1">
      <c r="A46" s="4472" t="s">
        <v>1306</v>
      </c>
      <c r="B46" s="4473"/>
      <c r="C46" s="4473"/>
      <c r="D46" s="4473"/>
      <c r="E46" s="4473"/>
      <c r="F46" s="4473"/>
      <c r="G46" s="4474"/>
      <c r="H46" s="1294"/>
      <c r="I46" s="60"/>
      <c r="J46" s="1848">
        <v>1</v>
      </c>
      <c r="K46" s="4482" t="s">
        <v>1307</v>
      </c>
      <c r="L46" s="4482"/>
      <c r="M46" s="4483"/>
      <c r="N46" s="4483"/>
      <c r="O46" s="4483"/>
    </row>
    <row r="47" spans="1:19" ht="12" customHeight="1">
      <c r="A47" s="61" t="s">
        <v>1308</v>
      </c>
      <c r="B47" s="62"/>
      <c r="C47" s="63"/>
      <c r="D47" s="724" t="s">
        <v>1309</v>
      </c>
      <c r="E47" s="186" t="s">
        <v>1310</v>
      </c>
      <c r="F47" s="64" t="s">
        <v>1311</v>
      </c>
      <c r="G47" s="1863" t="s">
        <v>1312</v>
      </c>
      <c r="H47" s="1864"/>
      <c r="I47" s="60"/>
      <c r="J47" s="1848">
        <v>2</v>
      </c>
      <c r="K47" s="4482" t="s">
        <v>1313</v>
      </c>
      <c r="L47" s="4482"/>
      <c r="M47" s="4484">
        <f>'数据-取费表'!B2</f>
        <v>46105</v>
      </c>
      <c r="N47" s="4484"/>
      <c r="O47" s="4484"/>
    </row>
    <row r="48" spans="1:19" ht="25.5">
      <c r="A48" s="4453" t="s">
        <v>1314</v>
      </c>
      <c r="B48" s="4435"/>
      <c r="C48" s="4435"/>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1315</v>
      </c>
      <c r="H48" s="1866"/>
      <c r="I48" s="1294"/>
      <c r="J48" s="1848">
        <v>3</v>
      </c>
      <c r="K48" s="4482" t="s">
        <v>1316</v>
      </c>
      <c r="L48" s="4482"/>
      <c r="M48" s="4485">
        <f ca="1">H101</f>
        <v>20028.535800000001</v>
      </c>
      <c r="N48" s="4485"/>
      <c r="O48" s="4485"/>
      <c r="R48" s="3401" t="s">
        <v>3632</v>
      </c>
      <c r="S48" s="3402"/>
    </row>
    <row r="49" spans="1:35" ht="25.5" customHeight="1">
      <c r="A49" s="3536" t="s">
        <v>1317</v>
      </c>
      <c r="B49" s="4419" t="s">
        <v>1318</v>
      </c>
      <c r="C49" s="4419"/>
      <c r="D49" s="3653">
        <v>0</v>
      </c>
      <c r="E49" s="207" t="s">
        <v>1319</v>
      </c>
      <c r="F49" s="3530" t="s">
        <v>26</v>
      </c>
      <c r="G49" s="4411"/>
      <c r="H49" s="3396" t="s">
        <v>2036</v>
      </c>
      <c r="I49" s="3397"/>
      <c r="J49" s="1848">
        <v>4</v>
      </c>
      <c r="K49" s="4482" t="str">
        <f>IF(项目基本情况!E8="房地产抵押价值","房地产抵押价值","抵押担保权已注销时的房地产抵押价值")</f>
        <v>房地产抵押价值</v>
      </c>
      <c r="L49" s="4482"/>
      <c r="M49" s="4485">
        <f ca="1">IF(项目基本情况!E8="房地产抵押价值",H107,H109)</f>
        <v>20028.535800000001</v>
      </c>
      <c r="N49" s="4485"/>
      <c r="O49" s="4485"/>
      <c r="R49" s="3403" t="s">
        <v>3633</v>
      </c>
      <c r="S49" s="3401" t="s">
        <v>3634</v>
      </c>
    </row>
    <row r="50" spans="1:35" ht="25.5" customHeight="1">
      <c r="A50" s="3537"/>
      <c r="B50" s="4419" t="s">
        <v>1320</v>
      </c>
      <c r="C50" s="4419"/>
      <c r="D50" s="3654"/>
      <c r="E50" s="214"/>
      <c r="F50" s="3530"/>
      <c r="G50" s="4412"/>
      <c r="H50" s="1302" t="s">
        <v>2037</v>
      </c>
      <c r="I50" s="3397"/>
      <c r="J50" s="4481" t="s">
        <v>1321</v>
      </c>
      <c r="K50" s="4481"/>
      <c r="L50" s="4481"/>
      <c r="M50" s="4481"/>
      <c r="N50" s="4481"/>
      <c r="O50" s="4481"/>
      <c r="R50" s="3403" t="s">
        <v>3635</v>
      </c>
      <c r="S50" s="3401" t="s">
        <v>3636</v>
      </c>
    </row>
    <row r="51" spans="1:35" ht="20.45" customHeight="1">
      <c r="A51" s="3538"/>
      <c r="B51" s="4419" t="s">
        <v>1322</v>
      </c>
      <c r="C51" s="4419"/>
      <c r="D51" s="709"/>
      <c r="E51" s="210"/>
      <c r="F51" s="3530"/>
      <c r="G51" s="4413"/>
      <c r="H51" s="1302" t="s">
        <v>2038</v>
      </c>
      <c r="I51" s="3397"/>
      <c r="J51" s="1849" t="s">
        <v>1323</v>
      </c>
      <c r="K51" s="4482" t="s">
        <v>1324</v>
      </c>
      <c r="L51" s="4482"/>
      <c r="M51" s="1849" t="s">
        <v>1325</v>
      </c>
      <c r="N51" s="1849" t="s">
        <v>1326</v>
      </c>
      <c r="O51" s="1849" t="s">
        <v>1327</v>
      </c>
      <c r="R51" s="3403" t="s">
        <v>3637</v>
      </c>
      <c r="S51" s="3402" t="s">
        <v>3638</v>
      </c>
    </row>
    <row r="52" spans="1:35" ht="24" customHeight="1">
      <c r="A52" s="1700" t="s">
        <v>1328</v>
      </c>
      <c r="B52" s="4419" t="s">
        <v>1329</v>
      </c>
      <c r="C52" s="4419"/>
      <c r="D52" s="709">
        <f ca="1">ROUND(D45*F52/(1+F52),0)</f>
        <v>583</v>
      </c>
      <c r="E52" s="899" t="s">
        <v>1330</v>
      </c>
      <c r="F52" s="1867">
        <v>0.03</v>
      </c>
      <c r="G52" s="894" t="s">
        <v>3679</v>
      </c>
      <c r="H52" s="1861"/>
      <c r="I52" s="1295"/>
      <c r="J52" s="1848">
        <v>1</v>
      </c>
      <c r="K52" s="4408" t="s">
        <v>1331</v>
      </c>
      <c r="L52" s="4408"/>
      <c r="M52" s="3656">
        <f>IF(D48&lt;=0,0,D48)</f>
        <v>0</v>
      </c>
      <c r="N52" s="1848" t="str">
        <f>E48</f>
        <v>销售额×税（费）率</v>
      </c>
      <c r="O52" s="3563">
        <f>F48</f>
        <v>0</v>
      </c>
      <c r="R52" s="3401" t="s">
        <v>3639</v>
      </c>
      <c r="S52" s="3401" t="s">
        <v>3643</v>
      </c>
    </row>
    <row r="53" spans="1:35" ht="12" customHeight="1">
      <c r="A53" s="1700" t="s">
        <v>1332</v>
      </c>
      <c r="B53" s="4420" t="s">
        <v>2184</v>
      </c>
      <c r="C53" s="4421"/>
      <c r="D53" s="709">
        <f ca="1">IF(G53="2016年5月1日之前项目",ROUND(D45*F53/(1+F53),0),H63)</f>
        <v>1654</v>
      </c>
      <c r="E53" s="899" t="str">
        <f>IF(G53="2016年5月1日之前项目","全额计税","进销项计算")</f>
        <v>进销项计算</v>
      </c>
      <c r="F53" s="1867">
        <f>IF(G53="2016年5月1日之前项目",5%,9%)</f>
        <v>0.09</v>
      </c>
      <c r="G53" s="3617"/>
      <c r="H53" s="1861"/>
      <c r="I53" s="1295"/>
      <c r="J53" s="1848">
        <v>2</v>
      </c>
      <c r="K53" s="4408" t="s">
        <v>1333</v>
      </c>
      <c r="L53" s="4408"/>
      <c r="M53" s="3656">
        <f t="shared" ref="M53:O54" ca="1" si="0">D55</f>
        <v>10</v>
      </c>
      <c r="N53" s="1848" t="str">
        <f t="shared" si="0"/>
        <v>销售额×税（费）率</v>
      </c>
      <c r="O53" s="3563" t="str">
        <f t="shared" si="0"/>
        <v>免征</v>
      </c>
      <c r="R53" s="3401" t="s">
        <v>3640</v>
      </c>
      <c r="S53" s="3402" t="s">
        <v>3647</v>
      </c>
    </row>
    <row r="54" spans="1:35" ht="12" customHeight="1">
      <c r="A54" s="1700" t="s">
        <v>1334</v>
      </c>
      <c r="B54" s="4420" t="s">
        <v>2185</v>
      </c>
      <c r="C54" s="4421"/>
      <c r="D54" s="709">
        <f ca="1">IF(G54="2016年5月1日之前项目",C68,H63)</f>
        <v>1654</v>
      </c>
      <c r="E54" s="3550" t="str">
        <f>IF(G54="2016年5月1日之前项目","差额计税","进销项计算")</f>
        <v>进销项计算</v>
      </c>
      <c r="F54" s="1867">
        <f>IF(G54="2016年5月1日之前项目",5%,9%)</f>
        <v>0.09</v>
      </c>
      <c r="G54" s="3617"/>
      <c r="H54" s="1869"/>
      <c r="I54" s="1295"/>
      <c r="J54" s="1848">
        <v>3</v>
      </c>
      <c r="K54" s="4408" t="s">
        <v>1335</v>
      </c>
      <c r="L54" s="4408"/>
      <c r="M54" s="3656" t="e">
        <f t="shared" ca="1" si="0"/>
        <v>#VALUE!</v>
      </c>
      <c r="N54" s="1848" t="str">
        <f t="shared" si="0"/>
        <v>增值额×税（费）率</v>
      </c>
      <c r="O54" s="3564" t="str">
        <f t="shared" si="0"/>
        <v>免征</v>
      </c>
      <c r="P54" s="47"/>
      <c r="R54" s="3403" t="s">
        <v>3641</v>
      </c>
      <c r="S54" s="3402" t="s">
        <v>3644</v>
      </c>
    </row>
    <row r="55" spans="1:35" ht="24" customHeight="1">
      <c r="A55" s="4434" t="s">
        <v>1336</v>
      </c>
      <c r="B55" s="4435"/>
      <c r="C55" s="4435"/>
      <c r="D55" s="3652">
        <f ca="1">IF(H55="个人住宅",0,ROUND(D45*I55,0))</f>
        <v>10</v>
      </c>
      <c r="E55" s="899" t="s">
        <v>1337</v>
      </c>
      <c r="F55" s="1867" t="str">
        <f>IF(H55="正常",I55,"免征")</f>
        <v>免征</v>
      </c>
      <c r="G55" s="1868"/>
      <c r="H55" s="1866"/>
      <c r="I55" s="65">
        <f>'数据-取费表'!B50</f>
        <v>5.0000000000000001E-4</v>
      </c>
      <c r="J55" s="1848">
        <f>IF(H59="非个人房产","",4)</f>
        <v>4</v>
      </c>
      <c r="K55" s="4408" t="str">
        <f>IF(H59="非个人房产","——","个人所得税")</f>
        <v>个人所得税</v>
      </c>
      <c r="L55" s="4408"/>
      <c r="M55" s="3657">
        <f ca="1">D59</f>
        <v>200</v>
      </c>
      <c r="N55" s="1478" t="str">
        <f>E59</f>
        <v>差额计税</v>
      </c>
      <c r="O55" s="3565">
        <f>F59</f>
        <v>0.01</v>
      </c>
      <c r="R55" s="3403" t="s">
        <v>3642</v>
      </c>
      <c r="S55" s="3402" t="s">
        <v>3645</v>
      </c>
    </row>
    <row r="56" spans="1:35" ht="24.75">
      <c r="A56" s="4434" t="s">
        <v>1338</v>
      </c>
      <c r="B56" s="4435"/>
      <c r="C56" s="4435"/>
      <c r="D56" s="4255" t="e">
        <f ca="1">IF(H56="个人住宅",D57,IF(H56="正常",D58,IF(H56="按预征率计算-自建",ROUND(C85*F56,0),ROUND(C72*F56,0))))</f>
        <v>#VALUE!</v>
      </c>
      <c r="E56" s="899" t="s">
        <v>1339</v>
      </c>
      <c r="F56" s="1867" t="str">
        <f>IF(H56="正常",F58,IF(H56="按预征率计算",5%,"免征"))</f>
        <v>免征</v>
      </c>
      <c r="G56" s="1870" t="s">
        <v>1340</v>
      </c>
      <c r="H56" s="1871"/>
      <c r="I56" s="1296"/>
      <c r="J56" s="1848" t="str">
        <f>IF(项目基本情况!K6="上海银行",IF(J55="",4,J55+1),"")</f>
        <v/>
      </c>
      <c r="K56" s="4372" t="str">
        <f>IF(项目基本情况!K6="上海银行","其他处置费用","")</f>
        <v/>
      </c>
      <c r="L56" s="4373"/>
      <c r="M56" s="3656" t="str">
        <f>IF(项目基本情况!K6="上海银行",M69,"")</f>
        <v/>
      </c>
      <c r="N56" s="4372" t="str">
        <f>IF(项目基本情况!K6="上海银行","包含处置中涉及的律师、诉讼、拍卖、评估等费用","")</f>
        <v/>
      </c>
      <c r="O56" s="4376"/>
      <c r="R56" s="3402"/>
      <c r="S56" s="3402" t="s">
        <v>3646</v>
      </c>
    </row>
    <row r="57" spans="1:35" ht="12.75">
      <c r="A57" s="1700" t="s">
        <v>1317</v>
      </c>
      <c r="B57" s="4420" t="s">
        <v>1341</v>
      </c>
      <c r="C57" s="4421"/>
      <c r="D57" s="3653">
        <v>0</v>
      </c>
      <c r="E57" s="207" t="s">
        <v>1319</v>
      </c>
      <c r="F57" s="186"/>
      <c r="G57" s="1868"/>
      <c r="H57" s="1872"/>
      <c r="I57" s="1296"/>
      <c r="J57" s="4408">
        <f>IF(AND(J55="",J56=""),4,IF(项目基本情况!K6="上海银行",结果表!J56+1,结果表!J55+1))</f>
        <v>5</v>
      </c>
      <c r="K57" s="4408" t="s">
        <v>1342</v>
      </c>
      <c r="L57" s="1850" t="s">
        <v>1343</v>
      </c>
      <c r="M57" s="1851"/>
      <c r="N57" s="3658">
        <f ca="1">SUMIF(M52:M56,"&lt;9e307")</f>
        <v>210</v>
      </c>
      <c r="O57" s="1852"/>
      <c r="P57" s="1952">
        <f ca="1">N57/M49</f>
        <v>1.0485040049707477E-2</v>
      </c>
      <c r="R57" s="4463" t="s">
        <v>3690</v>
      </c>
      <c r="S57" s="4464"/>
    </row>
    <row r="58" spans="1:35" ht="24.75">
      <c r="A58" s="1700" t="s">
        <v>1328</v>
      </c>
      <c r="B58" s="4420" t="s">
        <v>1344</v>
      </c>
      <c r="C58" s="4419"/>
      <c r="D58" s="3652">
        <f ca="1">IF(H58="转让取得",C81,C97)</f>
        <v>6009</v>
      </c>
      <c r="E58" s="899" t="s">
        <v>1339</v>
      </c>
      <c r="F58" s="186" t="s">
        <v>26</v>
      </c>
      <c r="G58" s="1868"/>
      <c r="H58" s="1871"/>
      <c r="I58" s="1296"/>
      <c r="J58" s="4408"/>
      <c r="K58" s="4408"/>
      <c r="L58" s="1850" t="s">
        <v>1345</v>
      </c>
      <c r="M58" s="1853"/>
      <c r="N58" s="1854" t="str">
        <f ca="1">NUMBERSTRING(INT(N57*10000),2)&amp;"元整"</f>
        <v>贰佰壹拾万元整</v>
      </c>
      <c r="O58" s="1855"/>
      <c r="R58" s="4465"/>
      <c r="S58" s="4466"/>
    </row>
    <row r="59" spans="1:35" ht="24.75" thickBot="1">
      <c r="A59" s="4409" t="s">
        <v>1346</v>
      </c>
      <c r="B59" s="4410"/>
      <c r="C59" s="4410"/>
      <c r="D59" s="3655">
        <f ca="1">IF(H59="非个人房产","——",IF(H59="个人住宅（满五唯一有凭证）",0,IF(H59="个人其他（无凭证）",ROUND(D45/(1+'数据-取费表'!C43)*F59,0),ROUND(C67*F59,0))))</f>
        <v>200</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1340</v>
      </c>
      <c r="H59" s="3399"/>
      <c r="I59" s="3400" t="s">
        <v>2039</v>
      </c>
      <c r="J59" s="4406">
        <f>J57+1</f>
        <v>6</v>
      </c>
      <c r="K59" s="4408" t="s">
        <v>1347</v>
      </c>
      <c r="L59" s="1848" t="s">
        <v>1343</v>
      </c>
      <c r="M59" s="1856"/>
      <c r="N59" s="2589">
        <f ca="1">M49-N57</f>
        <v>19818.535800000001</v>
      </c>
      <c r="O59" s="1857"/>
      <c r="R59" s="3401" t="s">
        <v>3648</v>
      </c>
      <c r="S59" s="3401" t="s">
        <v>3649</v>
      </c>
    </row>
    <row r="60" spans="1:35" ht="12" customHeight="1" thickBot="1">
      <c r="A60" s="1297"/>
      <c r="B60" s="464"/>
      <c r="C60" s="464"/>
      <c r="D60" s="464"/>
      <c r="E60" s="1110"/>
      <c r="F60" s="1296"/>
      <c r="G60" s="1296"/>
      <c r="H60" s="60"/>
      <c r="I60" s="47"/>
      <c r="J60" s="4407"/>
      <c r="K60" s="4408"/>
      <c r="L60" s="1850" t="s">
        <v>1345</v>
      </c>
      <c r="M60" s="1853"/>
      <c r="N60" s="1854" t="str">
        <f ca="1">NUMBERSTRING(INT(N59*10000),2)&amp;"元整"</f>
        <v>壹亿玖仟捌佰壹拾捌万伍仟叁佰伍拾捌元整</v>
      </c>
      <c r="O60" s="1855"/>
      <c r="R60" s="3401" t="s">
        <v>3650</v>
      </c>
      <c r="S60" s="3401" t="s">
        <v>3689</v>
      </c>
    </row>
    <row r="61" spans="1:35" ht="14.25" thickBot="1">
      <c r="A61" s="4470" t="s">
        <v>3687</v>
      </c>
      <c r="B61" s="4471"/>
      <c r="C61" s="4471"/>
      <c r="D61" s="4471"/>
      <c r="E61" s="3555"/>
      <c r="F61" s="4447" t="s">
        <v>3688</v>
      </c>
      <c r="G61" s="4448"/>
      <c r="H61" s="4448"/>
      <c r="I61" s="4449"/>
      <c r="J61" s="3539">
        <f>J59+1</f>
        <v>7</v>
      </c>
      <c r="K61" s="4408" t="s">
        <v>1348</v>
      </c>
      <c r="L61" s="4408"/>
      <c r="M61" s="1858"/>
      <c r="N61" s="2590">
        <f ca="1">ROUND(N59*10000/'数据-汇总表'!E3,0)</f>
        <v>1288</v>
      </c>
      <c r="O61" s="1859"/>
    </row>
    <row r="62" spans="1:35" ht="13.5" customHeight="1">
      <c r="A62" s="3561" t="s">
        <v>3700</v>
      </c>
      <c r="B62" s="3562" t="s">
        <v>3701</v>
      </c>
      <c r="C62" s="2409" t="s">
        <v>3699</v>
      </c>
      <c r="D62" s="3551" t="s">
        <v>3691</v>
      </c>
      <c r="E62" s="3556" t="s">
        <v>3693</v>
      </c>
      <c r="F62" s="3567" t="s">
        <v>3702</v>
      </c>
      <c r="G62" s="3568" t="s">
        <v>3682</v>
      </c>
      <c r="H62" s="3569" t="s">
        <v>3703</v>
      </c>
      <c r="I62" s="3570" t="s">
        <v>3684</v>
      </c>
    </row>
    <row r="63" spans="1:35" ht="12.75">
      <c r="A63" s="70" t="s">
        <v>328</v>
      </c>
      <c r="B63" s="3558" t="s">
        <v>3695</v>
      </c>
      <c r="C63" s="3659">
        <f ca="1">ROUND(C64+C65,0)</f>
        <v>20029</v>
      </c>
      <c r="D63" s="3552"/>
      <c r="E63" s="4467" t="s">
        <v>3692</v>
      </c>
      <c r="F63" s="4252">
        <v>1</v>
      </c>
      <c r="G63" s="4253" t="s">
        <v>4056</v>
      </c>
      <c r="H63" s="3178">
        <f ca="1">H64-H66</f>
        <v>1654</v>
      </c>
      <c r="I63" s="2680"/>
      <c r="J63" s="4374" t="s">
        <v>1352</v>
      </c>
      <c r="K63" s="889" t="s">
        <v>1353</v>
      </c>
      <c r="L63" s="3674">
        <f ca="1">IF(M49&gt;10000,M49*0.5%,IF(AND(M49&gt;1000,M49&lt;=10000),M49*1%,IF(AND(M49&gt;100,M49&lt;=1000),M49*3%,IF(AND(M49&gt;10,M49&lt;=100),M49*5%,M49*8%))))</f>
        <v>100.14267900000002</v>
      </c>
      <c r="M63" s="2665">
        <f ca="1">ROUND(L63,1)</f>
        <v>100.1</v>
      </c>
      <c r="N63" s="1860"/>
      <c r="Z63" s="1254"/>
      <c r="AI63" s="1197"/>
    </row>
    <row r="64" spans="1:35" ht="14.25" customHeight="1">
      <c r="A64" s="67" t="s">
        <v>323</v>
      </c>
      <c r="B64" s="3559" t="s">
        <v>3696</v>
      </c>
      <c r="C64" s="3541">
        <f ca="1">D45</f>
        <v>20029</v>
      </c>
      <c r="D64" s="4237" t="s">
        <v>4051</v>
      </c>
      <c r="E64" s="4468"/>
      <c r="F64" s="4252">
        <v>2</v>
      </c>
      <c r="G64" s="4253" t="s">
        <v>3680</v>
      </c>
      <c r="H64" s="3178">
        <f ca="1">ROUND(H65*I64/(1+I64),0)</f>
        <v>1654</v>
      </c>
      <c r="I64" s="3571">
        <v>0.09</v>
      </c>
      <c r="J64" s="4374"/>
      <c r="K64" s="889" t="s">
        <v>1354</v>
      </c>
      <c r="L64" s="3674">
        <f ca="1">IF(M49&gt;2000,M49*0.5%,IF(AND(M49&gt;1000,M49&lt;=2000),M49*0.6%,IF(AND(M49&gt;500,M49&lt;=1000),M49*0.7%,IF(AND(M49&gt;200,M49&lt;=500),M49*0.8%,IF(AND(M49&gt;100,M49&lt;=200),M49*0.9%,IF(AND(M49&gt;50,M49&lt;=100),M49*1%,IF(AND(M49&gt;20,M49&lt;=50),M49*1.5%,IF(AND(M49&gt;10,M49&lt;=20),M49*2%,IF(AND(M49&gt;1,M49&lt;=10),M49*2.5%)))))))))</f>
        <v>100.14267900000002</v>
      </c>
      <c r="M64" s="2665">
        <f t="shared" ref="M64:M65" ca="1" si="1">ROUND(L64,1)</f>
        <v>100.1</v>
      </c>
      <c r="N64" s="1861" t="s">
        <v>1355</v>
      </c>
      <c r="Z64" s="1254"/>
      <c r="AI64" s="1197"/>
    </row>
    <row r="65" spans="1:35" ht="14.25" customHeight="1">
      <c r="A65" s="67" t="s">
        <v>324</v>
      </c>
      <c r="B65" s="3559" t="s">
        <v>3697</v>
      </c>
      <c r="C65" s="3660"/>
      <c r="D65" s="3553"/>
      <c r="E65" s="4468"/>
      <c r="F65" s="67" t="s">
        <v>323</v>
      </c>
      <c r="G65" s="3572" t="s">
        <v>3683</v>
      </c>
      <c r="H65" s="3178">
        <f ca="1">D45</f>
        <v>20029</v>
      </c>
      <c r="I65" s="4239" t="s">
        <v>4052</v>
      </c>
      <c r="J65" s="4374"/>
      <c r="K65" s="889" t="s">
        <v>1356</v>
      </c>
      <c r="L65" s="3674">
        <f ca="1">IF(M49&gt;1000,M49*0.1%,IF(AND(M49&gt;500,M49&lt;=1000),M49*0.5%,IF(AND(M49&gt;50,M49&lt;=500),M49*1%,IF(AND(M49&gt;1,M49&lt;=50),M49*1.5%))))</f>
        <v>20.0285358</v>
      </c>
      <c r="M65" s="2665">
        <f t="shared" ca="1" si="1"/>
        <v>20</v>
      </c>
      <c r="N65" s="1861" t="s">
        <v>1355</v>
      </c>
      <c r="Z65" s="1254"/>
      <c r="AI65" s="1197"/>
    </row>
    <row r="66" spans="1:35" ht="14.25" customHeight="1">
      <c r="A66" s="70" t="s">
        <v>325</v>
      </c>
      <c r="B66" s="3560" t="s">
        <v>3698</v>
      </c>
      <c r="C66" s="3660"/>
      <c r="D66" s="4238" t="s">
        <v>4051</v>
      </c>
      <c r="E66" s="4468"/>
      <c r="F66" s="4254">
        <v>3</v>
      </c>
      <c r="G66" s="4253" t="s">
        <v>3681</v>
      </c>
      <c r="H66" s="3213">
        <f>ROUND(H67*I67,0)+ROUND(H68*I68,0)</f>
        <v>0</v>
      </c>
      <c r="I66" s="4256"/>
      <c r="J66" s="4374"/>
      <c r="K66" s="889" t="s">
        <v>1357</v>
      </c>
      <c r="L66" s="3674">
        <f ca="1">M49*0.5%</f>
        <v>100.14267900000002</v>
      </c>
      <c r="M66" s="2665">
        <f ca="1">IF(L66&gt;0.5,0.5,ROUND(L66,0))</f>
        <v>0.5</v>
      </c>
      <c r="N66" s="1861" t="s">
        <v>1358</v>
      </c>
      <c r="Z66" s="1254"/>
      <c r="AI66" s="1197"/>
    </row>
    <row r="67" spans="1:35" ht="14.25" customHeight="1">
      <c r="A67" s="70" t="s">
        <v>326</v>
      </c>
      <c r="B67" s="3557" t="s">
        <v>3694</v>
      </c>
      <c r="C67" s="3541">
        <f ca="1">C63-C66</f>
        <v>20029</v>
      </c>
      <c r="D67" s="3553"/>
      <c r="E67" s="4468"/>
      <c r="F67" s="67" t="s">
        <v>323</v>
      </c>
      <c r="G67" s="3572" t="s">
        <v>3685</v>
      </c>
      <c r="H67" s="3649"/>
      <c r="I67" s="3571">
        <v>0.09</v>
      </c>
      <c r="J67" s="4374"/>
      <c r="K67" s="889" t="s">
        <v>1359</v>
      </c>
      <c r="L67" s="3674">
        <f ca="1">IF(M49&gt;=10000,(8.25+(M49-10000)*0.01%),IF(AND(M49&gt;=8000,M49&lt;10000),(7.85+(M49-8000)*0.02%),IF(AND(M49&gt;=5000,M49&lt;8000),(6.65+(M49-5000)*0.04%),IF(AND(M49&gt;=2000,M49&lt;5000),(4.25+(PM49-2000)*0.08%),IF(AND(M49&gt;=1000,M49&lt;2000),(2.75+(M49-1000)*0.15%),IF(AND(M49&gt;=100,M49&lt;1000),(0.5+(M49-100)*0.25%),IF(AND(M49&gt;0,M49&lt;100),M49*0.5%)))))))</f>
        <v>9.25285358</v>
      </c>
      <c r="M67" s="2665">
        <f ca="1">ROUND(L67*0.9,1)</f>
        <v>8.3000000000000007</v>
      </c>
      <c r="N67" s="1860"/>
      <c r="Z67" s="1254"/>
      <c r="AI67" s="1197"/>
    </row>
    <row r="68" spans="1:35" ht="14.25" customHeight="1" thickBot="1">
      <c r="A68" s="72" t="s">
        <v>327</v>
      </c>
      <c r="B68" s="4251" t="s">
        <v>4055</v>
      </c>
      <c r="C68" s="3547">
        <f ca="1">IF(C67&lt;=0,0,ROUND(C67*D68/(1+D68),0))</f>
        <v>954</v>
      </c>
      <c r="D68" s="3554">
        <v>0.05</v>
      </c>
      <c r="E68" s="4469"/>
      <c r="F68" s="3566" t="s">
        <v>324</v>
      </c>
      <c r="G68" s="3573" t="s">
        <v>3686</v>
      </c>
      <c r="H68" s="3651"/>
      <c r="I68" s="3574">
        <v>0.06</v>
      </c>
      <c r="J68" s="4374"/>
      <c r="K68" s="889" t="s">
        <v>1360</v>
      </c>
      <c r="L68" s="3674">
        <f ca="1">IF(M49&gt;10000,M49*0.5%,IF(AND(M49&gt;5000,M49&lt;=10000),M49*1%,IF(AND(M49&gt;1000,M49&lt;=5000),M49*2%,IF(AND(M49&gt;200,M49&lt;=1000),M49*3%,M49*5%))))</f>
        <v>100.14267900000002</v>
      </c>
      <c r="M68" s="2665">
        <f ca="1">ROUND(L68,1)</f>
        <v>100.1</v>
      </c>
      <c r="N68" s="1860"/>
      <c r="Z68" s="1254"/>
      <c r="AI68" s="1197"/>
    </row>
    <row r="69" spans="1:35" ht="16.5" customHeight="1">
      <c r="A69" s="1298"/>
      <c r="B69" s="1299"/>
      <c r="C69" s="1300"/>
      <c r="D69" s="1301"/>
      <c r="E69" s="1302"/>
      <c r="F69" s="1110"/>
      <c r="G69" s="1110"/>
      <c r="H69" s="1111"/>
      <c r="I69" s="464"/>
      <c r="J69" s="4375"/>
      <c r="K69" s="889" t="s">
        <v>1361</v>
      </c>
      <c r="L69" s="3674"/>
      <c r="M69" s="2665">
        <f ca="1">ROUND(SUM(M63:M68),0)</f>
        <v>329</v>
      </c>
      <c r="N69" s="1862">
        <f ca="1">M69/M49</f>
        <v>1.6426562744541715E-2</v>
      </c>
      <c r="Z69" s="1254"/>
      <c r="AI69" s="1197"/>
    </row>
    <row r="70" spans="1:35" s="463" customFormat="1" ht="15" thickBot="1">
      <c r="A70" s="4425" t="s">
        <v>1362</v>
      </c>
      <c r="B70" s="4426"/>
      <c r="C70" s="4426"/>
      <c r="D70" s="4426"/>
      <c r="E70" s="4426"/>
      <c r="F70" s="4426"/>
      <c r="G70" s="4426"/>
      <c r="H70" s="4426"/>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2" t="s">
        <v>1349</v>
      </c>
      <c r="B71" s="4423"/>
      <c r="C71" s="1460"/>
      <c r="D71" s="1460" t="s">
        <v>1350</v>
      </c>
      <c r="E71" s="74" t="s">
        <v>1351</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1363</v>
      </c>
      <c r="C72" s="4244">
        <f ca="1">ROUND(D45-D54,0)</f>
        <v>18375</v>
      </c>
      <c r="D72" s="4245"/>
      <c r="E72" s="4246" t="s">
        <v>4054</v>
      </c>
      <c r="F72" s="4247"/>
      <c r="G72" s="4247"/>
      <c r="H72" s="4248"/>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1364</v>
      </c>
      <c r="C73" s="3661">
        <f ca="1">C74+C78</f>
        <v>-1654</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1365</v>
      </c>
      <c r="C74" s="3541">
        <f>ROUND(IF(G77="2016年5月1日后购买",C75/(1+D72)+C76+C77,C75+C76+C77),0)</f>
        <v>0</v>
      </c>
      <c r="D74" s="3541" t="s">
        <v>24</v>
      </c>
      <c r="E74" s="8" t="s">
        <v>3678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1366</v>
      </c>
      <c r="C75" s="3660"/>
      <c r="D75" s="3541" t="s">
        <v>24</v>
      </c>
      <c r="E75" s="79" t="s">
        <v>1367</v>
      </c>
      <c r="F75" s="1875"/>
      <c r="G75" s="79" t="s">
        <v>1368</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1369</v>
      </c>
      <c r="C76" s="3541">
        <f>IF(F75="购房发票",ROUND(C75*H75*D76,0),0)</f>
        <v>0</v>
      </c>
      <c r="D76" s="3544">
        <v>0.05</v>
      </c>
      <c r="E76" s="4420" t="s">
        <v>1370</v>
      </c>
      <c r="F76" s="4419"/>
      <c r="G76" s="4419"/>
      <c r="H76" s="4424"/>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1371</v>
      </c>
      <c r="C77" s="3541">
        <f>ROUND(IF(G77="个人住宅",0,IF(G77="2016年5月1日前购买",C75*D77,C75*D77/(1+D72))),0)</f>
        <v>0</v>
      </c>
      <c r="D77" s="3545">
        <f>'数据-取费表'!B49+'数据-取费表'!B50</f>
        <v>3.0499999999999999E-2</v>
      </c>
      <c r="E77" s="8" t="s">
        <v>1372</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0" t="s">
        <v>324</v>
      </c>
      <c r="B78" s="4241" t="s">
        <v>1373</v>
      </c>
      <c r="C78" s="4242">
        <f ca="1">D48-D54</f>
        <v>-1654</v>
      </c>
      <c r="D78" s="4243">
        <f>'数据-取费表'!B44</f>
        <v>0.12000000000000001</v>
      </c>
      <c r="E78" s="4480" t="s">
        <v>1374</v>
      </c>
      <c r="F78" s="4440"/>
      <c r="G78" s="4440"/>
      <c r="H78" s="444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1375</v>
      </c>
      <c r="C79" s="3661">
        <f ca="1">C72-C73</f>
        <v>20029</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1376</v>
      </c>
      <c r="C80" s="3884">
        <f ca="1">IF(C79&lt;=0,0,C79/C73)</f>
        <v>-12.109431680773881</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1377</v>
      </c>
      <c r="C81" s="3662">
        <f ca="1">ROUND(IF(C79&lt;=0,0,IF(C80&gt;=200%,C79*60%-C73*35%,IF(C80&gt;=100%,C79*50%-C73*15%,IF(C80&gt;=50%,C79*40%-C73*5%,IF(C80&lt;50%,C79*30%,0))))),0)</f>
        <v>6009</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25" t="s">
        <v>1378</v>
      </c>
      <c r="B83" s="4426"/>
      <c r="C83" s="4426"/>
      <c r="D83" s="4426"/>
      <c r="E83" s="4426"/>
      <c r="F83" s="4426"/>
      <c r="G83" s="4426"/>
      <c r="H83" s="4426"/>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2" t="s">
        <v>1349</v>
      </c>
      <c r="B84" s="4423"/>
      <c r="C84" s="1460"/>
      <c r="D84" s="1460" t="s">
        <v>1350</v>
      </c>
      <c r="E84" s="74" t="s">
        <v>1351</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1363</v>
      </c>
      <c r="C85" s="4244">
        <f ca="1">ROUND(D45-D53,0)</f>
        <v>18375</v>
      </c>
      <c r="D85" s="4245"/>
      <c r="E85" s="4250" t="s">
        <v>4053</v>
      </c>
      <c r="F85" s="4247"/>
      <c r="G85" s="4247"/>
      <c r="H85" s="4249"/>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1364</v>
      </c>
      <c r="C86" s="3661">
        <f ca="1">IF(H88="仅含出让金",C87+C90+C91+C92+C93+C94,C87+C91+C92+C93+C94)</f>
        <v>-1654</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1379</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1380</v>
      </c>
      <c r="C88" s="3660"/>
      <c r="D88" s="3546"/>
      <c r="E88" s="88" t="s">
        <v>1381</v>
      </c>
      <c r="F88" s="1696"/>
      <c r="G88" s="89" t="s">
        <v>1382</v>
      </c>
      <c r="H88" s="1310" t="s">
        <v>3676</v>
      </c>
      <c r="I88" s="1307"/>
      <c r="J88" s="1846" t="s">
        <v>2181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1371</v>
      </c>
      <c r="C89" s="3541">
        <f>ROUND(C88*D89,0)</f>
        <v>0</v>
      </c>
      <c r="D89" s="3546">
        <f>'数据-取费表'!B49+'数据-取费表'!B50</f>
        <v>3.0499999999999999E-2</v>
      </c>
      <c r="E89" s="88" t="s">
        <v>1383</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1384</v>
      </c>
      <c r="C90" s="3660"/>
      <c r="D90" s="3546"/>
      <c r="E90" s="88" t="str">
        <f>IF(H88="-","土地取得成本中已包含该笔费用"," ")</f>
        <v xml:space="preserve"> </v>
      </c>
      <c r="F90" s="1696"/>
      <c r="G90" s="4377" t="s">
        <v>2031</v>
      </c>
      <c r="H90" s="4378"/>
      <c r="I90" s="1307"/>
      <c r="J90" s="1846" t="s">
        <v>2182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1385</v>
      </c>
      <c r="B91" s="68" t="s">
        <v>1386</v>
      </c>
      <c r="C91" s="3541">
        <f>IF(H91="——",成本法!C9,I91)</f>
        <v>0</v>
      </c>
      <c r="D91" s="3546"/>
      <c r="E91" s="4414" t="s">
        <v>1387</v>
      </c>
      <c r="F91" s="4415"/>
      <c r="G91" s="4415"/>
      <c r="H91" s="3533" t="s">
        <v>3674</v>
      </c>
      <c r="I91" s="3664"/>
      <c r="J91" s="1304" t="s">
        <v>3675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1388</v>
      </c>
      <c r="B92" s="68" t="s">
        <v>1389</v>
      </c>
      <c r="C92" s="3541">
        <f>ROUND((C87+C90+C91)*D92,0)</f>
        <v>0</v>
      </c>
      <c r="D92" s="3549"/>
      <c r="E92" s="4414" t="s">
        <v>1390</v>
      </c>
      <c r="F92" s="4415"/>
      <c r="G92" s="4415"/>
      <c r="H92" s="4416"/>
      <c r="I92" s="1307"/>
      <c r="J92" s="1847" t="s">
        <v>2183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0" t="s">
        <v>1391</v>
      </c>
      <c r="B93" s="4241" t="s">
        <v>1373</v>
      </c>
      <c r="C93" s="4242">
        <f ca="1">ROUND(D48-D53,0)</f>
        <v>-1654</v>
      </c>
      <c r="D93" s="4243">
        <f>'数据-取费表'!B44</f>
        <v>0.12000000000000001</v>
      </c>
      <c r="E93" s="4439" t="s">
        <v>3677</v>
      </c>
      <c r="F93" s="4440"/>
      <c r="G93" s="4440"/>
      <c r="H93" s="4441"/>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1392</v>
      </c>
      <c r="B94" s="68" t="s">
        <v>1393</v>
      </c>
      <c r="C94" s="3660">
        <f>ROUND((C87+C90+C91)*D94,0)</f>
        <v>0</v>
      </c>
      <c r="D94" s="3546">
        <v>0.2</v>
      </c>
      <c r="E94" s="4442" t="s">
        <v>1394</v>
      </c>
      <c r="F94" s="4443"/>
      <c r="G94" s="4443"/>
      <c r="H94" s="444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1375</v>
      </c>
      <c r="C95" s="3661">
        <f ca="1">ROUND(C85-C86,0)</f>
        <v>20029</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1376</v>
      </c>
      <c r="C96" s="3661">
        <f ca="1">IF(C95&lt;=0,0,C95/C86)</f>
        <v>-12.109431680773881</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1377</v>
      </c>
      <c r="C97" s="3662">
        <f ca="1">ROUND(IF(C95&lt;=0,0,IF(C96&gt;=200%,C95*60%-C86*35%,IF(C96&gt;=100%,C95*50%-C86*15%,IF(C96&gt;=50%,C95*40%-C86*5%,IF(C96&lt;50%,C95*30%,0))))),0)</f>
        <v>6009</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1395</v>
      </c>
      <c r="B99" s="464"/>
      <c r="C99" s="464"/>
      <c r="D99" s="464"/>
      <c r="E99" s="1110"/>
      <c r="F99" s="1110"/>
      <c r="G99" s="1110"/>
      <c r="H99" s="1111"/>
      <c r="I99" s="47"/>
    </row>
    <row r="100" spans="1:35" ht="18.75" customHeight="1">
      <c r="A100" s="4364" t="s">
        <v>1396</v>
      </c>
      <c r="B100" s="4365"/>
      <c r="C100" s="4365"/>
      <c r="D100" s="4379"/>
      <c r="E100" s="4365" t="s">
        <v>1397</v>
      </c>
      <c r="F100" s="4365"/>
      <c r="G100" s="4365"/>
      <c r="H100" s="4379"/>
      <c r="I100" s="47"/>
    </row>
    <row r="101" spans="1:35" ht="18.75" customHeight="1">
      <c r="A101" s="4385" t="s">
        <v>1398</v>
      </c>
      <c r="B101" s="4386"/>
      <c r="C101" s="1877" t="str">
        <f>C4</f>
        <v>土地比较法-住宅、综合</v>
      </c>
      <c r="D101" s="1878" t="str">
        <f>D4</f>
        <v>假设开发法</v>
      </c>
      <c r="E101" s="4370" t="s">
        <v>1399</v>
      </c>
      <c r="F101" s="4371"/>
      <c r="G101" s="1311" t="s">
        <v>1400</v>
      </c>
      <c r="H101" s="3669">
        <f ca="1">I118</f>
        <v>20028.535800000001</v>
      </c>
      <c r="I101" s="47"/>
    </row>
    <row r="102" spans="1:35" ht="18.75" customHeight="1">
      <c r="A102" s="4387" t="s">
        <v>1401</v>
      </c>
      <c r="B102" s="1876" t="s">
        <v>1400</v>
      </c>
      <c r="C102" s="3665">
        <f ca="1">C19</f>
        <v>22768</v>
      </c>
      <c r="D102" s="3666">
        <f ca="1">D19</f>
        <v>18203</v>
      </c>
      <c r="E102" s="4370"/>
      <c r="F102" s="4371"/>
      <c r="G102" s="1311" t="s">
        <v>1402</v>
      </c>
      <c r="H102" s="2766">
        <f ca="1">H118</f>
        <v>85</v>
      </c>
      <c r="I102" s="47"/>
    </row>
    <row r="103" spans="1:35" ht="42.75" customHeight="1">
      <c r="A103" s="4387"/>
      <c r="B103" s="1876" t="s">
        <v>1402</v>
      </c>
      <c r="C103" s="3667">
        <f ca="1">C20</f>
        <v>1480</v>
      </c>
      <c r="D103" s="3668">
        <f ca="1">D20</f>
        <v>1183</v>
      </c>
      <c r="E103" s="4432" t="s">
        <v>1403</v>
      </c>
      <c r="F103" s="4433"/>
      <c r="G103" s="1312" t="s">
        <v>1404</v>
      </c>
      <c r="H103" s="3669">
        <f>IF(D36="正常操作",H104+H105+H106,H105+H106)</f>
        <v>0</v>
      </c>
      <c r="I103" s="47"/>
    </row>
    <row r="104" spans="1:35" ht="18.75" customHeight="1">
      <c r="A104" s="4387" t="s">
        <v>1405</v>
      </c>
      <c r="B104" s="1879" t="s">
        <v>1400</v>
      </c>
      <c r="C104" s="4396">
        <f ca="1">I118</f>
        <v>20028.535800000001</v>
      </c>
      <c r="D104" s="4397"/>
      <c r="E104" s="1191" t="s">
        <v>1406</v>
      </c>
      <c r="F104" s="1188"/>
      <c r="G104" s="1312" t="s">
        <v>1404</v>
      </c>
      <c r="H104" s="3670">
        <f>IF(D36="同一抵押权人同一抵押物续贷",C36&amp;"（续贷，未扣减，详见特别提示）",C36)</f>
        <v>0</v>
      </c>
      <c r="I104" s="47"/>
    </row>
    <row r="105" spans="1:35" ht="18.75" customHeight="1" thickBot="1">
      <c r="A105" s="4417"/>
      <c r="B105" s="1880" t="s">
        <v>1402</v>
      </c>
      <c r="C105" s="4398">
        <f ca="1">H118</f>
        <v>85</v>
      </c>
      <c r="D105" s="4399"/>
      <c r="E105" s="1191" t="s">
        <v>1407</v>
      </c>
      <c r="F105" s="1188"/>
      <c r="G105" s="1312" t="s">
        <v>1404</v>
      </c>
      <c r="H105" s="3671">
        <f>C37</f>
        <v>0</v>
      </c>
      <c r="I105" s="47"/>
    </row>
    <row r="106" spans="1:35" ht="18.75" customHeight="1">
      <c r="A106" s="464" t="s">
        <v>1408</v>
      </c>
      <c r="B106" s="464"/>
      <c r="C106" s="464"/>
      <c r="D106" s="464"/>
      <c r="E106" s="1313" t="s">
        <v>1409</v>
      </c>
      <c r="F106" s="1188"/>
      <c r="G106" s="1312" t="s">
        <v>1404</v>
      </c>
      <c r="H106" s="3671">
        <f>C38</f>
        <v>0</v>
      </c>
      <c r="I106" s="47"/>
    </row>
    <row r="107" spans="1:35" ht="18.75" customHeight="1">
      <c r="A107" s="47"/>
      <c r="B107" s="47"/>
      <c r="C107" s="47"/>
      <c r="D107" s="47"/>
      <c r="E107" s="4388" t="str">
        <f>IF(项目基本情况!E8="已注销","——","3.房地产抵押价值")</f>
        <v>3.房地产抵押价值</v>
      </c>
      <c r="F107" s="4371"/>
      <c r="G107" s="1311" t="s">
        <v>1400</v>
      </c>
      <c r="H107" s="3669">
        <f ca="1">IF(E107="——","——",H101-H103)</f>
        <v>20028.535800000001</v>
      </c>
      <c r="I107" s="47"/>
    </row>
    <row r="108" spans="1:35" ht="18.75" customHeight="1">
      <c r="A108" s="47"/>
      <c r="B108" s="47"/>
      <c r="C108" s="47"/>
      <c r="D108" s="47"/>
      <c r="E108" s="4388"/>
      <c r="F108" s="4371"/>
      <c r="G108" s="1311" t="s">
        <v>1402</v>
      </c>
      <c r="H108" s="2766">
        <f ca="1">IF(H107=H101,H102,ROUND(H107*10000/'数据-汇总表'!E3,0))</f>
        <v>85</v>
      </c>
      <c r="I108" s="47"/>
    </row>
    <row r="109" spans="1:35" ht="18.75" customHeight="1">
      <c r="A109" s="47"/>
      <c r="B109" s="47"/>
      <c r="C109" s="47"/>
      <c r="D109" s="47"/>
      <c r="E109" s="4388" t="str">
        <f>IF(项目基本情况!E8="已注销及未注销","4.抵押担保权已注销时的房地产抵押价值",IF(项目基本情况!E8="已注销","3.抵押担保权已注销时的房地产抵押价值","——"))</f>
        <v>——</v>
      </c>
      <c r="F109" s="4371"/>
      <c r="G109" s="1311" t="s">
        <v>1400</v>
      </c>
      <c r="H109" s="2761" t="str">
        <f>IF(E109="——","——",H101-H105-H106)</f>
        <v>——</v>
      </c>
      <c r="I109" s="47"/>
    </row>
    <row r="110" spans="1:35" ht="18.75" customHeight="1">
      <c r="A110" s="47"/>
      <c r="B110" s="47"/>
      <c r="C110" s="47"/>
      <c r="D110" s="47"/>
      <c r="E110" s="4388"/>
      <c r="F110" s="4371"/>
      <c r="G110" s="1311" t="s">
        <v>1402</v>
      </c>
      <c r="H110" s="2766" t="str">
        <f>IF(H109="——","——",ROUND(H109*10000/'数据-汇总表'!E3,0))</f>
        <v>——</v>
      </c>
      <c r="I110" s="47"/>
    </row>
    <row r="111" spans="1:35" ht="18.75" customHeight="1">
      <c r="A111" s="47"/>
      <c r="B111" s="47"/>
      <c r="C111" s="47"/>
      <c r="D111" s="47"/>
      <c r="E111" s="4389" t="str">
        <f>IF(项目基本情况!E9="抵押净值",IF(OR(项目基本情况!E8="已注销",项目基本情况!E8="房地产抵押价值"),"4.抵押净值","5.抵押净值"),"——")</f>
        <v>——</v>
      </c>
      <c r="F111" s="4390"/>
      <c r="G111" s="1311" t="s">
        <v>1400</v>
      </c>
      <c r="H111" s="3669" t="str">
        <f>IF(E111="——","——",N59)</f>
        <v>——</v>
      </c>
      <c r="I111" s="47"/>
    </row>
    <row r="112" spans="1:35" ht="18.75" customHeight="1" thickBot="1">
      <c r="A112" s="47"/>
      <c r="B112" s="47"/>
      <c r="C112" s="47"/>
      <c r="D112" s="47"/>
      <c r="E112" s="4391"/>
      <c r="F112" s="4392"/>
      <c r="G112" s="1314" t="s">
        <v>1402</v>
      </c>
      <c r="H112" s="3631" t="str">
        <f>IF(E111="——","——",N61)</f>
        <v>——</v>
      </c>
      <c r="I112" s="47"/>
    </row>
    <row r="113" spans="1:27" ht="18.75" customHeight="1">
      <c r="A113" s="47"/>
      <c r="B113" s="47"/>
      <c r="C113" s="47"/>
      <c r="D113" s="47"/>
      <c r="E113" s="4418" t="s">
        <v>1408</v>
      </c>
      <c r="F113" s="4418"/>
      <c r="G113" s="4418"/>
      <c r="H113" s="4418"/>
      <c r="I113" s="47"/>
    </row>
    <row r="114" spans="1:27" ht="3.75" customHeight="1">
      <c r="A114" s="464"/>
      <c r="B114" s="464"/>
      <c r="C114" s="464"/>
      <c r="D114" s="464"/>
      <c r="E114" s="1297"/>
      <c r="F114" s="1297"/>
      <c r="G114" s="1297"/>
      <c r="H114" s="1297"/>
      <c r="I114" s="464"/>
    </row>
    <row r="115" spans="1:27" ht="18.75" customHeight="1">
      <c r="A115" s="4428" t="s">
        <v>1410</v>
      </c>
      <c r="B115" s="4429"/>
      <c r="C115" s="4429"/>
      <c r="D115" s="4429"/>
      <c r="E115" s="4429"/>
      <c r="F115" s="4429"/>
      <c r="G115" s="4429"/>
      <c r="H115" s="4429"/>
      <c r="I115" s="4430"/>
    </row>
    <row r="116" spans="1:27" ht="27" customHeight="1">
      <c r="A116" s="4393" t="s">
        <v>1411</v>
      </c>
      <c r="B116" s="4394" t="s">
        <v>1412</v>
      </c>
      <c r="C116" s="4394" t="s">
        <v>1413</v>
      </c>
      <c r="D116" s="4381" t="s">
        <v>1414</v>
      </c>
      <c r="E116" s="4382"/>
      <c r="F116" s="4427"/>
      <c r="G116" s="4427"/>
      <c r="H116" s="4393" t="s">
        <v>1415</v>
      </c>
      <c r="I116" s="4393"/>
      <c r="K116" s="3032"/>
      <c r="L116" s="3033" t="s">
        <v>3468</v>
      </c>
      <c r="M116" s="3033" t="s">
        <v>3469</v>
      </c>
      <c r="N116" s="3033" t="s">
        <v>3470</v>
      </c>
    </row>
    <row r="117" spans="1:27" ht="18.75" customHeight="1">
      <c r="A117" s="4393"/>
      <c r="B117" s="4395"/>
      <c r="C117" s="4395"/>
      <c r="D117" s="1698" t="s">
        <v>1417</v>
      </c>
      <c r="E117" s="1698" t="s">
        <v>1416</v>
      </c>
      <c r="F117" s="1698" t="s">
        <v>1418</v>
      </c>
      <c r="G117" s="1698" t="s">
        <v>1416</v>
      </c>
      <c r="H117" s="1698" t="s">
        <v>1418</v>
      </c>
      <c r="I117" s="1698" t="s">
        <v>1416</v>
      </c>
      <c r="K117" s="3033" t="s">
        <v>3466</v>
      </c>
      <c r="L117" s="3672" t="e">
        <f ca="1">C34</f>
        <v>#REF!</v>
      </c>
      <c r="M117" s="3673" t="e">
        <f ca="1">C35</f>
        <v>#REF!</v>
      </c>
      <c r="N117" s="3673">
        <f ca="1">C32</f>
        <v>1302</v>
      </c>
    </row>
    <row r="118" spans="1:27" ht="24.75" customHeight="1">
      <c r="A118" s="1881" t="str">
        <f>项目基本情况!S2</f>
        <v>北京市房地产</v>
      </c>
      <c r="B118" s="2597">
        <f>M18</f>
        <v>153829</v>
      </c>
      <c r="C118" s="2597">
        <f>M19</f>
        <v>21574</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85</v>
      </c>
      <c r="I118" s="679">
        <f ca="1">ROUND(IF(D32="总价",C32,N119*B118/10000),4)</f>
        <v>20028.535800000001</v>
      </c>
      <c r="K118" s="3032"/>
      <c r="L118" s="3032"/>
      <c r="M118" s="3032"/>
      <c r="N118" s="3032"/>
    </row>
    <row r="119" spans="1:27" ht="18.75" customHeight="1">
      <c r="A119" s="4393" t="s">
        <v>1419</v>
      </c>
      <c r="B119" s="4393"/>
      <c r="C119" s="4393"/>
      <c r="D119" s="4383" t="e">
        <f ca="1">NUMBERSTRING(INT(E118*10000),2)&amp;"元整"</f>
        <v>#REF!</v>
      </c>
      <c r="E119" s="4384"/>
      <c r="F119" s="4383" t="e">
        <f ca="1">NUMBERSTRING(INT(G118*10000),2)&amp;"元整"</f>
        <v>#REF!</v>
      </c>
      <c r="G119" s="4384"/>
      <c r="H119" s="4383" t="str">
        <f ca="1">NUMBERSTRING(INT(I118*10000),2)&amp;"元整"</f>
        <v>贰亿零贰拾捌万伍仟叁佰伍拾捌元整</v>
      </c>
      <c r="I119" s="4384"/>
      <c r="K119" s="3033" t="s">
        <v>3467</v>
      </c>
      <c r="L119" s="3673" t="e">
        <f ca="1">C34</f>
        <v>#REF!</v>
      </c>
      <c r="M119" s="3673" t="e">
        <f ca="1">C35</f>
        <v>#REF!</v>
      </c>
      <c r="N119" s="3673">
        <f ca="1">C32</f>
        <v>1302</v>
      </c>
    </row>
    <row r="120" spans="1:27" ht="18.75" hidden="1" customHeight="1">
      <c r="A120" s="4402" t="str">
        <f>IF(项目基本情况!B9="房地产市场价值","",MID(E103,3,LEN(E103)-2))</f>
        <v>估价师知悉的法定优先受偿款</v>
      </c>
      <c r="B120" s="4403"/>
      <c r="C120" s="4403"/>
      <c r="D120" s="4403"/>
      <c r="E120" s="4403"/>
      <c r="F120" s="4403"/>
      <c r="G120" s="4404"/>
      <c r="H120" s="4486">
        <f>H103</f>
        <v>0</v>
      </c>
      <c r="I120" s="448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83" t="s">
        <v>1419</v>
      </c>
      <c r="B121" s="4405"/>
      <c r="C121" s="4405"/>
      <c r="D121" s="4405"/>
      <c r="E121" s="4405"/>
      <c r="F121" s="4405"/>
      <c r="G121" s="4384"/>
      <c r="H121" s="4488" t="str">
        <f>IF(H120=0,"零元整",NUMBERSTRING(INT(H120*10000),2)&amp;"元整")</f>
        <v>零元整</v>
      </c>
      <c r="I121" s="4489"/>
      <c r="AA121" s="493"/>
    </row>
    <row r="122" spans="1:27" ht="18.75" hidden="1" customHeight="1">
      <c r="A122" s="4402" t="str">
        <f>IF(项目基本情况!B9="房地产市场价值","",MID(E107,3,LEN(E107)-2))</f>
        <v>房地产抵押价值</v>
      </c>
      <c r="B122" s="4403"/>
      <c r="C122" s="4403"/>
      <c r="D122" s="4403"/>
      <c r="E122" s="4403"/>
      <c r="F122" s="4403"/>
      <c r="G122" s="4404"/>
      <c r="H122" s="4400">
        <f ca="1">H107</f>
        <v>20028.535800000001</v>
      </c>
      <c r="I122" s="4401"/>
      <c r="AA122" s="493"/>
    </row>
    <row r="123" spans="1:27" ht="18.75" hidden="1" customHeight="1">
      <c r="A123" s="4383" t="s">
        <v>1419</v>
      </c>
      <c r="B123" s="4405"/>
      <c r="C123" s="4405"/>
      <c r="D123" s="4405"/>
      <c r="E123" s="4405"/>
      <c r="F123" s="4405"/>
      <c r="G123" s="4384"/>
      <c r="H123" s="4383" t="str">
        <f ca="1">NUMBERSTRING(INT(H122*10000),2)&amp;"元整"</f>
        <v>贰亿零贰拾捌万伍仟叁佰伍拾捌元整</v>
      </c>
      <c r="I123" s="4384"/>
      <c r="AA123" s="493"/>
    </row>
    <row r="124" spans="1:27" ht="18.75" hidden="1" customHeight="1">
      <c r="A124" s="4402" t="str">
        <f>IF(项目基本情况!B9="房地产市场价值","",MID(E109,3,LEN(E109)-2))</f>
        <v/>
      </c>
      <c r="B124" s="4403"/>
      <c r="C124" s="4403"/>
      <c r="D124" s="4403"/>
      <c r="E124" s="4403"/>
      <c r="F124" s="4403"/>
      <c r="G124" s="4404"/>
      <c r="H124" s="4400" t="str">
        <f>H109</f>
        <v>——</v>
      </c>
      <c r="I124" s="4401"/>
      <c r="AA124" s="493"/>
    </row>
    <row r="125" spans="1:27" ht="18.75" hidden="1" customHeight="1">
      <c r="A125" s="4383" t="s">
        <v>1419</v>
      </c>
      <c r="B125" s="4405"/>
      <c r="C125" s="4405"/>
      <c r="D125" s="4405"/>
      <c r="E125" s="4405"/>
      <c r="F125" s="4405"/>
      <c r="G125" s="4384"/>
      <c r="H125" s="4383" t="e">
        <f>NUMBERSTRING(INT(H124*10000),2)&amp;"元整"</f>
        <v>#VALUE!</v>
      </c>
      <c r="I125" s="4384"/>
      <c r="AA125" s="493"/>
    </row>
    <row r="126" spans="1:27" ht="18.75" hidden="1" customHeight="1">
      <c r="A126" s="4402" t="str">
        <f>IF(项目基本情况!B9="房地产市场价值","",MID(E111,3,LEN(E111)-2))</f>
        <v/>
      </c>
      <c r="B126" s="4403"/>
      <c r="C126" s="4403"/>
      <c r="D126" s="4403"/>
      <c r="E126" s="4403"/>
      <c r="F126" s="4403"/>
      <c r="G126" s="4404"/>
      <c r="H126" s="4400" t="str">
        <f>H111</f>
        <v>——</v>
      </c>
      <c r="I126" s="4401"/>
      <c r="AA126" s="493"/>
    </row>
    <row r="127" spans="1:27" ht="18.75" hidden="1" customHeight="1">
      <c r="A127" s="4383" t="s">
        <v>1419</v>
      </c>
      <c r="B127" s="4405"/>
      <c r="C127" s="4405"/>
      <c r="D127" s="4405"/>
      <c r="E127" s="4405"/>
      <c r="F127" s="4405"/>
      <c r="G127" s="4384"/>
      <c r="H127" s="4383" t="e">
        <f>NUMBERSTRING(INT(H126*10000),2)&amp;"元整"</f>
        <v>#VALUE!</v>
      </c>
      <c r="I127" s="4384"/>
      <c r="AA127" s="493"/>
    </row>
    <row r="128" spans="1:27" ht="21.75" hidden="1" customHeight="1">
      <c r="A128" s="4380" t="s">
        <v>1420</v>
      </c>
      <c r="B128" s="4380"/>
      <c r="C128" s="4380"/>
      <c r="D128" s="4380"/>
      <c r="E128" s="4380"/>
      <c r="F128" s="4380"/>
      <c r="G128" s="4380"/>
      <c r="H128" s="4380"/>
      <c r="I128" s="4380"/>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E9" sqref="E9"/>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1428</v>
      </c>
      <c r="B1" s="2828"/>
      <c r="C1" s="3324" t="s">
        <v>4189</v>
      </c>
      <c r="D1" s="93"/>
      <c r="E1" s="93"/>
      <c r="F1" s="93"/>
      <c r="G1" s="756">
        <f>MATCH(B1,'数据-取费表'!A6:A16,0)+5</f>
        <v>10</v>
      </c>
    </row>
    <row r="2" spans="1:9" s="95" customFormat="1" ht="15.75">
      <c r="A2" s="96" t="s">
        <v>1429</v>
      </c>
      <c r="B2" s="2522">
        <f ca="1">IF(C1="含税",E2+C33,E2+C32)</f>
        <v>26716</v>
      </c>
      <c r="C2" s="94" t="s">
        <v>1430</v>
      </c>
      <c r="D2" s="1335" t="s">
        <v>41</v>
      </c>
      <c r="E2" s="3411">
        <f ca="1">IF(D2="——",0,SUMIF(INDIRECT("'"&amp;G2&amp;"'"&amp;"!A:A"),"承租人权益价值",INDIRECT("'"&amp;G2&amp;"'"&amp;"!c:c")))</f>
        <v>0</v>
      </c>
      <c r="F2" s="1336" t="s">
        <v>1430</v>
      </c>
      <c r="G2" s="1337"/>
    </row>
    <row r="3" spans="1:9" s="95" customFormat="1" ht="16.5" thickBot="1">
      <c r="A3" s="98" t="s">
        <v>1431</v>
      </c>
      <c r="B3" s="2523">
        <f ca="1">ROUND(B2*10000/(IF(B1="",'数据-汇总表'!E3,INDIRECT("'数据-取费表'!k"&amp;$G$1))),0)</f>
        <v>1737</v>
      </c>
      <c r="C3" s="94" t="s">
        <v>1432</v>
      </c>
      <c r="D3" s="94"/>
      <c r="E3" s="2510"/>
      <c r="F3" s="94"/>
      <c r="G3" s="94"/>
    </row>
    <row r="4" spans="1:9" s="95" customFormat="1" ht="16.5" thickBot="1">
      <c r="A4" s="2567" t="s">
        <v>3318</v>
      </c>
      <c r="B4" s="2568" t="s">
        <v>3319</v>
      </c>
      <c r="C4" s="2507" t="s">
        <v>3940</v>
      </c>
      <c r="D4" s="2543" t="s">
        <v>3324</v>
      </c>
      <c r="E4" s="2544" t="s">
        <v>3325</v>
      </c>
      <c r="F4" s="2544" t="s">
        <v>3326</v>
      </c>
      <c r="G4" s="2508" t="s">
        <v>3320</v>
      </c>
    </row>
    <row r="5" spans="1:9" s="103" customFormat="1" ht="15.75">
      <c r="A5" s="2545" t="s">
        <v>3317</v>
      </c>
      <c r="B5" s="2546" t="s">
        <v>3321</v>
      </c>
      <c r="C5" s="2520">
        <f ca="1">ROUND((C6+C9+C21+C24+C25+C28)/(1-F22-C26-C29),0)</f>
        <v>24510</v>
      </c>
      <c r="D5" s="2547"/>
      <c r="E5" s="2547"/>
      <c r="F5" s="2547"/>
      <c r="G5" s="2699" t="s">
        <v>3460</v>
      </c>
    </row>
    <row r="6" spans="1:9" s="2533" customFormat="1" ht="15">
      <c r="A6" s="2512" t="s">
        <v>3327</v>
      </c>
      <c r="B6" s="2571" t="s">
        <v>3328</v>
      </c>
      <c r="C6" s="2548">
        <f>C7+C8</f>
        <v>23462</v>
      </c>
      <c r="D6" s="2511"/>
      <c r="E6" s="2511"/>
      <c r="F6" s="2511"/>
      <c r="G6" s="2549"/>
    </row>
    <row r="7" spans="1:9" s="109" customFormat="1">
      <c r="A7" s="2550" t="s">
        <v>1439</v>
      </c>
      <c r="B7" s="2572" t="s">
        <v>1440</v>
      </c>
      <c r="C7" s="3020">
        <f>'土地比较法-住宅、综合'!F58</f>
        <v>22768</v>
      </c>
      <c r="D7" s="2551"/>
      <c r="E7" s="2552"/>
      <c r="F7" s="2552"/>
      <c r="G7" s="156"/>
    </row>
    <row r="8" spans="1:9" s="109" customFormat="1">
      <c r="A8" s="2550" t="s">
        <v>1441</v>
      </c>
      <c r="B8" s="2572" t="s">
        <v>1442</v>
      </c>
      <c r="C8" s="2521">
        <f>ROUND(C7*F8,0)</f>
        <v>694</v>
      </c>
      <c r="D8" s="144"/>
      <c r="E8" s="2552"/>
      <c r="F8" s="2553">
        <f>IF(项目基本情况!B8="出让",0,'数据-取费表'!B49+'数据-取费表'!B50)</f>
        <v>3.0499999999999999E-2</v>
      </c>
      <c r="G8" s="156"/>
    </row>
    <row r="9" spans="1:9" s="2533" customFormat="1" ht="15">
      <c r="A9" s="2554" t="s">
        <v>336</v>
      </c>
      <c r="B9" s="2573" t="s">
        <v>3276</v>
      </c>
      <c r="C9" s="2534">
        <f ca="1">C10+C11+C12+C13+C19+C20</f>
        <v>0</v>
      </c>
      <c r="D9" s="2555"/>
      <c r="E9" s="2556"/>
      <c r="F9" s="2557"/>
      <c r="G9" s="2558"/>
      <c r="I9" s="109"/>
    </row>
    <row r="10" spans="1:9" s="109" customFormat="1">
      <c r="A10" s="2574" t="s">
        <v>344</v>
      </c>
      <c r="B10" s="2575" t="s">
        <v>3311</v>
      </c>
      <c r="C10" s="2521">
        <f ca="1">IF(B1="",IF(F10=100%,'数据-取费表'!M16,'数据-取费表'!O16),IF(F10=100%,INDIRECT("'数据-取费表'!m"&amp;$G$1)+INDIRECT("'数据-取费表'!t"&amp;$G$1),INDIRECT("'数据-取费表'!o"&amp;$G$1)+INDIRECT("'数据-取费表'!aq"&amp;$G$1)))</f>
        <v>0</v>
      </c>
      <c r="D10" s="2551"/>
      <c r="E10" s="144"/>
      <c r="F10" s="2559">
        <f ca="1">IF('数据-取费表'!B24=0,1,IF(B1="",'数据-取费表'!N16,INDIRECT("'数据-取费表'!n"&amp;$G$1)))</f>
        <v>0</v>
      </c>
      <c r="G10" s="156" t="s">
        <v>1465</v>
      </c>
    </row>
    <row r="11" spans="1:9" s="109" customFormat="1">
      <c r="A11" s="2574" t="s">
        <v>349</v>
      </c>
      <c r="B11" s="2575" t="s">
        <v>3312</v>
      </c>
      <c r="C11" s="2521">
        <f ca="1">ROUND(C10*F11,0)</f>
        <v>0</v>
      </c>
      <c r="D11" s="144"/>
      <c r="E11" s="144"/>
      <c r="F11" s="2532">
        <f>'数据-取费表'!B33</f>
        <v>0.08</v>
      </c>
      <c r="G11" s="3409" t="s">
        <v>3664</v>
      </c>
    </row>
    <row r="12" spans="1:9" s="109" customFormat="1">
      <c r="A12" s="2574" t="s">
        <v>350</v>
      </c>
      <c r="B12" s="2575" t="s">
        <v>3313</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0.1</v>
      </c>
      <c r="G12" s="3911" t="s">
        <v>3982</v>
      </c>
    </row>
    <row r="13" spans="1:9" s="109" customFormat="1">
      <c r="A13" s="2574" t="s">
        <v>3277</v>
      </c>
      <c r="B13" s="2575" t="s">
        <v>3314</v>
      </c>
      <c r="C13" s="2521">
        <f ca="1">C14+C17+C18</f>
        <v>0</v>
      </c>
      <c r="D13" s="144"/>
      <c r="E13" s="2552"/>
      <c r="F13" s="2553"/>
      <c r="G13" s="156"/>
    </row>
    <row r="14" spans="1:9" s="118" customFormat="1">
      <c r="A14" s="2505" t="s">
        <v>3278</v>
      </c>
      <c r="B14" s="2576" t="s">
        <v>3310</v>
      </c>
      <c r="C14" s="2521">
        <f>IF(G14="已包含在土地购买价格中","0",IF(B1="",'数据-取费表'!B29,IF(G15="全部缴纳",C15+C16,H15)))</f>
        <v>0</v>
      </c>
      <c r="D14" s="2560"/>
      <c r="E14" s="144"/>
      <c r="F14" s="2553"/>
      <c r="G14" s="1338" t="s">
        <v>4192</v>
      </c>
    </row>
    <row r="15" spans="1:9" s="109" customFormat="1">
      <c r="A15" s="2577" t="s">
        <v>353</v>
      </c>
      <c r="B15" s="2578" t="s">
        <v>1445</v>
      </c>
      <c r="C15" s="2561">
        <f ca="1">ROUND(D15*E15/10000,0)</f>
        <v>497</v>
      </c>
      <c r="D15" s="2561">
        <f ca="1">IF(B1="",'数据-汇总表'!E5,IF(INDIRECT("'数据-取费表'!c"&amp;$G$1)="住宅",INDIRECT("'数据-取费表'!k"&amp;$G$1),0))</f>
        <v>99449</v>
      </c>
      <c r="E15" s="2561">
        <f>'数据-取费表'!B27</f>
        <v>50</v>
      </c>
      <c r="F15" s="2553"/>
      <c r="G15" s="1339" t="s">
        <v>4193</v>
      </c>
      <c r="H15" s="762"/>
      <c r="I15" s="1340" t="s">
        <v>1446</v>
      </c>
    </row>
    <row r="16" spans="1:9" s="109" customFormat="1">
      <c r="A16" s="2577" t="s">
        <v>354</v>
      </c>
      <c r="B16" s="2578" t="s">
        <v>1447</v>
      </c>
      <c r="C16" s="2561">
        <f ca="1">ROUND(D16*E16/10000,0)</f>
        <v>489</v>
      </c>
      <c r="D16" s="2561">
        <f ca="1">IF(B1="",'数据-汇总表'!E6,IF(INDIRECT("'数据-取费表'!c"&amp;$G$1)="住宅",INDIRECT("'数据-取费表'!s"&amp;$G$1),INDIRECT("'数据-取费表'!k"&amp;$G$1)+INDIRECT("'数据-取费表'!s"&amp;$G$1)))</f>
        <v>54380</v>
      </c>
      <c r="E16" s="2561">
        <f>'数据-取费表'!B28</f>
        <v>90</v>
      </c>
      <c r="F16" s="2553"/>
      <c r="G16" s="121"/>
    </row>
    <row r="17" spans="1:7" s="109" customFormat="1">
      <c r="A17" s="2505" t="s">
        <v>3279</v>
      </c>
      <c r="B17" s="2579" t="s">
        <v>3284</v>
      </c>
      <c r="C17" s="2521" t="str">
        <f>IF(G17="已包含在土地取得成本中","0",ROUND(D17*E17/10000,0))</f>
        <v>0</v>
      </c>
      <c r="D17" s="2562">
        <f ca="1">D15+D16</f>
        <v>153829</v>
      </c>
      <c r="E17" s="2562">
        <f>'数据-取费表'!B31</f>
        <v>150</v>
      </c>
      <c r="F17" s="2529"/>
      <c r="G17" s="1338" t="s">
        <v>4194</v>
      </c>
    </row>
    <row r="18" spans="1:7" s="109" customFormat="1">
      <c r="A18" s="2580" t="s">
        <v>3280</v>
      </c>
      <c r="B18" s="2579" t="s">
        <v>1470</v>
      </c>
      <c r="C18" s="2521">
        <f ca="1">ROUND(E18*D18*F10/10000,0)</f>
        <v>0</v>
      </c>
      <c r="D18" s="2521">
        <f ca="1">D17</f>
        <v>153829</v>
      </c>
      <c r="E18" s="2521">
        <f>'数据-取费表'!B35</f>
        <v>350</v>
      </c>
      <c r="F18" s="2532"/>
      <c r="G18" s="156" t="str">
        <f ca="1">IF(F10=100%,"","按工程进度计取")</f>
        <v>按工程进度计取</v>
      </c>
    </row>
    <row r="19" spans="1:7" s="109" customFormat="1">
      <c r="A19" s="2574" t="s">
        <v>352</v>
      </c>
      <c r="B19" s="2575" t="s">
        <v>3315</v>
      </c>
      <c r="C19" s="2521">
        <f ca="1">ROUND(C10*F19,0)</f>
        <v>0</v>
      </c>
      <c r="D19" s="144"/>
      <c r="E19" s="144"/>
      <c r="F19" s="2532">
        <f>'数据-取费表'!B36</f>
        <v>0.03</v>
      </c>
      <c r="G19" s="156" t="s">
        <v>1467</v>
      </c>
    </row>
    <row r="20" spans="1:7" s="109" customFormat="1">
      <c r="A20" s="2574" t="s">
        <v>3281</v>
      </c>
      <c r="B20" s="2575" t="s">
        <v>3316</v>
      </c>
      <c r="C20" s="2521">
        <f ca="1">ROUND(C10*F20,0)</f>
        <v>0</v>
      </c>
      <c r="D20" s="2563"/>
      <c r="E20" s="140"/>
      <c r="F20" s="2532">
        <f>'数据-取费表'!B37</f>
        <v>0.03</v>
      </c>
      <c r="G20" s="156" t="s">
        <v>1467</v>
      </c>
    </row>
    <row r="21" spans="1:7" s="2533" customFormat="1" ht="15">
      <c r="A21" s="2512" t="s">
        <v>3329</v>
      </c>
      <c r="B21" s="2571" t="s">
        <v>3330</v>
      </c>
      <c r="C21" s="2534">
        <f ca="1">ROUND((C6+C9)*F21,0)</f>
        <v>235</v>
      </c>
      <c r="D21" s="2535"/>
      <c r="E21" s="2535"/>
      <c r="F21" s="2539">
        <f>'数据-取费表'!B38</f>
        <v>0.01</v>
      </c>
      <c r="G21" s="2536" t="s">
        <v>3331</v>
      </c>
    </row>
    <row r="22" spans="1:7" s="2533" customFormat="1" ht="15">
      <c r="A22" s="2512" t="s">
        <v>3332</v>
      </c>
      <c r="B22" s="2571" t="s">
        <v>3333</v>
      </c>
      <c r="C22" s="2537" t="str">
        <f>F22&amp;"V"</f>
        <v>0.03V</v>
      </c>
      <c r="D22" s="296"/>
      <c r="E22" s="2535"/>
      <c r="F22" s="2539">
        <f>'数据-取费表'!B39</f>
        <v>0.03</v>
      </c>
      <c r="G22" s="3531" t="s">
        <v>3976</v>
      </c>
    </row>
    <row r="23" spans="1:7" s="2533" customFormat="1" ht="15">
      <c r="A23" s="2512" t="s">
        <v>3334</v>
      </c>
      <c r="B23" s="2573" t="s">
        <v>3285</v>
      </c>
      <c r="C23" s="2513" t="str">
        <f ca="1">SUM(C24:C25)&amp;"+"&amp;C26&amp;"V"</f>
        <v>0+0V</v>
      </c>
      <c r="D23" s="2538"/>
      <c r="E23" s="296"/>
      <c r="F23" s="2539">
        <f ca="1">'数据-取费表'!B41</f>
        <v>3.1899999999999998E-2</v>
      </c>
      <c r="G23" s="2536" t="str">
        <f>IF('数据-取费表'!B22&lt;=1,"单利计息","复利计息")</f>
        <v>复利计息</v>
      </c>
    </row>
    <row r="24" spans="1:7" s="109" customFormat="1">
      <c r="A24" s="2581" t="s">
        <v>1449</v>
      </c>
      <c r="B24" s="2579" t="s">
        <v>1450</v>
      </c>
      <c r="C24" s="2527">
        <f ca="1">ROUND(IF('数据-取费表'!B22&lt;=1,C6*F23*'数据-取费表'!B23,C6*(POWER((1+F23),'数据-取费表'!B23)-1)),0)</f>
        <v>0</v>
      </c>
      <c r="D24" s="133"/>
      <c r="E24" s="133"/>
      <c r="F24" s="2528"/>
      <c r="G24" s="3911" t="s">
        <v>3977</v>
      </c>
    </row>
    <row r="25" spans="1:7" s="109" customFormat="1">
      <c r="A25" s="2581" t="s">
        <v>1451</v>
      </c>
      <c r="B25" s="2579" t="s">
        <v>3286</v>
      </c>
      <c r="C25" s="2527">
        <f ca="1">ROUND(IF('数据-取费表'!B22&lt;=1,(C9+C21)*F23*'数据-取费表'!B23/2,(C9+C21)*(POWER((1+F23),'数据-取费表'!B23/2)-1)),0)</f>
        <v>0</v>
      </c>
      <c r="D25" s="133"/>
      <c r="E25" s="133"/>
      <c r="F25" s="2528"/>
      <c r="G25" s="3911" t="s">
        <v>3978</v>
      </c>
    </row>
    <row r="26" spans="1:7" s="109" customFormat="1">
      <c r="A26" s="2581" t="s">
        <v>348</v>
      </c>
      <c r="B26" s="2579" t="s">
        <v>1452</v>
      </c>
      <c r="C26" s="2524">
        <f ca="1">ROUND(IF('数据-取费表'!B22&lt;=1,F22*F23*'数据-取费表'!B23/2,F22*(POWER((1+F23),'数据-取费表'!B23/2)-1)),4)</f>
        <v>0</v>
      </c>
      <c r="D26" s="133"/>
      <c r="E26" s="136"/>
      <c r="F26" s="2528"/>
      <c r="G26" s="4224" t="s">
        <v>3979</v>
      </c>
    </row>
    <row r="27" spans="1:7" s="2533" customFormat="1" ht="15">
      <c r="A27" s="2512" t="s">
        <v>3335</v>
      </c>
      <c r="B27" s="2573" t="s">
        <v>3287</v>
      </c>
      <c r="C27" s="2540" t="str">
        <f ca="1">C28&amp;"+"&amp;C29&amp;"V"</f>
        <v>19+0.0024V</v>
      </c>
      <c r="D27" s="2538"/>
      <c r="E27" s="296"/>
      <c r="F27" s="2541">
        <f ca="1">IF(B1="",'数据-取费表'!Q16,INDIRECT("'数据-取费表'!q"&amp;$G$1))</f>
        <v>0.08</v>
      </c>
      <c r="G27" s="2536" t="s">
        <v>3984</v>
      </c>
    </row>
    <row r="28" spans="1:7" s="109" customFormat="1">
      <c r="A28" s="2574" t="s">
        <v>344</v>
      </c>
      <c r="B28" s="2579" t="s">
        <v>1457</v>
      </c>
      <c r="C28" s="2506">
        <f ca="1">ROUND(C6*F27*'数据-取费表'!B23/'数据-取费表'!B22+(C9+C21)*F27,0)</f>
        <v>19</v>
      </c>
      <c r="D28" s="130"/>
      <c r="E28" s="131"/>
      <c r="F28" s="2529"/>
      <c r="G28" s="3031" t="str">
        <f ca="1">IF(F10=100%,"","其中：土地取得成本产生的利润按已建工期计算")</f>
        <v>其中：土地取得成本产生的利润按已建工期计算</v>
      </c>
    </row>
    <row r="29" spans="1:7" s="109" customFormat="1">
      <c r="A29" s="2574" t="s">
        <v>345</v>
      </c>
      <c r="B29" s="2579" t="s">
        <v>1458</v>
      </c>
      <c r="C29" s="2524">
        <f ca="1">ROUND(F22*F27,4)</f>
        <v>2.3999999999999998E-3</v>
      </c>
      <c r="D29" s="130"/>
      <c r="E29" s="131"/>
      <c r="F29" s="2529"/>
      <c r="G29" s="142"/>
    </row>
    <row r="30" spans="1:7" s="2533" customFormat="1" ht="15">
      <c r="A30" s="2512" t="s">
        <v>3336</v>
      </c>
      <c r="B30" s="2571" t="s">
        <v>3337</v>
      </c>
      <c r="C30" s="2534">
        <v>0</v>
      </c>
      <c r="D30" s="296"/>
      <c r="E30" s="2514"/>
      <c r="F30" s="2539"/>
      <c r="G30" s="2542" t="s">
        <v>3288</v>
      </c>
    </row>
    <row r="31" spans="1:7" s="109" customFormat="1" ht="15.75">
      <c r="A31" s="2582">
        <v>2</v>
      </c>
      <c r="B31" s="2583" t="s">
        <v>3289</v>
      </c>
      <c r="C31" s="2525">
        <f ca="1">C57</f>
        <v>0</v>
      </c>
      <c r="D31" s="2516"/>
      <c r="E31" s="2516"/>
      <c r="F31" s="2530">
        <f>IF('数据-取费表'!B24=0,'数据-取费表'!N16,1)</f>
        <v>1</v>
      </c>
      <c r="G31" s="2517" t="s">
        <v>3798</v>
      </c>
    </row>
    <row r="32" spans="1:7" s="109" customFormat="1" ht="15.75">
      <c r="A32" s="2504" t="s">
        <v>3290</v>
      </c>
      <c r="B32" s="2503" t="s">
        <v>3291</v>
      </c>
      <c r="C32" s="2525">
        <f ca="1">C5-C31</f>
        <v>24510</v>
      </c>
      <c r="D32" s="2516"/>
      <c r="E32" s="2516"/>
      <c r="F32" s="2515"/>
      <c r="G32" s="2518" t="s">
        <v>3322</v>
      </c>
    </row>
    <row r="33" spans="1:7" s="109" customFormat="1" ht="16.5" thickBot="1">
      <c r="A33" s="2584">
        <v>4</v>
      </c>
      <c r="B33" s="2585" t="s">
        <v>3323</v>
      </c>
      <c r="C33" s="2526">
        <f ca="1">ROUND(C32*(1+F33),0)</f>
        <v>26716</v>
      </c>
      <c r="D33" s="2519"/>
      <c r="E33" s="2519"/>
      <c r="F33" s="2531">
        <f>IF(G33="其他类型公式—成本价值×（1+9%）",9%,3%)</f>
        <v>0.09</v>
      </c>
      <c r="G33" s="3532" t="s">
        <v>3673</v>
      </c>
    </row>
    <row r="34" spans="1:7" s="118" customFormat="1"/>
    <row r="35" spans="1:7" s="109" customFormat="1"/>
    <row r="36" spans="1:7" s="109" customFormat="1"/>
    <row r="37" spans="1:7" s="109" customFormat="1"/>
    <row r="38" spans="1:7" ht="15.75" thickBot="1">
      <c r="A38" s="2770" t="s">
        <v>3292</v>
      </c>
      <c r="B38" s="2771"/>
      <c r="C38" s="2771"/>
      <c r="D38" s="2771"/>
      <c r="E38" s="2771"/>
      <c r="F38" s="2771"/>
      <c r="G38" s="2772"/>
    </row>
    <row r="39" spans="1:7" ht="15.75" thickBot="1">
      <c r="A39" s="2773" t="s">
        <v>3318</v>
      </c>
      <c r="B39" s="2774" t="s">
        <v>3319</v>
      </c>
      <c r="C39" s="2775" t="s">
        <v>3940</v>
      </c>
      <c r="D39" s="2776" t="s">
        <v>3442</v>
      </c>
      <c r="E39" s="2777" t="s">
        <v>3443</v>
      </c>
      <c r="F39" s="2777" t="s">
        <v>3444</v>
      </c>
      <c r="G39" s="2778" t="s">
        <v>3320</v>
      </c>
    </row>
    <row r="40" spans="1:7" ht="15">
      <c r="A40" s="2631" t="s">
        <v>3445</v>
      </c>
      <c r="B40" s="2780" t="s">
        <v>3293</v>
      </c>
      <c r="C40" s="2781">
        <f ca="1">SUM(C41:C46)</f>
        <v>0</v>
      </c>
      <c r="D40" s="2779"/>
      <c r="E40" s="2779"/>
      <c r="F40" s="2779"/>
      <c r="G40" s="3983"/>
    </row>
    <row r="41" spans="1:7" ht="15.75">
      <c r="A41" s="2566" t="s">
        <v>3294</v>
      </c>
      <c r="B41" s="2630" t="str">
        <f t="shared" ref="B41:C43" si="0">B10</f>
        <v xml:space="preserve">  建安费用</v>
      </c>
      <c r="C41" s="2501">
        <f t="shared" ca="1" si="0"/>
        <v>0</v>
      </c>
      <c r="D41" s="2496"/>
      <c r="E41" s="2496"/>
      <c r="F41" s="2497"/>
      <c r="G41" s="3984"/>
    </row>
    <row r="42" spans="1:7" ht="15.75">
      <c r="A42" s="2566" t="s">
        <v>3295</v>
      </c>
      <c r="B42" s="2630" t="str">
        <f t="shared" si="0"/>
        <v xml:space="preserve">  前期费用</v>
      </c>
      <c r="C42" s="2501">
        <f t="shared" ca="1" si="0"/>
        <v>0</v>
      </c>
      <c r="D42" s="2496"/>
      <c r="E42" s="2496"/>
      <c r="F42" s="2497"/>
      <c r="G42" s="3984"/>
    </row>
    <row r="43" spans="1:7" ht="15.75">
      <c r="A43" s="2566" t="s">
        <v>3359</v>
      </c>
      <c r="B43" s="2570" t="str">
        <f t="shared" si="0"/>
        <v xml:space="preserve">  公共配套设施费用</v>
      </c>
      <c r="C43" s="2501">
        <f t="shared" ca="1" si="0"/>
        <v>0</v>
      </c>
      <c r="D43" s="2496"/>
      <c r="E43" s="2496"/>
      <c r="F43" s="2497"/>
      <c r="G43" s="3984"/>
    </row>
    <row r="44" spans="1:7" ht="15.75">
      <c r="A44" s="2566" t="s">
        <v>3277</v>
      </c>
      <c r="B44" s="2570" t="str">
        <f>B18</f>
        <v>红线内市政费用</v>
      </c>
      <c r="C44" s="2501">
        <f ca="1">C18</f>
        <v>0</v>
      </c>
      <c r="D44" s="2496"/>
      <c r="E44" s="2496"/>
      <c r="F44" s="2497"/>
      <c r="G44" s="3984"/>
    </row>
    <row r="45" spans="1:7" ht="15.75">
      <c r="A45" s="2581" t="s">
        <v>3296</v>
      </c>
      <c r="B45" s="2576" t="str">
        <f>B19</f>
        <v xml:space="preserve">  其他工程费</v>
      </c>
      <c r="C45" s="2506">
        <f ca="1">C19</f>
        <v>0</v>
      </c>
      <c r="D45" s="2629"/>
      <c r="E45" s="2629"/>
      <c r="F45" s="2509"/>
      <c r="G45" s="3985"/>
    </row>
    <row r="46" spans="1:7" ht="15.75">
      <c r="A46" s="2581" t="s">
        <v>3358</v>
      </c>
      <c r="B46" s="2576" t="s">
        <v>3297</v>
      </c>
      <c r="C46" s="2506">
        <f ca="1">C20</f>
        <v>0</v>
      </c>
      <c r="D46" s="2629"/>
      <c r="E46" s="2629"/>
      <c r="F46" s="2509"/>
      <c r="G46" s="3985"/>
    </row>
    <row r="47" spans="1:7" ht="15">
      <c r="A47" s="2631" t="s">
        <v>3446</v>
      </c>
      <c r="B47" s="2632" t="s">
        <v>3447</v>
      </c>
      <c r="C47" s="2633">
        <f ca="1">ROUND(C40*F47,0)</f>
        <v>0</v>
      </c>
      <c r="D47" s="2634"/>
      <c r="E47" s="2634"/>
      <c r="F47" s="2635">
        <f>F21</f>
        <v>0.01</v>
      </c>
      <c r="G47" s="2636" t="s">
        <v>3448</v>
      </c>
    </row>
    <row r="48" spans="1:7" ht="15">
      <c r="A48" s="2631" t="s">
        <v>3449</v>
      </c>
      <c r="B48" s="2632" t="s">
        <v>3450</v>
      </c>
      <c r="C48" s="2637" t="str">
        <f>F48&amp;"V建1"</f>
        <v>0.03V建1</v>
      </c>
      <c r="D48" s="2634"/>
      <c r="E48" s="2634"/>
      <c r="F48" s="2635">
        <f>F22</f>
        <v>0.03</v>
      </c>
      <c r="G48" s="4225" t="s">
        <v>3980</v>
      </c>
    </row>
    <row r="49" spans="1:7" ht="15">
      <c r="A49" s="2631" t="s">
        <v>3451</v>
      </c>
      <c r="B49" s="2638" t="s">
        <v>3357</v>
      </c>
      <c r="C49" s="2534" t="str">
        <f ca="1">C50&amp;"+"&amp;C51&amp;"V建1"</f>
        <v>0+0.0012V建1</v>
      </c>
      <c r="D49" s="296"/>
      <c r="E49" s="296"/>
      <c r="F49" s="2647">
        <f ca="1">F23</f>
        <v>3.1899999999999998E-2</v>
      </c>
      <c r="G49" s="3986" t="str">
        <f>IF('数据-取费表'!B22&lt;=1,"单利计息","复利计息")</f>
        <v>复利计息</v>
      </c>
    </row>
    <row r="50" spans="1:7">
      <c r="A50" s="2566" t="s">
        <v>3294</v>
      </c>
      <c r="B50" s="2569" t="s">
        <v>3361</v>
      </c>
      <c r="C50" s="2650">
        <f ca="1">ROUND(IF('数据-取费表'!B22&lt;=1,(C40+C47)*F49*'数据-取费表'!B22/2,(C40+C47)*(POWER((1+F49),'数据-取费表'!B22/2)-1)),0)</f>
        <v>0</v>
      </c>
      <c r="D50" s="1011"/>
      <c r="E50" s="1011"/>
      <c r="F50" s="994"/>
      <c r="G50" s="4490" t="str">
        <f ca="1">IF(F10=100%,"建设期均匀投入","已建工期均匀投入")</f>
        <v>已建工期均匀投入</v>
      </c>
    </row>
    <row r="51" spans="1:7">
      <c r="A51" s="2566" t="s">
        <v>3295</v>
      </c>
      <c r="B51" s="2570" t="s">
        <v>3300</v>
      </c>
      <c r="C51" s="2651">
        <f ca="1">ROUND(IF('数据-取费表'!B22&lt;=1,F48*F23*'数据-取费表'!B22/2,F48*(POWER((1+F23),'数据-取费表'!B22/2)-1)),4)</f>
        <v>1.1999999999999999E-3</v>
      </c>
      <c r="D51" s="1011"/>
      <c r="E51" s="1011"/>
      <c r="F51" s="994"/>
      <c r="G51" s="4491"/>
    </row>
    <row r="52" spans="1:7" ht="15">
      <c r="A52" s="2631" t="s">
        <v>3452</v>
      </c>
      <c r="B52" s="2640" t="s">
        <v>3301</v>
      </c>
      <c r="C52" s="2641" t="str">
        <f ca="1">C53&amp;"+"&amp;C54&amp;"V建1"</f>
        <v>0+0.0024V建1</v>
      </c>
      <c r="D52" s="2642"/>
      <c r="E52" s="2634"/>
      <c r="F52" s="2643">
        <f ca="1">F27</f>
        <v>0.08</v>
      </c>
      <c r="G52" s="2644" t="s">
        <v>3453</v>
      </c>
    </row>
    <row r="53" spans="1:7">
      <c r="A53" s="2566" t="s">
        <v>3298</v>
      </c>
      <c r="B53" s="2569" t="s">
        <v>3302</v>
      </c>
      <c r="C53" s="2501">
        <f ca="1">ROUND((C40+C47)*F27,0)</f>
        <v>0</v>
      </c>
      <c r="D53" s="2502"/>
      <c r="E53" s="2498"/>
      <c r="F53" s="2499"/>
      <c r="G53" s="2500"/>
    </row>
    <row r="54" spans="1:7">
      <c r="A54" s="2566" t="s">
        <v>3299</v>
      </c>
      <c r="B54" s="2569" t="s">
        <v>3303</v>
      </c>
      <c r="C54" s="2565">
        <f ca="1">ROUND(F48*F27,4)</f>
        <v>2.3999999999999998E-3</v>
      </c>
      <c r="D54" s="2502"/>
      <c r="E54" s="2498"/>
      <c r="F54" s="2499"/>
      <c r="G54" s="2500"/>
    </row>
    <row r="55" spans="1:7" ht="15">
      <c r="A55" s="2512" t="s">
        <v>3454</v>
      </c>
      <c r="B55" s="2649" t="s">
        <v>3455</v>
      </c>
      <c r="C55" s="3987">
        <v>0</v>
      </c>
      <c r="D55" s="2538"/>
      <c r="E55" s="296"/>
      <c r="F55" s="2639"/>
      <c r="G55" s="2646" t="s">
        <v>3306</v>
      </c>
    </row>
    <row r="56" spans="1:7" ht="16.5">
      <c r="A56" s="2512" t="s">
        <v>3459</v>
      </c>
      <c r="B56" s="2645" t="s">
        <v>3456</v>
      </c>
      <c r="C56" s="2534">
        <f ca="1">ROUND((C40+C47+C50+C53)/(1-F48-C51-C54),0)</f>
        <v>0</v>
      </c>
      <c r="D56" s="296"/>
      <c r="E56" s="296"/>
      <c r="F56" s="2647"/>
      <c r="G56" s="2646" t="s">
        <v>3307</v>
      </c>
    </row>
    <row r="57" spans="1:7" ht="15">
      <c r="A57" s="2512" t="s">
        <v>3423</v>
      </c>
      <c r="B57" s="2648" t="s">
        <v>3304</v>
      </c>
      <c r="C57" s="2534">
        <f ca="1">ROUND(C56*(1-F57),0)</f>
        <v>0</v>
      </c>
      <c r="D57" s="296"/>
      <c r="E57" s="296"/>
      <c r="F57" s="2647">
        <f>F31</f>
        <v>1</v>
      </c>
      <c r="G57" s="2646" t="s">
        <v>3308</v>
      </c>
    </row>
    <row r="58" spans="1:7" ht="16.5">
      <c r="A58" s="2512" t="s">
        <v>3457</v>
      </c>
      <c r="B58" s="2645" t="s">
        <v>3458</v>
      </c>
      <c r="C58" s="2534">
        <f ca="1">C56-C57</f>
        <v>0</v>
      </c>
      <c r="D58" s="296"/>
      <c r="E58" s="296"/>
      <c r="F58" s="2647"/>
      <c r="G58" s="2646" t="s">
        <v>3309</v>
      </c>
    </row>
    <row r="59" spans="1:7" ht="15.75" thickBot="1">
      <c r="A59" s="3988" t="s">
        <v>3360</v>
      </c>
      <c r="B59" s="3989" t="s">
        <v>3305</v>
      </c>
      <c r="C59" s="3990">
        <f ca="1">ROUND(C58*(1+F59),0)</f>
        <v>0</v>
      </c>
      <c r="D59" s="3991"/>
      <c r="E59" s="3991"/>
      <c r="F59" s="3992">
        <f>F33</f>
        <v>0.09</v>
      </c>
      <c r="G59" s="3993" t="s">
        <v>3981</v>
      </c>
    </row>
    <row r="60" spans="1:7" ht="14.25">
      <c r="A60" s="2494"/>
      <c r="B60" s="2495"/>
    </row>
    <row r="62" spans="1:7" ht="21" customHeight="1">
      <c r="B62" s="2564" t="s">
        <v>1496</v>
      </c>
      <c r="C62" s="166"/>
    </row>
    <row r="63" spans="1:7" ht="21" customHeight="1">
      <c r="B63" s="55" t="s">
        <v>785</v>
      </c>
      <c r="C63" s="4059">
        <f ca="1">1-C64</f>
        <v>1</v>
      </c>
    </row>
    <row r="64" spans="1:7" ht="21" customHeight="1">
      <c r="B64" s="55" t="s">
        <v>786</v>
      </c>
      <c r="C64" s="4060">
        <f ca="1">ROUND(C58/C32,3)</f>
        <v>0</v>
      </c>
      <c r="D64" s="164" t="s">
        <v>3362</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1428</v>
      </c>
      <c r="B1" s="2828"/>
      <c r="C1" s="3324"/>
      <c r="D1" s="1341" t="s">
        <v>1497</v>
      </c>
      <c r="E1" s="93"/>
      <c r="F1" s="93"/>
      <c r="G1" s="756">
        <f>MATCH(B1,'数据-取费表'!A6:A16,0)+5</f>
        <v>10</v>
      </c>
      <c r="H1" s="3019" t="str">
        <f>IF(ISERROR(FIND("住宅",B1)),"非住宅","住宅")</f>
        <v>非住宅</v>
      </c>
    </row>
    <row r="2" spans="1:10" s="95" customFormat="1" ht="15.75">
      <c r="A2" s="96" t="s">
        <v>1429</v>
      </c>
      <c r="B2" s="3675">
        <f ca="1">ROUND(D3/10000,4)</f>
        <v>46683.550300000003</v>
      </c>
      <c r="C2" s="94" t="s">
        <v>1430</v>
      </c>
      <c r="D2" s="1335" t="s">
        <v>41</v>
      </c>
      <c r="E2" s="2509">
        <f ca="1">IF(D2="——",0,SUMIF(INDIRECT("'"&amp;G2&amp;"'"&amp;"!A:A"),"承租人权益价值",INDIRECT("'"&amp;G2&amp;"'"&amp;"!c:c")))</f>
        <v>0</v>
      </c>
      <c r="F2" s="1336" t="s">
        <v>1430</v>
      </c>
      <c r="G2" s="1337"/>
    </row>
    <row r="3" spans="1:10" s="95" customFormat="1" ht="16.5" thickBot="1">
      <c r="A3" s="98" t="s">
        <v>670</v>
      </c>
      <c r="B3" s="2523">
        <f ca="1">ROUND(D3/(IF(B1="",'数据-汇总表'!E3,INDIRECT("'数据-取费表'!k"&amp;$G$1))),0)</f>
        <v>3035</v>
      </c>
      <c r="C3" s="94" t="s">
        <v>1432</v>
      </c>
      <c r="D3" s="94">
        <f ca="1">IF(C1="含税",E2+C33,E2+C32)</f>
        <v>466835503</v>
      </c>
      <c r="E3" s="2510"/>
      <c r="F3" s="94"/>
      <c r="G3" s="94"/>
    </row>
    <row r="4" spans="1:10" s="95" customFormat="1" ht="16.5" thickBot="1">
      <c r="A4" s="2567" t="s">
        <v>3318</v>
      </c>
      <c r="B4" s="2568" t="s">
        <v>3319</v>
      </c>
      <c r="C4" s="2507" t="s">
        <v>3940</v>
      </c>
      <c r="D4" s="2543" t="s">
        <v>3324</v>
      </c>
      <c r="E4" s="2544" t="s">
        <v>3325</v>
      </c>
      <c r="F4" s="2544" t="s">
        <v>3326</v>
      </c>
      <c r="G4" s="2508" t="s">
        <v>3320</v>
      </c>
    </row>
    <row r="5" spans="1:10" s="103" customFormat="1" ht="15.75">
      <c r="A5" s="2545" t="s">
        <v>3317</v>
      </c>
      <c r="B5" s="2546" t="s">
        <v>3321</v>
      </c>
      <c r="C5" s="2520">
        <f ca="1">ROUND((C6+C9+C21+C24+C25+C28)/(1-F22-C26-C29),0)</f>
        <v>466835503</v>
      </c>
      <c r="D5" s="2547"/>
      <c r="E5" s="2547"/>
      <c r="F5" s="2547"/>
      <c r="G5" s="2699" t="s">
        <v>3460</v>
      </c>
      <c r="J5" s="95"/>
    </row>
    <row r="6" spans="1:10" s="2533" customFormat="1" ht="15">
      <c r="A6" s="2512" t="s">
        <v>3327</v>
      </c>
      <c r="B6" s="2571" t="s">
        <v>3328</v>
      </c>
      <c r="C6" s="2548">
        <f>C7+C8</f>
        <v>0</v>
      </c>
      <c r="D6" s="2511"/>
      <c r="E6" s="2511"/>
      <c r="F6" s="2511"/>
      <c r="G6" s="2549"/>
      <c r="J6" s="95"/>
    </row>
    <row r="7" spans="1:10" s="109" customFormat="1" ht="15">
      <c r="A7" s="2550" t="s">
        <v>344</v>
      </c>
      <c r="B7" s="2572" t="s">
        <v>1440</v>
      </c>
      <c r="C7" s="3020"/>
      <c r="D7" s="2551"/>
      <c r="E7" s="2552"/>
      <c r="F7" s="2552"/>
      <c r="G7" s="156"/>
      <c r="J7" s="95"/>
    </row>
    <row r="8" spans="1:10" s="109" customFormat="1" ht="15">
      <c r="A8" s="2550" t="s">
        <v>345</v>
      </c>
      <c r="B8" s="2572" t="s">
        <v>1442</v>
      </c>
      <c r="C8" s="2521">
        <f>ROUND(C7*F8,0)</f>
        <v>0</v>
      </c>
      <c r="D8" s="144"/>
      <c r="E8" s="2552"/>
      <c r="F8" s="2553">
        <f>IF(项目基本情况!B8="出让",0,'数据-取费表'!B49+'数据-取费表'!B50)</f>
        <v>3.0499999999999999E-2</v>
      </c>
      <c r="G8" s="156"/>
      <c r="J8" s="95"/>
    </row>
    <row r="9" spans="1:10" s="2533" customFormat="1" ht="15">
      <c r="A9" s="2554" t="s">
        <v>336</v>
      </c>
      <c r="B9" s="2573" t="s">
        <v>3276</v>
      </c>
      <c r="C9" s="2534">
        <f ca="1">C10+C11+C12+C13+C19+C20</f>
        <v>414108942</v>
      </c>
      <c r="D9" s="2555"/>
      <c r="E9" s="2556"/>
      <c r="F9" s="2557"/>
      <c r="G9" s="2558"/>
      <c r="J9" s="95"/>
    </row>
    <row r="10" spans="1:10" s="109" customFormat="1" ht="15">
      <c r="A10" s="2574" t="s">
        <v>344</v>
      </c>
      <c r="B10" s="2575" t="s">
        <v>3311</v>
      </c>
      <c r="C10" s="2521">
        <f ca="1">ROUND(IF(B1="",SUMPRODUCT('数据-取费表'!K6:K14,'数据-取费表'!L6:L14),INDIRECT("'数据-取费表'!l"&amp;$G$1)*INDIRECT("'数据-取费表'!k"&amp;$G$1)+'数据-取费表'!L14*INDIRECT("'数据-取费表'!S"&amp;$G$1)),0)</f>
        <v>343012800</v>
      </c>
      <c r="D10" s="2551"/>
      <c r="E10" s="144"/>
      <c r="F10" s="2559">
        <f ca="1">IF('数据-取费表'!B24=0,1,IF(B1="",'数据-取费表'!N16,INDIRECT("'数据-取费表'!n"&amp;$G$1)))</f>
        <v>0</v>
      </c>
      <c r="G10" s="156" t="s">
        <v>1465</v>
      </c>
      <c r="J10" s="95"/>
    </row>
    <row r="11" spans="1:10" s="109" customFormat="1" ht="15">
      <c r="A11" s="2574" t="s">
        <v>349</v>
      </c>
      <c r="B11" s="2575" t="s">
        <v>3312</v>
      </c>
      <c r="C11" s="2521">
        <f ca="1">ROUND(C10*F11,0)</f>
        <v>27441024</v>
      </c>
      <c r="D11" s="144"/>
      <c r="E11" s="144"/>
      <c r="F11" s="2532">
        <f>'数据-取费表'!B33</f>
        <v>0.08</v>
      </c>
      <c r="G11" s="156" t="s">
        <v>1467</v>
      </c>
      <c r="J11" s="95"/>
    </row>
    <row r="12" spans="1:10" s="109" customFormat="1" ht="15">
      <c r="A12" s="2574" t="s">
        <v>350</v>
      </c>
      <c r="B12" s="2575" t="s">
        <v>3313</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0.1</v>
      </c>
      <c r="G12" s="3911" t="s">
        <v>3983</v>
      </c>
      <c r="J12" s="95"/>
    </row>
    <row r="13" spans="1:10" s="109" customFormat="1" ht="15">
      <c r="A13" s="2574" t="s">
        <v>3277</v>
      </c>
      <c r="B13" s="2575" t="s">
        <v>3314</v>
      </c>
      <c r="C13" s="2521">
        <f ca="1">C14+C17+C18</f>
        <v>23074350</v>
      </c>
      <c r="D13" s="144"/>
      <c r="E13" s="2552"/>
      <c r="F13" s="2553"/>
      <c r="G13" s="156"/>
      <c r="J13" s="95"/>
    </row>
    <row r="14" spans="1:10" s="118" customFormat="1" ht="15">
      <c r="A14" s="2505" t="s">
        <v>3278</v>
      </c>
      <c r="B14" s="2576" t="s">
        <v>3310</v>
      </c>
      <c r="C14" s="2521">
        <f>IF(G14="已包含在土地购买价格中","0",IF(B1="",'数据-取费表'!B29,IF(G15="全部缴纳",C15+C16,H15)))</f>
        <v>0</v>
      </c>
      <c r="D14" s="2560"/>
      <c r="E14" s="144"/>
      <c r="F14" s="2553"/>
      <c r="G14" s="1338"/>
      <c r="J14" s="95"/>
    </row>
    <row r="15" spans="1:10" s="109" customFormat="1" ht="15">
      <c r="A15" s="2577" t="s">
        <v>353</v>
      </c>
      <c r="B15" s="2578" t="s">
        <v>1445</v>
      </c>
      <c r="C15" s="2561">
        <f ca="1">ROUND(D15*E15,0)</f>
        <v>4972450</v>
      </c>
      <c r="D15" s="2561">
        <f ca="1">IF(B1="",'数据-汇总表'!E5,IF(INDIRECT("'数据-取费表'!c"&amp;$G$1)="住宅",INDIRECT("'数据-取费表'!k"&amp;$G$1),0))</f>
        <v>99449</v>
      </c>
      <c r="E15" s="2561">
        <f>'数据-取费表'!B27</f>
        <v>50</v>
      </c>
      <c r="F15" s="2553"/>
      <c r="G15" s="1339"/>
      <c r="H15" s="762"/>
      <c r="I15" s="1340" t="s">
        <v>1446</v>
      </c>
      <c r="J15" s="95"/>
    </row>
    <row r="16" spans="1:10" s="109" customFormat="1" ht="15">
      <c r="A16" s="2577" t="s">
        <v>354</v>
      </c>
      <c r="B16" s="2578" t="s">
        <v>1447</v>
      </c>
      <c r="C16" s="2561">
        <f ca="1">ROUND(D16*E16,0)</f>
        <v>4894200</v>
      </c>
      <c r="D16" s="2561">
        <f ca="1">IF(B1="",'数据-汇总表'!E6,IF(INDIRECT("'数据-取费表'!c"&amp;$G$1)="住宅",INDIRECT("'数据-取费表'!s"&amp;$G$1),INDIRECT("'数据-取费表'!k"&amp;$G$1)+INDIRECT("'数据-取费表'!s"&amp;$G$1)))</f>
        <v>54380</v>
      </c>
      <c r="E16" s="2561">
        <f>'数据-取费表'!B28</f>
        <v>90</v>
      </c>
      <c r="F16" s="2553"/>
      <c r="G16" s="121"/>
      <c r="J16" s="95"/>
    </row>
    <row r="17" spans="1:10" s="109" customFormat="1" ht="15">
      <c r="A17" s="2505" t="s">
        <v>3279</v>
      </c>
      <c r="B17" s="2579" t="s">
        <v>3284</v>
      </c>
      <c r="C17" s="2521">
        <f ca="1">IF(G17="已包含在土地取得成本中","0",ROUND(D17*E17,0))</f>
        <v>23074350</v>
      </c>
      <c r="D17" s="2562">
        <f ca="1">D15+D16</f>
        <v>153829</v>
      </c>
      <c r="E17" s="2562">
        <f>'数据-取费表'!B31</f>
        <v>150</v>
      </c>
      <c r="F17" s="2529"/>
      <c r="G17" s="1338"/>
      <c r="J17" s="95"/>
    </row>
    <row r="18" spans="1:10" s="109" customFormat="1" ht="15">
      <c r="A18" s="2580" t="s">
        <v>3280</v>
      </c>
      <c r="B18" s="2579" t="s">
        <v>1470</v>
      </c>
      <c r="C18" s="2521">
        <f ca="1">ROUND(E18*D18*F10,0)</f>
        <v>0</v>
      </c>
      <c r="D18" s="2521">
        <f ca="1">D17</f>
        <v>153829</v>
      </c>
      <c r="E18" s="2521">
        <f>'数据-取费表'!B35</f>
        <v>350</v>
      </c>
      <c r="F18" s="2532"/>
      <c r="G18" s="156" t="str">
        <f ca="1">IF(F10=100%,"","按工程进度计取")</f>
        <v>按工程进度计取</v>
      </c>
      <c r="J18" s="95"/>
    </row>
    <row r="19" spans="1:10" s="109" customFormat="1" ht="15">
      <c r="A19" s="2574" t="s">
        <v>352</v>
      </c>
      <c r="B19" s="2575" t="s">
        <v>3315</v>
      </c>
      <c r="C19" s="2521">
        <f ca="1">ROUND(C10*F19,0)</f>
        <v>10290384</v>
      </c>
      <c r="D19" s="144"/>
      <c r="E19" s="144"/>
      <c r="F19" s="2532">
        <f>'数据-取费表'!B36</f>
        <v>0.03</v>
      </c>
      <c r="G19" s="156" t="s">
        <v>1467</v>
      </c>
      <c r="J19" s="95"/>
    </row>
    <row r="20" spans="1:10" s="109" customFormat="1" ht="15">
      <c r="A20" s="2574" t="s">
        <v>3281</v>
      </c>
      <c r="B20" s="2575" t="s">
        <v>3316</v>
      </c>
      <c r="C20" s="2521">
        <f ca="1">ROUND(C10*F20,0)</f>
        <v>10290384</v>
      </c>
      <c r="D20" s="2563"/>
      <c r="E20" s="140"/>
      <c r="F20" s="2532">
        <f>'数据-取费表'!B37</f>
        <v>0.03</v>
      </c>
      <c r="G20" s="156" t="s">
        <v>1467</v>
      </c>
      <c r="J20" s="95"/>
    </row>
    <row r="21" spans="1:10" s="2533" customFormat="1" ht="15">
      <c r="A21" s="2512" t="s">
        <v>3329</v>
      </c>
      <c r="B21" s="2571" t="s">
        <v>3330</v>
      </c>
      <c r="C21" s="2534">
        <f ca="1">ROUND((C6+C9)*F21,0)</f>
        <v>4141089</v>
      </c>
      <c r="D21" s="2535"/>
      <c r="E21" s="2535"/>
      <c r="F21" s="2539">
        <f>'数据-取费表'!B38</f>
        <v>0.01</v>
      </c>
      <c r="G21" s="2536" t="s">
        <v>3331</v>
      </c>
      <c r="J21" s="95"/>
    </row>
    <row r="22" spans="1:10" s="2533" customFormat="1" ht="15">
      <c r="A22" s="2512" t="s">
        <v>3332</v>
      </c>
      <c r="B22" s="2571" t="s">
        <v>3333</v>
      </c>
      <c r="C22" s="2537" t="str">
        <f>F22&amp;"V"</f>
        <v>0.03V</v>
      </c>
      <c r="D22" s="296"/>
      <c r="E22" s="2535"/>
      <c r="F22" s="2539">
        <f>'数据-取费表'!B39</f>
        <v>0.03</v>
      </c>
      <c r="G22" s="3531" t="s">
        <v>3976</v>
      </c>
      <c r="J22" s="95"/>
    </row>
    <row r="23" spans="1:10" s="2533" customFormat="1" ht="15">
      <c r="A23" s="2512" t="s">
        <v>3334</v>
      </c>
      <c r="B23" s="2573" t="s">
        <v>3285</v>
      </c>
      <c r="C23" s="2513" t="str">
        <f ca="1">SUM(C24:C25)&amp;"+"&amp;C26&amp;"V"</f>
        <v>0+0V</v>
      </c>
      <c r="D23" s="2538"/>
      <c r="E23" s="296"/>
      <c r="F23" s="2539">
        <f ca="1">'数据-取费表'!B41</f>
        <v>3.1899999999999998E-2</v>
      </c>
      <c r="G23" s="2536" t="str">
        <f>IF('数据-取费表'!B22&lt;=1,"单利计息","复利计息")</f>
        <v>复利计息</v>
      </c>
      <c r="J23" s="95"/>
    </row>
    <row r="24" spans="1:10" s="109" customFormat="1" ht="15">
      <c r="A24" s="2581" t="s">
        <v>344</v>
      </c>
      <c r="B24" s="2579" t="s">
        <v>1450</v>
      </c>
      <c r="C24" s="2527">
        <f ca="1">ROUND(IF('数据-取费表'!B22&lt;=1,C6*F23*'数据-取费表'!B23,C6*(POWER((1+F23),'数据-取费表'!B23)-1)),0)</f>
        <v>0</v>
      </c>
      <c r="D24" s="133"/>
      <c r="E24" s="133"/>
      <c r="F24" s="2528"/>
      <c r="G24" s="3911" t="s">
        <v>3977</v>
      </c>
      <c r="J24" s="95"/>
    </row>
    <row r="25" spans="1:10" s="109" customFormat="1" ht="15">
      <c r="A25" s="2581" t="s">
        <v>345</v>
      </c>
      <c r="B25" s="2579" t="s">
        <v>3286</v>
      </c>
      <c r="C25" s="2527">
        <f ca="1">ROUND(IF('数据-取费表'!B22&lt;=1,(C9+C21)*F23*'数据-取费表'!B23/2,(C9+C21)*(POWER((1+F23),'数据-取费表'!B23/2)-1)),0)</f>
        <v>0</v>
      </c>
      <c r="D25" s="133"/>
      <c r="E25" s="133"/>
      <c r="F25" s="2528"/>
      <c r="G25" s="3911" t="s">
        <v>3978</v>
      </c>
      <c r="J25" s="95"/>
    </row>
    <row r="26" spans="1:10" s="109" customFormat="1" ht="15">
      <c r="A26" s="2581" t="s">
        <v>348</v>
      </c>
      <c r="B26" s="2579" t="s">
        <v>1452</v>
      </c>
      <c r="C26" s="2524">
        <f ca="1">ROUND(IF('数据-取费表'!B22&lt;=1,F22*F23*'数据-取费表'!B23/2,F22*(POWER((1+F23),'数据-取费表'!B23/2)-1)),4)</f>
        <v>0</v>
      </c>
      <c r="D26" s="133"/>
      <c r="E26" s="136"/>
      <c r="F26" s="2528"/>
      <c r="G26" s="4224" t="s">
        <v>3979</v>
      </c>
      <c r="J26" s="95"/>
    </row>
    <row r="27" spans="1:10" s="2533" customFormat="1" ht="15">
      <c r="A27" s="2512" t="s">
        <v>3335</v>
      </c>
      <c r="B27" s="2573" t="s">
        <v>3287</v>
      </c>
      <c r="C27" s="2540" t="str">
        <f ca="1">C28&amp;"+"&amp;C29&amp;"V"</f>
        <v>33460002+0.0024V</v>
      </c>
      <c r="D27" s="2538"/>
      <c r="E27" s="296"/>
      <c r="F27" s="2541">
        <f ca="1">IF(B1="",'数据-取费表'!Q16,INDIRECT("'数据-取费表'!q"&amp;$G$1))</f>
        <v>0.08</v>
      </c>
      <c r="G27" s="2536" t="s">
        <v>3985</v>
      </c>
      <c r="J27" s="95"/>
    </row>
    <row r="28" spans="1:10" s="109" customFormat="1" ht="15">
      <c r="A28" s="2574" t="s">
        <v>344</v>
      </c>
      <c r="B28" s="2579" t="s">
        <v>1457</v>
      </c>
      <c r="C28" s="2506">
        <f ca="1">ROUND(C6*F27*'数据-取费表'!B23/'数据-取费表'!B22+(C9+C21)*F27,0)</f>
        <v>33460002</v>
      </c>
      <c r="D28" s="130"/>
      <c r="E28" s="131"/>
      <c r="F28" s="2529"/>
      <c r="G28" s="142" t="str">
        <f ca="1">IF(F10=100%,"","其中：土地取得成本产生的利润按已建工期计算")</f>
        <v>其中：土地取得成本产生的利润按已建工期计算</v>
      </c>
      <c r="J28" s="95"/>
    </row>
    <row r="29" spans="1:10" s="109" customFormat="1" ht="15">
      <c r="A29" s="2574" t="s">
        <v>345</v>
      </c>
      <c r="B29" s="2579" t="s">
        <v>1458</v>
      </c>
      <c r="C29" s="2524">
        <f ca="1">ROUND(F22*F27,4)</f>
        <v>2.3999999999999998E-3</v>
      </c>
      <c r="D29" s="130"/>
      <c r="E29" s="131"/>
      <c r="F29" s="2529"/>
      <c r="G29" s="142"/>
      <c r="J29" s="95"/>
    </row>
    <row r="30" spans="1:10" s="2533" customFormat="1" ht="15">
      <c r="A30" s="2512" t="s">
        <v>3336</v>
      </c>
      <c r="B30" s="2571" t="s">
        <v>3337</v>
      </c>
      <c r="C30" s="2534">
        <v>0</v>
      </c>
      <c r="D30" s="296"/>
      <c r="E30" s="2514"/>
      <c r="F30" s="2539"/>
      <c r="G30" s="2542" t="s">
        <v>3288</v>
      </c>
      <c r="J30" s="95"/>
    </row>
    <row r="31" spans="1:10" s="109" customFormat="1" ht="15.75">
      <c r="A31" s="2582">
        <v>2</v>
      </c>
      <c r="B31" s="2583" t="s">
        <v>3289</v>
      </c>
      <c r="C31" s="2525">
        <f ca="1">C57</f>
        <v>0</v>
      </c>
      <c r="D31" s="2516"/>
      <c r="E31" s="2516"/>
      <c r="F31" s="2530">
        <f>IF('数据-取费表'!B24=0,'数据-取费表'!N16,1)</f>
        <v>1</v>
      </c>
      <c r="G31" s="2517" t="s">
        <v>3797</v>
      </c>
      <c r="J31" s="95"/>
    </row>
    <row r="32" spans="1:10" s="109" customFormat="1" ht="15.75">
      <c r="A32" s="2504" t="s">
        <v>3290</v>
      </c>
      <c r="B32" s="2503" t="s">
        <v>3291</v>
      </c>
      <c r="C32" s="2525">
        <f ca="1">C5-C31</f>
        <v>466835503</v>
      </c>
      <c r="D32" s="2516"/>
      <c r="E32" s="2516"/>
      <c r="F32" s="2515"/>
      <c r="G32" s="2518" t="s">
        <v>3322</v>
      </c>
      <c r="J32" s="95"/>
    </row>
    <row r="33" spans="1:10" s="109" customFormat="1" ht="16.5" thickBot="1">
      <c r="A33" s="2584">
        <v>4</v>
      </c>
      <c r="B33" s="2585" t="s">
        <v>3323</v>
      </c>
      <c r="C33" s="2526">
        <f ca="1">ROUND(C32*(1+F33),0)</f>
        <v>508850698</v>
      </c>
      <c r="D33" s="2519"/>
      <c r="E33" s="2519"/>
      <c r="F33" s="2531">
        <f>IF(G33="其他类型公式—成本价值×（1+9%）",9%,3%)</f>
        <v>0.09</v>
      </c>
      <c r="G33" s="3532" t="s">
        <v>3673</v>
      </c>
      <c r="J33" s="95"/>
    </row>
    <row r="34" spans="1:10" s="118" customFormat="1" ht="15">
      <c r="J34" s="95"/>
    </row>
    <row r="35" spans="1:10" s="109" customFormat="1"/>
    <row r="36" spans="1:10" s="109" customFormat="1"/>
    <row r="37" spans="1:10" s="109" customFormat="1"/>
    <row r="38" spans="1:10" ht="15.75" thickBot="1">
      <c r="A38" s="2770" t="s">
        <v>3292</v>
      </c>
      <c r="B38" s="2771"/>
      <c r="C38" s="2771"/>
      <c r="D38" s="2771"/>
      <c r="E38" s="2771"/>
      <c r="F38" s="2771"/>
      <c r="G38" s="2772"/>
    </row>
    <row r="39" spans="1:10" ht="15.75" thickBot="1">
      <c r="A39" s="4109" t="s">
        <v>3318</v>
      </c>
      <c r="B39" s="2773" t="s">
        <v>3319</v>
      </c>
      <c r="C39" s="2775" t="s">
        <v>3940</v>
      </c>
      <c r="D39" s="2776" t="s">
        <v>3442</v>
      </c>
      <c r="E39" s="2777" t="s">
        <v>3443</v>
      </c>
      <c r="F39" s="2777" t="s">
        <v>3444</v>
      </c>
      <c r="G39" s="2778" t="s">
        <v>3320</v>
      </c>
    </row>
    <row r="40" spans="1:10" ht="15">
      <c r="A40" s="2632" t="s">
        <v>3445</v>
      </c>
      <c r="B40" s="4114" t="s">
        <v>3293</v>
      </c>
      <c r="C40" s="2781">
        <f ca="1">SUM(C41:C46)</f>
        <v>391034592</v>
      </c>
      <c r="D40" s="2779"/>
      <c r="E40" s="2779"/>
      <c r="F40" s="2779"/>
      <c r="G40" s="3983"/>
    </row>
    <row r="41" spans="1:10" ht="15.75">
      <c r="A41" s="4110" t="s">
        <v>3294</v>
      </c>
      <c r="B41" s="4115" t="str">
        <f t="shared" ref="B41:C43" si="0">B10</f>
        <v xml:space="preserve">  建安费用</v>
      </c>
      <c r="C41" s="2501">
        <f t="shared" ca="1" si="0"/>
        <v>343012800</v>
      </c>
      <c r="D41" s="2496"/>
      <c r="E41" s="2496"/>
      <c r="F41" s="2497"/>
      <c r="G41" s="3984"/>
    </row>
    <row r="42" spans="1:10" ht="15.75">
      <c r="A42" s="4110" t="s">
        <v>3295</v>
      </c>
      <c r="B42" s="4115" t="str">
        <f t="shared" si="0"/>
        <v xml:space="preserve">  前期费用</v>
      </c>
      <c r="C42" s="2501">
        <f t="shared" ca="1" si="0"/>
        <v>27441024</v>
      </c>
      <c r="D42" s="2496"/>
      <c r="E42" s="2496"/>
      <c r="F42" s="2497"/>
      <c r="G42" s="3984"/>
    </row>
    <row r="43" spans="1:10" ht="15.75">
      <c r="A43" s="4110" t="s">
        <v>3359</v>
      </c>
      <c r="B43" s="4116" t="str">
        <f t="shared" si="0"/>
        <v xml:space="preserve">  公共配套设施费用</v>
      </c>
      <c r="C43" s="2501">
        <f t="shared" ca="1" si="0"/>
        <v>0</v>
      </c>
      <c r="D43" s="2496"/>
      <c r="E43" s="2496"/>
      <c r="F43" s="2497"/>
      <c r="G43" s="3984"/>
    </row>
    <row r="44" spans="1:10" ht="15.75">
      <c r="A44" s="4110" t="s">
        <v>3277</v>
      </c>
      <c r="B44" s="4116" t="str">
        <f>B18</f>
        <v>红线内市政费用</v>
      </c>
      <c r="C44" s="2501">
        <f ca="1">C18</f>
        <v>0</v>
      </c>
      <c r="D44" s="2496"/>
      <c r="E44" s="2496"/>
      <c r="F44" s="2497"/>
      <c r="G44" s="3984"/>
    </row>
    <row r="45" spans="1:10" ht="15.75">
      <c r="A45" s="4111" t="s">
        <v>3296</v>
      </c>
      <c r="B45" s="4117" t="str">
        <f>B19</f>
        <v xml:space="preserve">  其他工程费</v>
      </c>
      <c r="C45" s="2506">
        <f ca="1">C19</f>
        <v>10290384</v>
      </c>
      <c r="D45" s="2629"/>
      <c r="E45" s="2629"/>
      <c r="F45" s="2509"/>
      <c r="G45" s="3985"/>
    </row>
    <row r="46" spans="1:10" ht="15.75">
      <c r="A46" s="4111" t="s">
        <v>3358</v>
      </c>
      <c r="B46" s="4117" t="s">
        <v>3297</v>
      </c>
      <c r="C46" s="2506">
        <f ca="1">C20</f>
        <v>10290384</v>
      </c>
      <c r="D46" s="2629"/>
      <c r="E46" s="2629"/>
      <c r="F46" s="2509"/>
      <c r="G46" s="3985"/>
    </row>
    <row r="47" spans="1:10" ht="15">
      <c r="A47" s="4112" t="s">
        <v>3446</v>
      </c>
      <c r="B47" s="4112" t="s">
        <v>3447</v>
      </c>
      <c r="C47" s="2633">
        <f ca="1">ROUND(C40*F47,0)</f>
        <v>3910346</v>
      </c>
      <c r="D47" s="2634"/>
      <c r="E47" s="2634"/>
      <c r="F47" s="2635">
        <f>F21</f>
        <v>0.01</v>
      </c>
      <c r="G47" s="2636" t="s">
        <v>3448</v>
      </c>
    </row>
    <row r="48" spans="1:10" ht="15">
      <c r="A48" s="4112" t="s">
        <v>3449</v>
      </c>
      <c r="B48" s="4112" t="s">
        <v>3450</v>
      </c>
      <c r="C48" s="2637" t="str">
        <f>F48&amp;"V建1"</f>
        <v>0.03V建1</v>
      </c>
      <c r="D48" s="2634"/>
      <c r="E48" s="2634"/>
      <c r="F48" s="2635">
        <f>F22</f>
        <v>0.03</v>
      </c>
      <c r="G48" s="4225" t="s">
        <v>3980</v>
      </c>
    </row>
    <row r="49" spans="1:7" ht="15">
      <c r="A49" s="4112" t="s">
        <v>3451</v>
      </c>
      <c r="B49" s="4118" t="s">
        <v>3357</v>
      </c>
      <c r="C49" s="2534" t="str">
        <f ca="1">C50&amp;"+"&amp;C51&amp;"V建1"</f>
        <v>15810732+0.0012V建1</v>
      </c>
      <c r="D49" s="296"/>
      <c r="E49" s="296"/>
      <c r="F49" s="2639">
        <f ca="1">F23</f>
        <v>3.1899999999999998E-2</v>
      </c>
      <c r="G49" s="3986" t="str">
        <f>IF('数据-取费表'!B22&lt;=1,"单利计息","复利计息")</f>
        <v>复利计息</v>
      </c>
    </row>
    <row r="50" spans="1:7">
      <c r="A50" s="4110" t="s">
        <v>3294</v>
      </c>
      <c r="B50" s="4119" t="s">
        <v>3361</v>
      </c>
      <c r="C50" s="2650">
        <f ca="1">ROUND(IF('数据-取费表'!B22&lt;=1,(C40+C47)*F49*'数据-取费表'!B22/2,(C40+C47)*(POWER((1+F49),'数据-取费表'!B22/2)-1)),0)</f>
        <v>15810732</v>
      </c>
      <c r="D50" s="1011"/>
      <c r="E50" s="1011"/>
      <c r="F50" s="994"/>
      <c r="G50" s="4490" t="str">
        <f ca="1">IF(F10=100%,"建设期均匀投入","已建工期均匀投入")</f>
        <v>已建工期均匀投入</v>
      </c>
    </row>
    <row r="51" spans="1:7">
      <c r="A51" s="4110" t="s">
        <v>3295</v>
      </c>
      <c r="B51" s="4116" t="s">
        <v>3300</v>
      </c>
      <c r="C51" s="2651">
        <f ca="1">ROUND(IF('数据-取费表'!B22&lt;=1,F48*F23*'数据-取费表'!B22/2,F48*(POWER((1+F23),'数据-取费表'!B22/2)-1)),4)</f>
        <v>1.1999999999999999E-3</v>
      </c>
      <c r="D51" s="1011"/>
      <c r="E51" s="1011"/>
      <c r="F51" s="994"/>
      <c r="G51" s="4491"/>
    </row>
    <row r="52" spans="1:7" ht="15">
      <c r="A52" s="4112" t="s">
        <v>3452</v>
      </c>
      <c r="B52" s="2770" t="s">
        <v>3301</v>
      </c>
      <c r="C52" s="2641" t="str">
        <f ca="1">C53&amp;"+"&amp;C54&amp;"V建1"</f>
        <v>31595595+0.0024V建1</v>
      </c>
      <c r="D52" s="2642"/>
      <c r="E52" s="2634"/>
      <c r="F52" s="2643">
        <f ca="1">F27</f>
        <v>0.08</v>
      </c>
      <c r="G52" s="2644" t="s">
        <v>3453</v>
      </c>
    </row>
    <row r="53" spans="1:7">
      <c r="A53" s="4110" t="s">
        <v>3294</v>
      </c>
      <c r="B53" s="4119" t="s">
        <v>3302</v>
      </c>
      <c r="C53" s="2501">
        <f ca="1">ROUND((C40+C47)*F27,0)</f>
        <v>31595595</v>
      </c>
      <c r="D53" s="2502"/>
      <c r="E53" s="2498"/>
      <c r="F53" s="2499"/>
      <c r="G53" s="2500"/>
    </row>
    <row r="54" spans="1:7">
      <c r="A54" s="4110" t="s">
        <v>3295</v>
      </c>
      <c r="B54" s="4119" t="s">
        <v>3303</v>
      </c>
      <c r="C54" s="2565">
        <f ca="1">ROUND(F48*F27,4)</f>
        <v>2.3999999999999998E-3</v>
      </c>
      <c r="D54" s="2502"/>
      <c r="E54" s="2498"/>
      <c r="F54" s="2499"/>
      <c r="G54" s="2500"/>
    </row>
    <row r="55" spans="1:7" ht="15">
      <c r="A55" s="4113" t="s">
        <v>3454</v>
      </c>
      <c r="B55" s="2512" t="s">
        <v>3455</v>
      </c>
      <c r="C55" s="3987">
        <v>0</v>
      </c>
      <c r="D55" s="2538"/>
      <c r="E55" s="296"/>
      <c r="F55" s="2639"/>
      <c r="G55" s="2646" t="s">
        <v>3306</v>
      </c>
    </row>
    <row r="56" spans="1:7" ht="16.5">
      <c r="A56" s="4113" t="s">
        <v>3459</v>
      </c>
      <c r="B56" s="4113" t="s">
        <v>3456</v>
      </c>
      <c r="C56" s="2534">
        <f ca="1">ROUND((C40+C47+C50+C53)/(1-F48-C51-C54),0)</f>
        <v>457731028</v>
      </c>
      <c r="D56" s="296"/>
      <c r="E56" s="296"/>
      <c r="F56" s="2647"/>
      <c r="G56" s="2646" t="s">
        <v>3307</v>
      </c>
    </row>
    <row r="57" spans="1:7" ht="15">
      <c r="A57" s="4113" t="s">
        <v>3423</v>
      </c>
      <c r="B57" s="4120" t="s">
        <v>3289</v>
      </c>
      <c r="C57" s="2534">
        <f ca="1">ROUND(C56*(1-F57),0)</f>
        <v>0</v>
      </c>
      <c r="D57" s="296"/>
      <c r="E57" s="296"/>
      <c r="F57" s="2647">
        <f>F31</f>
        <v>1</v>
      </c>
      <c r="G57" s="2646" t="s">
        <v>3308</v>
      </c>
    </row>
    <row r="58" spans="1:7" ht="16.5">
      <c r="A58" s="4113" t="s">
        <v>3457</v>
      </c>
      <c r="B58" s="4113" t="s">
        <v>3458</v>
      </c>
      <c r="C58" s="2534">
        <f ca="1">C56-C57</f>
        <v>457731028</v>
      </c>
      <c r="D58" s="296"/>
      <c r="E58" s="296"/>
      <c r="F58" s="2647"/>
      <c r="G58" s="2646" t="s">
        <v>3309</v>
      </c>
    </row>
    <row r="59" spans="1:7" ht="15.75" thickBot="1">
      <c r="A59" s="2645" t="s">
        <v>3360</v>
      </c>
      <c r="B59" s="4121" t="s">
        <v>3305</v>
      </c>
      <c r="C59" s="3990">
        <f ca="1">ROUND(C58*(1+F59),0)</f>
        <v>498926821</v>
      </c>
      <c r="D59" s="3991"/>
      <c r="E59" s="3991"/>
      <c r="F59" s="3992">
        <f>F33</f>
        <v>0.09</v>
      </c>
      <c r="G59" s="3993" t="s">
        <v>3981</v>
      </c>
    </row>
    <row r="60" spans="1:7" ht="14.25">
      <c r="A60" s="2494"/>
      <c r="B60" s="2495"/>
    </row>
    <row r="62" spans="1:7" ht="21" customHeight="1">
      <c r="B62" s="2564" t="s">
        <v>1496</v>
      </c>
      <c r="C62" s="166"/>
    </row>
    <row r="63" spans="1:7" ht="21" customHeight="1">
      <c r="B63" s="55" t="s">
        <v>785</v>
      </c>
      <c r="C63" s="4059">
        <f ca="1">1-C64</f>
        <v>2.0000000000000018E-2</v>
      </c>
    </row>
    <row r="64" spans="1:7" ht="21" customHeight="1">
      <c r="B64" s="55" t="s">
        <v>786</v>
      </c>
      <c r="C64" s="4060">
        <f ca="1">ROUND(C58/C32,3)</f>
        <v>0.98</v>
      </c>
      <c r="D64" s="164" t="s">
        <v>3362</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1428</v>
      </c>
      <c r="B1" s="1017"/>
      <c r="C1" s="1341" t="s">
        <v>1497</v>
      </c>
      <c r="D1" s="93"/>
      <c r="E1" s="93"/>
      <c r="F1" s="93"/>
      <c r="G1" s="756">
        <f>MATCH(B1,'数据-取费表'!A6:A16,0)+5</f>
        <v>10</v>
      </c>
      <c r="H1" s="703" t="str">
        <f>IF(ISERROR(FIND("住宅",B1)),"非住宅","住宅")</f>
        <v>非住宅</v>
      </c>
    </row>
    <row r="2" spans="1:8" s="95" customFormat="1" ht="18" customHeight="1">
      <c r="A2" s="96" t="s">
        <v>1429</v>
      </c>
      <c r="B2" s="2470">
        <f ca="1">ROUND(IF(D2="——",C52/10000,C52/10000-E2),4)</f>
        <v>60087.352599999998</v>
      </c>
      <c r="C2" s="94" t="s">
        <v>1430</v>
      </c>
      <c r="D2" s="1335" t="s">
        <v>41</v>
      </c>
      <c r="E2" s="771" t="e">
        <f ca="1">SUMIF(INDIRECT("'"&amp;G2&amp;"'"&amp;"!A:A"),"承租人权益价值",INDIRECT("'"&amp;G2&amp;"'"&amp;"!c:c"))</f>
        <v>#REF!</v>
      </c>
      <c r="F2" s="1336" t="s">
        <v>1430</v>
      </c>
      <c r="G2" s="1337"/>
    </row>
    <row r="3" spans="1:8" s="95" customFormat="1" ht="18" customHeight="1" thickBot="1">
      <c r="A3" s="98" t="s">
        <v>1431</v>
      </c>
      <c r="B3" s="99">
        <f ca="1">ROUND(B2*10000/(IF(B1="",'数据-汇总表'!E3,INDIRECT("'数据-取费表'!k"&amp;$G$1))),0)</f>
        <v>3906</v>
      </c>
      <c r="C3" s="94" t="s">
        <v>1432</v>
      </c>
      <c r="D3" s="94"/>
      <c r="E3" s="94"/>
      <c r="F3" s="94"/>
      <c r="G3" s="94"/>
    </row>
    <row r="4" spans="1:8" s="103" customFormat="1" ht="15.75">
      <c r="A4" s="100" t="s">
        <v>1433</v>
      </c>
      <c r="B4" s="101"/>
      <c r="C4" s="101"/>
      <c r="D4" s="101"/>
      <c r="E4" s="101"/>
      <c r="F4" s="101"/>
      <c r="G4" s="102"/>
    </row>
    <row r="5" spans="1:8" s="109" customFormat="1" ht="13.5" customHeight="1">
      <c r="A5" s="150" t="s">
        <v>1434</v>
      </c>
      <c r="B5" s="105" t="s">
        <v>1435</v>
      </c>
      <c r="C5" s="106">
        <f ca="1">C6+C7+C8</f>
        <v>30497260</v>
      </c>
      <c r="D5" s="106" t="s">
        <v>1436</v>
      </c>
      <c r="E5" s="107" t="s">
        <v>1437</v>
      </c>
      <c r="F5" s="107" t="s">
        <v>1438</v>
      </c>
      <c r="G5" s="108"/>
    </row>
    <row r="6" spans="1:8" s="109" customFormat="1" ht="13.5" customHeight="1">
      <c r="A6" s="511" t="s">
        <v>1439</v>
      </c>
      <c r="B6" s="110" t="s">
        <v>1440</v>
      </c>
      <c r="C6" s="111">
        <v>20020000</v>
      </c>
      <c r="D6" s="112"/>
      <c r="E6" s="113"/>
      <c r="F6" s="113"/>
      <c r="G6" s="114"/>
    </row>
    <row r="7" spans="1:8" s="109" customFormat="1" ht="13.5" customHeight="1">
      <c r="A7" s="511" t="s">
        <v>1441</v>
      </c>
      <c r="B7" s="110" t="s">
        <v>1442</v>
      </c>
      <c r="C7" s="115">
        <f>ROUND(C6*F7,0)</f>
        <v>610610</v>
      </c>
      <c r="D7" s="115"/>
      <c r="E7" s="113"/>
      <c r="F7" s="116">
        <f>IF(项目基本情况!B8="出让",0,'数据-取费表'!B49+'数据-取费表'!B50)</f>
        <v>3.0499999999999999E-2</v>
      </c>
      <c r="G7" s="114"/>
    </row>
    <row r="8" spans="1:8" s="118" customFormat="1">
      <c r="A8" s="511" t="s">
        <v>1443</v>
      </c>
      <c r="B8" s="110" t="s">
        <v>1444</v>
      </c>
      <c r="C8" s="115">
        <f ca="1">IF(G8="已包含在土地购买价格中",0,C9+C10)</f>
        <v>9866650</v>
      </c>
      <c r="D8" s="117"/>
      <c r="E8" s="115"/>
      <c r="F8" s="116"/>
      <c r="G8" s="1338"/>
    </row>
    <row r="9" spans="1:8" s="109" customFormat="1" ht="13.5" customHeight="1">
      <c r="A9" s="512" t="s">
        <v>353</v>
      </c>
      <c r="B9" s="119" t="s">
        <v>1445</v>
      </c>
      <c r="C9" s="120">
        <f ca="1">ROUND(D9*E9,0)</f>
        <v>4972450</v>
      </c>
      <c r="D9" s="538">
        <f ca="1">IF(B1="",'数据-汇总表'!E5,IF(INDIRECT("'数据-取费表'!c"&amp;$G$1)="住宅",INDIRECT("'数据-取费表'!k"&amp;$G$1),0))</f>
        <v>99449</v>
      </c>
      <c r="E9" s="120">
        <f>'数据-取费表'!B27</f>
        <v>50</v>
      </c>
      <c r="F9" s="116"/>
      <c r="G9" s="121"/>
    </row>
    <row r="10" spans="1:8" s="109" customFormat="1" ht="13.5" customHeight="1">
      <c r="A10" s="512" t="s">
        <v>354</v>
      </c>
      <c r="B10" s="119" t="s">
        <v>1447</v>
      </c>
      <c r="C10" s="120">
        <f ca="1">ROUND(D10*E10,0)</f>
        <v>4894200</v>
      </c>
      <c r="D10" s="538">
        <f ca="1">IF(B1="",'数据-汇总表'!E6,IF(INDIRECT("'数据-取费表'!c"&amp;$G$1)="住宅",INDIRECT("'数据-取费表'!s"&amp;$G$1),INDIRECT("'数据-取费表'!k"&amp;$G$1)+INDIRECT("'数据-取费表'!s"&amp;$G$1)))</f>
        <v>54380</v>
      </c>
      <c r="E10" s="120">
        <f>'数据-取费表'!B28</f>
        <v>90</v>
      </c>
      <c r="F10" s="116"/>
      <c r="G10" s="121"/>
    </row>
    <row r="11" spans="1:8" s="109" customFormat="1" ht="13.5" customHeight="1">
      <c r="A11" s="122" t="s">
        <v>4</v>
      </c>
      <c r="B11" s="110" t="s">
        <v>1448</v>
      </c>
      <c r="C11" s="106"/>
      <c r="D11" s="113"/>
      <c r="E11" s="113"/>
      <c r="F11" s="113"/>
      <c r="G11" s="114"/>
    </row>
    <row r="12" spans="1:8" s="109" customFormat="1" ht="13.5" customHeight="1">
      <c r="A12" s="122" t="s">
        <v>5</v>
      </c>
      <c r="B12" s="110" t="s">
        <v>1498</v>
      </c>
      <c r="C12" s="106">
        <v>0</v>
      </c>
      <c r="D12" s="113"/>
      <c r="E12" s="123"/>
      <c r="F12" s="116">
        <v>3.0499999999999999E-2</v>
      </c>
      <c r="G12" s="114"/>
    </row>
    <row r="13" spans="1:8" s="109" customFormat="1" ht="13.5" customHeight="1">
      <c r="A13" s="122" t="s">
        <v>6</v>
      </c>
      <c r="B13" s="110" t="s">
        <v>1499</v>
      </c>
      <c r="C13" s="106"/>
      <c r="D13" s="113"/>
      <c r="E13" s="113"/>
      <c r="F13" s="113"/>
      <c r="G13" s="114"/>
    </row>
    <row r="14" spans="1:8" s="109" customFormat="1" ht="13.5" customHeight="1">
      <c r="A14" s="122" t="s">
        <v>7</v>
      </c>
      <c r="B14" s="110" t="s">
        <v>1444</v>
      </c>
      <c r="C14" s="106"/>
      <c r="D14" s="113"/>
      <c r="E14" s="113"/>
      <c r="F14" s="113"/>
      <c r="G14" s="114" t="s">
        <v>1500</v>
      </c>
    </row>
    <row r="15" spans="1:8" s="109" customFormat="1" ht="13.5" customHeight="1">
      <c r="A15" s="122" t="s">
        <v>8</v>
      </c>
      <c r="B15" s="110" t="s">
        <v>1501</v>
      </c>
      <c r="C15" s="115"/>
      <c r="D15" s="113"/>
      <c r="E15" s="113"/>
      <c r="F15" s="113"/>
      <c r="G15" s="114" t="s">
        <v>1502</v>
      </c>
    </row>
    <row r="16" spans="1:8" s="109" customFormat="1" ht="13.5" customHeight="1">
      <c r="A16" s="122" t="s">
        <v>9</v>
      </c>
      <c r="B16" s="110" t="s">
        <v>1444</v>
      </c>
      <c r="C16" s="115"/>
      <c r="D16" s="113"/>
      <c r="E16" s="113"/>
      <c r="F16" s="113"/>
      <c r="G16" s="114"/>
    </row>
    <row r="17" spans="1:7" s="109" customFormat="1" ht="13.5" customHeight="1">
      <c r="A17" s="122" t="s">
        <v>10</v>
      </c>
      <c r="B17" s="110" t="s">
        <v>1503</v>
      </c>
      <c r="C17" s="124"/>
      <c r="D17" s="124"/>
      <c r="E17" s="124"/>
      <c r="F17" s="124"/>
      <c r="G17" s="114" t="s">
        <v>1502</v>
      </c>
    </row>
    <row r="18" spans="1:7" s="109" customFormat="1" ht="13.5" customHeight="1">
      <c r="A18" s="122" t="s">
        <v>11</v>
      </c>
      <c r="B18" s="110" t="s">
        <v>1504</v>
      </c>
      <c r="C18" s="115">
        <v>0</v>
      </c>
      <c r="D18" s="113"/>
      <c r="E18" s="113"/>
      <c r="F18" s="116">
        <v>3.0499999999999999E-2</v>
      </c>
      <c r="G18" s="114" t="s">
        <v>1505</v>
      </c>
    </row>
    <row r="19" spans="1:7" s="118" customFormat="1" ht="13.5" customHeight="1">
      <c r="A19" s="150" t="s">
        <v>1506</v>
      </c>
      <c r="B19" s="105" t="s">
        <v>1507</v>
      </c>
      <c r="C19" s="106">
        <f ca="1">IF(G19="已包含在土地取得成本中","0",ROUND(D19*E19,0))</f>
        <v>23074350</v>
      </c>
      <c r="D19" s="107">
        <f ca="1">D9+D10</f>
        <v>153829</v>
      </c>
      <c r="E19" s="106">
        <f>'数据-取费表'!B31</f>
        <v>150</v>
      </c>
      <c r="F19" s="126"/>
      <c r="G19" s="1338"/>
    </row>
    <row r="20" spans="1:7" s="109" customFormat="1" ht="13.5" customHeight="1">
      <c r="A20" s="150" t="s">
        <v>1508</v>
      </c>
      <c r="B20" s="105" t="s">
        <v>1509</v>
      </c>
      <c r="C20" s="127">
        <f ca="1">ROUND((C5+C19)*F20,0)</f>
        <v>535716</v>
      </c>
      <c r="D20" s="127"/>
      <c r="E20" s="127"/>
      <c r="F20" s="128">
        <f>'数据-取费表'!B38</f>
        <v>0.01</v>
      </c>
      <c r="G20" s="129" t="s">
        <v>1510</v>
      </c>
    </row>
    <row r="21" spans="1:7" s="109" customFormat="1" ht="13.5" customHeight="1">
      <c r="A21" s="150" t="s">
        <v>1511</v>
      </c>
      <c r="B21" s="105" t="s">
        <v>1512</v>
      </c>
      <c r="C21" s="130">
        <f>F21</f>
        <v>0.03</v>
      </c>
      <c r="D21" s="131" t="s">
        <v>1513</v>
      </c>
      <c r="E21" s="127"/>
      <c r="F21" s="128">
        <f>'数据-取费表'!B39</f>
        <v>0.03</v>
      </c>
      <c r="G21" s="129" t="s">
        <v>1514</v>
      </c>
    </row>
    <row r="22" spans="1:7" s="109" customFormat="1" ht="13.5" customHeight="1">
      <c r="A22" s="150" t="s">
        <v>1515</v>
      </c>
      <c r="B22" s="105" t="s">
        <v>1516</v>
      </c>
      <c r="C22" s="127">
        <f ca="1">ROUND(SUM(C23:C25),0)</f>
        <v>4396539</v>
      </c>
      <c r="D22" s="130">
        <f ca="1">C26</f>
        <v>1.1999999999999999E-3</v>
      </c>
      <c r="E22" s="131" t="s">
        <v>1513</v>
      </c>
      <c r="F22" s="132">
        <f ca="1">'数据-取费表'!B41</f>
        <v>3.1899999999999998E-2</v>
      </c>
      <c r="G22" s="129" t="str">
        <f>IF('数据-取费表'!B22&lt;=1,"单利计息","复利计息")</f>
        <v>复利计息</v>
      </c>
    </row>
    <row r="23" spans="1:7" s="109" customFormat="1" ht="13.5" customHeight="1">
      <c r="A23" s="513" t="s">
        <v>1439</v>
      </c>
      <c r="B23" s="110" t="s">
        <v>1517</v>
      </c>
      <c r="C23" s="133">
        <f ca="1">ROUND(IF('数据-取费表'!B22&lt;=1,C5*F22*'数据-取费表'!B22,C5*(POWER((1+F22),'数据-取费表'!B22)-1)),0)</f>
        <v>2490654</v>
      </c>
      <c r="D23" s="133"/>
      <c r="E23" s="133"/>
      <c r="F23" s="134"/>
      <c r="G23" s="135" t="s">
        <v>1518</v>
      </c>
    </row>
    <row r="24" spans="1:7" s="109" customFormat="1" ht="13.5" customHeight="1">
      <c r="A24" s="513" t="s">
        <v>1441</v>
      </c>
      <c r="B24" s="110" t="s">
        <v>1519</v>
      </c>
      <c r="C24" s="133">
        <f ca="1">ROUND(IF('数据-取费表'!B22&lt;=1,C19*F22*('数据-取费表'!B19/2+'数据-取费表'!B20),C19*(POWER((1+F22),('数据-取费表'!B19/2+'数据-取费表'!B20))-1)),0)</f>
        <v>1884439</v>
      </c>
      <c r="D24" s="133"/>
      <c r="E24" s="133"/>
      <c r="F24" s="134"/>
      <c r="G24" s="135" t="s">
        <v>1520</v>
      </c>
    </row>
    <row r="25" spans="1:7" s="109" customFormat="1" ht="24">
      <c r="A25" s="513" t="s">
        <v>1443</v>
      </c>
      <c r="B25" s="110" t="s">
        <v>1521</v>
      </c>
      <c r="C25" s="133">
        <f ca="1">ROUND(IF('数据-取费表'!B22&lt;=1,C20*F22*'数据-取费表'!B22/2,C20*(POWER((1+F22),'数据-取费表'!B22/2)-1)),0)</f>
        <v>21446</v>
      </c>
      <c r="D25" s="133"/>
      <c r="E25" s="136"/>
      <c r="F25" s="134"/>
      <c r="G25" s="137" t="s">
        <v>1522</v>
      </c>
    </row>
    <row r="26" spans="1:7" s="109" customFormat="1">
      <c r="A26" s="513" t="s">
        <v>348</v>
      </c>
      <c r="B26" s="110" t="s">
        <v>1452</v>
      </c>
      <c r="C26" s="133">
        <f ca="1">ROUND(IF('数据-取费表'!B22&lt;=1,F21*F22*'数据-取费表'!B22/2,F21*(POWER((1+F22),'数据-取费表'!B22/2)-1)),4)</f>
        <v>1.1999999999999999E-3</v>
      </c>
      <c r="D26" s="133"/>
      <c r="E26" s="136"/>
      <c r="F26" s="134"/>
      <c r="G26" s="138"/>
    </row>
    <row r="27" spans="1:7" s="109" customFormat="1" ht="24.75">
      <c r="A27" s="150" t="s">
        <v>1453</v>
      </c>
      <c r="B27" s="139" t="s">
        <v>1454</v>
      </c>
      <c r="C27" s="140">
        <f ca="1">C28</f>
        <v>4328586</v>
      </c>
      <c r="D27" s="130">
        <f ca="1">C29</f>
        <v>2.3999999999999998E-3</v>
      </c>
      <c r="E27" s="131" t="s">
        <v>1455</v>
      </c>
      <c r="F27" s="141">
        <f ca="1">IF(B1="",'数据-取费表'!Q16,INDIRECT("'数据-取费表'!q"&amp;$G$1))</f>
        <v>0.08</v>
      </c>
      <c r="G27" s="142" t="s">
        <v>1456</v>
      </c>
    </row>
    <row r="28" spans="1:7" s="109" customFormat="1" ht="13.5" customHeight="1">
      <c r="A28" s="513" t="s">
        <v>344</v>
      </c>
      <c r="B28" s="143" t="s">
        <v>1457</v>
      </c>
      <c r="C28" s="144">
        <f ca="1">ROUND((C5+C19+C20)*F27,0)</f>
        <v>4328586</v>
      </c>
      <c r="D28" s="130"/>
      <c r="E28" s="131"/>
      <c r="F28" s="141"/>
      <c r="G28" s="142"/>
    </row>
    <row r="29" spans="1:7" s="109" customFormat="1" ht="13.5" customHeight="1">
      <c r="A29" s="513" t="s">
        <v>345</v>
      </c>
      <c r="B29" s="143" t="s">
        <v>1458</v>
      </c>
      <c r="C29" s="133">
        <f ca="1">ROUND(C21*F27,4)</f>
        <v>2.3999999999999998E-3</v>
      </c>
      <c r="D29" s="130"/>
      <c r="E29" s="131"/>
      <c r="F29" s="141"/>
      <c r="G29" s="142"/>
    </row>
    <row r="30" spans="1:7" s="109" customFormat="1" ht="13.5" customHeight="1">
      <c r="A30" s="150" t="s">
        <v>1459</v>
      </c>
      <c r="B30" s="105" t="s">
        <v>1460</v>
      </c>
      <c r="C30" s="130">
        <f>ROUND(F30/(1+'数据-取费表'!C43),4)</f>
        <v>5.9999999999999995E-4</v>
      </c>
      <c r="D30" s="131" t="s">
        <v>1455</v>
      </c>
      <c r="E30" s="136"/>
      <c r="F30" s="3021">
        <v>5.5999999999999995E-4</v>
      </c>
      <c r="G30" s="129" t="s">
        <v>1461</v>
      </c>
    </row>
    <row r="31" spans="1:7" ht="16.5" customHeight="1">
      <c r="A31" s="104">
        <v>1</v>
      </c>
      <c r="B31" s="105" t="s">
        <v>1462</v>
      </c>
      <c r="C31" s="106">
        <f ca="1">ROUND((C5+C19+C20+C22+C27)/(1-C21-D22-D27-C30),0)</f>
        <v>65057415</v>
      </c>
      <c r="D31" s="125"/>
      <c r="E31" s="106"/>
      <c r="F31" s="145"/>
      <c r="G31" s="129" t="s">
        <v>1463</v>
      </c>
    </row>
    <row r="32" spans="1:7" s="103" customFormat="1" ht="15.75">
      <c r="A32" s="147" t="s">
        <v>1523</v>
      </c>
      <c r="B32" s="148"/>
      <c r="C32" s="148"/>
      <c r="D32" s="148"/>
      <c r="E32" s="148"/>
      <c r="F32" s="148"/>
      <c r="G32" s="149"/>
    </row>
    <row r="33" spans="1:7" s="109" customFormat="1" ht="13.5" customHeight="1">
      <c r="A33" s="150" t="s">
        <v>335</v>
      </c>
      <c r="B33" s="105" t="s">
        <v>1524</v>
      </c>
      <c r="C33" s="151">
        <f ca="1">SUM(C34:C38)</f>
        <v>457457628</v>
      </c>
      <c r="D33" s="127"/>
      <c r="E33" s="107"/>
      <c r="F33" s="136"/>
      <c r="G33" s="129"/>
    </row>
    <row r="34" spans="1:7" s="153" customFormat="1" ht="13.5" customHeight="1">
      <c r="A34" s="513" t="s">
        <v>344</v>
      </c>
      <c r="B34" s="110" t="s">
        <v>1464</v>
      </c>
      <c r="C34" s="115">
        <f ca="1">ROUND(IF(B1="",SUMPRODUCT('数据-取费表'!K6:K14,'数据-取费表'!L6:L14),INDIRECT("'数据-取费表'!l"&amp;$G$1)*INDIRECT("'数据-取费表'!k"&amp;$G$1)+'数据-取费表'!L14*INDIRECT("'数据-取费表'!S"&amp;$G$1)),0)</f>
        <v>343012800</v>
      </c>
      <c r="D34" s="112"/>
      <c r="E34" s="115"/>
      <c r="F34" s="152"/>
      <c r="G34" s="114"/>
    </row>
    <row r="35" spans="1:7" ht="13.5" customHeight="1">
      <c r="A35" s="513" t="s">
        <v>349</v>
      </c>
      <c r="B35" s="110" t="s">
        <v>1466</v>
      </c>
      <c r="C35" s="115">
        <f ca="1">ROUND(C34*F35,0)</f>
        <v>27441024</v>
      </c>
      <c r="D35" s="115"/>
      <c r="E35" s="115"/>
      <c r="F35" s="154">
        <f>'数据-取费表'!B33</f>
        <v>0.08</v>
      </c>
      <c r="G35" s="114" t="s">
        <v>1467</v>
      </c>
    </row>
    <row r="36" spans="1:7" ht="24">
      <c r="A36" s="513" t="s">
        <v>350</v>
      </c>
      <c r="B36" s="110" t="s">
        <v>1468</v>
      </c>
      <c r="C36" s="115">
        <f ca="1">ROUND(IF(B1="",SUM('数据-取费表'!AP6:AP13)*F36,IF(INDIRECT("'数据-取费表'!c"&amp;$G$1)="住宅",INDIRECT("'数据-取费表'!k"&amp;$G$1)*INDIRECT("'数据-取费表'!l"&amp;$G$1)*F36,0)),0)</f>
        <v>22873270</v>
      </c>
      <c r="D36" s="115"/>
      <c r="E36" s="115"/>
      <c r="F36" s="154">
        <f>'数据-取费表'!B34</f>
        <v>0.1</v>
      </c>
      <c r="G36" s="155" t="s">
        <v>1469</v>
      </c>
    </row>
    <row r="37" spans="1:7" s="153" customFormat="1" ht="13.5" customHeight="1">
      <c r="A37" s="513" t="s">
        <v>351</v>
      </c>
      <c r="B37" s="110" t="s">
        <v>1470</v>
      </c>
      <c r="C37" s="144">
        <f ca="1">ROUND(E37*D37,0)</f>
        <v>53840150</v>
      </c>
      <c r="D37" s="112">
        <f ca="1">D19</f>
        <v>153829</v>
      </c>
      <c r="E37" s="144">
        <f>'数据-取费表'!B35</f>
        <v>350</v>
      </c>
      <c r="F37" s="154"/>
      <c r="G37" s="156"/>
    </row>
    <row r="38" spans="1:7" ht="13.5" customHeight="1">
      <c r="A38" s="513" t="s">
        <v>352</v>
      </c>
      <c r="B38" s="110" t="s">
        <v>1471</v>
      </c>
      <c r="C38" s="115">
        <f ca="1">ROUND(C34*F38,0)</f>
        <v>10290384</v>
      </c>
      <c r="D38" s="115"/>
      <c r="E38" s="115"/>
      <c r="F38" s="154">
        <f>'数据-取费表'!B36</f>
        <v>0.03</v>
      </c>
      <c r="G38" s="114" t="s">
        <v>1467</v>
      </c>
    </row>
    <row r="39" spans="1:7" s="109" customFormat="1" ht="13.5" customHeight="1">
      <c r="A39" s="150" t="s">
        <v>1472</v>
      </c>
      <c r="B39" s="105" t="s">
        <v>1473</v>
      </c>
      <c r="C39" s="127">
        <f ca="1">ROUND(C33*F20,0)</f>
        <v>4574576</v>
      </c>
      <c r="D39" s="127"/>
      <c r="E39" s="127"/>
      <c r="F39" s="128">
        <f>F20</f>
        <v>0.01</v>
      </c>
      <c r="G39" s="129" t="s">
        <v>1474</v>
      </c>
    </row>
    <row r="40" spans="1:7" s="109" customFormat="1" ht="13.5" customHeight="1">
      <c r="A40" s="150" t="s">
        <v>1475</v>
      </c>
      <c r="B40" s="105" t="s">
        <v>1476</v>
      </c>
      <c r="C40" s="130">
        <f>F21</f>
        <v>0.03</v>
      </c>
      <c r="D40" s="131" t="s">
        <v>1477</v>
      </c>
      <c r="E40" s="127"/>
      <c r="F40" s="128">
        <f>F21</f>
        <v>0.03</v>
      </c>
      <c r="G40" s="129" t="s">
        <v>1478</v>
      </c>
    </row>
    <row r="41" spans="1:7" s="109" customFormat="1" ht="13.5" customHeight="1">
      <c r="A41" s="150" t="s">
        <v>1479</v>
      </c>
      <c r="B41" s="105" t="s">
        <v>1480</v>
      </c>
      <c r="C41" s="127">
        <f ca="1">ROUND(SUM(C42:C43),0)</f>
        <v>18496420</v>
      </c>
      <c r="D41" s="130">
        <f ca="1">C44</f>
        <v>1.1999999999999999E-3</v>
      </c>
      <c r="E41" s="131" t="s">
        <v>1477</v>
      </c>
      <c r="F41" s="132">
        <f ca="1">F22</f>
        <v>3.1899999999999998E-2</v>
      </c>
      <c r="G41" s="129" t="str">
        <f>IF('数据-取费表'!B22&lt;=1,"单利计息","复利计息")</f>
        <v>复利计息</v>
      </c>
    </row>
    <row r="42" spans="1:7" ht="13.5" customHeight="1">
      <c r="A42" s="513" t="s">
        <v>344</v>
      </c>
      <c r="B42" s="110" t="s">
        <v>1481</v>
      </c>
      <c r="C42" s="133">
        <f ca="1">ROUND(IF('数据-取费表'!B22&lt;=1,C33*F22*'数据-取费表'!B20/2,C33*(POWER((1+F22),'数据-取费表'!B20/2)-1)),0)</f>
        <v>18313287</v>
      </c>
      <c r="D42" s="133"/>
      <c r="E42" s="133"/>
      <c r="F42" s="134"/>
      <c r="G42" s="4490" t="s">
        <v>1525</v>
      </c>
    </row>
    <row r="43" spans="1:7" ht="13.5" customHeight="1">
      <c r="A43" s="513" t="s">
        <v>345</v>
      </c>
      <c r="B43" s="110" t="s">
        <v>1482</v>
      </c>
      <c r="C43" s="133">
        <f ca="1">ROUND(IF('数据-取费表'!B22&lt;=1,C39*F22*'数据-取费表'!B20/2,C39*(POWER((1+F22),'数据-取费表'!B20/2)-1)),0)</f>
        <v>183133</v>
      </c>
      <c r="D43" s="133"/>
      <c r="E43" s="133"/>
      <c r="F43" s="134"/>
      <c r="G43" s="4492"/>
    </row>
    <row r="44" spans="1:7" ht="13.5" customHeight="1">
      <c r="A44" s="513" t="s">
        <v>346</v>
      </c>
      <c r="B44" s="110" t="s">
        <v>1483</v>
      </c>
      <c r="C44" s="133">
        <f ca="1">ROUND(IF('数据-取费表'!B22&lt;=1,C40*F22*'数据-取费表'!B20/2,C40*(POWER((1+F22),'数据-取费表'!B20/2)-1)),4)</f>
        <v>1.1999999999999999E-3</v>
      </c>
      <c r="D44" s="133"/>
      <c r="E44" s="133"/>
      <c r="F44" s="134"/>
      <c r="G44" s="4491"/>
    </row>
    <row r="45" spans="1:7" s="109" customFormat="1" ht="13.5" customHeight="1">
      <c r="A45" s="150" t="s">
        <v>1484</v>
      </c>
      <c r="B45" s="139" t="s">
        <v>1454</v>
      </c>
      <c r="C45" s="140">
        <f ca="1">C46</f>
        <v>36962576</v>
      </c>
      <c r="D45" s="130">
        <f ca="1">C47</f>
        <v>2.3999999999999998E-3</v>
      </c>
      <c r="E45" s="131" t="s">
        <v>1477</v>
      </c>
      <c r="F45" s="141">
        <f ca="1">F27</f>
        <v>0.08</v>
      </c>
      <c r="G45" s="142" t="s">
        <v>1485</v>
      </c>
    </row>
    <row r="46" spans="1:7" s="109" customFormat="1" ht="13.5" customHeight="1">
      <c r="A46" s="513" t="s">
        <v>344</v>
      </c>
      <c r="B46" s="143" t="s">
        <v>1486</v>
      </c>
      <c r="C46" s="144">
        <f ca="1">ROUND((C33+C39)*F27,0)</f>
        <v>36962576</v>
      </c>
      <c r="D46" s="158"/>
      <c r="E46" s="131"/>
      <c r="F46" s="141"/>
      <c r="G46" s="142"/>
    </row>
    <row r="47" spans="1:7" s="109" customFormat="1" ht="13.5" customHeight="1">
      <c r="A47" s="513" t="s">
        <v>345</v>
      </c>
      <c r="B47" s="143" t="s">
        <v>1487</v>
      </c>
      <c r="C47" s="133">
        <f ca="1">ROUND(C40*F27,4)</f>
        <v>2.3999999999999998E-3</v>
      </c>
      <c r="D47" s="158"/>
      <c r="E47" s="131"/>
      <c r="F47" s="141"/>
      <c r="G47" s="142"/>
    </row>
    <row r="48" spans="1:7" s="109" customFormat="1" ht="13.5" customHeight="1">
      <c r="A48" s="150" t="s">
        <v>1453</v>
      </c>
      <c r="B48" s="105" t="s">
        <v>1488</v>
      </c>
      <c r="C48" s="157">
        <f>ROUND(F30/(1+'数据-取费表'!C43),4)</f>
        <v>5.9999999999999995E-4</v>
      </c>
      <c r="D48" s="131" t="s">
        <v>1477</v>
      </c>
      <c r="E48" s="127"/>
      <c r="F48" s="3022">
        <f>F30</f>
        <v>5.5999999999999995E-4</v>
      </c>
      <c r="G48" s="129" t="s">
        <v>1489</v>
      </c>
    </row>
    <row r="49" spans="1:7" ht="16.5" customHeight="1">
      <c r="A49" s="150" t="s">
        <v>1459</v>
      </c>
      <c r="B49" s="105" t="s">
        <v>1526</v>
      </c>
      <c r="C49" s="127">
        <f ca="1">ROUND((C33+C39+C41+C45)/(1-C40-D41-D45-C48),0)</f>
        <v>535816111</v>
      </c>
      <c r="D49" s="127"/>
      <c r="E49" s="127"/>
      <c r="F49" s="159"/>
      <c r="G49" s="129" t="s">
        <v>1490</v>
      </c>
    </row>
    <row r="50" spans="1:7" s="153" customFormat="1">
      <c r="A50" s="150" t="s">
        <v>1491</v>
      </c>
      <c r="B50" s="105" t="s">
        <v>1492</v>
      </c>
      <c r="C50" s="127"/>
      <c r="D50" s="127"/>
      <c r="E50" s="127"/>
      <c r="F50" s="159">
        <f>IF('数据-取费表'!B24=0,'数据-取费表'!N16,1)</f>
        <v>1</v>
      </c>
      <c r="G50" s="142"/>
    </row>
    <row r="51" spans="1:7" ht="16.5" customHeight="1">
      <c r="A51" s="150" t="s">
        <v>1493</v>
      </c>
      <c r="B51" s="105" t="s">
        <v>1527</v>
      </c>
      <c r="C51" s="127">
        <f ca="1">ROUND(C49*F50,0)</f>
        <v>535816111</v>
      </c>
      <c r="D51" s="127"/>
      <c r="E51" s="127"/>
      <c r="F51" s="159"/>
      <c r="G51" s="129" t="s">
        <v>1494</v>
      </c>
    </row>
    <row r="52" spans="1:7" s="103" customFormat="1" ht="16.5" thickBot="1">
      <c r="A52" s="160" t="s">
        <v>1495</v>
      </c>
      <c r="B52" s="161"/>
      <c r="C52" s="162">
        <f ca="1">C31+C51</f>
        <v>600873526</v>
      </c>
      <c r="D52" s="161"/>
      <c r="E52" s="161"/>
      <c r="F52" s="161"/>
      <c r="G52" s="163"/>
    </row>
    <row r="55" spans="1:7" ht="15">
      <c r="B55" s="165" t="s">
        <v>1496</v>
      </c>
      <c r="C55" s="166"/>
    </row>
    <row r="56" spans="1:7">
      <c r="B56" s="168" t="s">
        <v>785</v>
      </c>
      <c r="C56" s="170">
        <f ca="1">1-C57</f>
        <v>0.10799999999999998</v>
      </c>
    </row>
    <row r="57" spans="1:7">
      <c r="B57" s="168" t="s">
        <v>786</v>
      </c>
      <c r="C57" s="169">
        <f ca="1">ROUND(C51/C52,3)</f>
        <v>0.89200000000000002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859</v>
      </c>
      <c r="B1" s="481"/>
      <c r="C1" s="2782"/>
      <c r="D1" s="914"/>
      <c r="E1" s="915" t="s">
        <v>663</v>
      </c>
      <c r="F1" s="704">
        <f ca="1">J62</f>
        <v>-2.5</v>
      </c>
      <c r="G1" s="929">
        <f>MATCH(C1,'数据-取费表'!A6:A16,0)+5</f>
        <v>10</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90" t="e">
        <f ca="1">ROUND(D3/10000,4)</f>
        <v>#DIV/0!</v>
      </c>
      <c r="C2" s="932" t="s">
        <v>788</v>
      </c>
      <c r="D2" s="3323"/>
      <c r="E2" s="937"/>
      <c r="F2" s="938"/>
      <c r="G2" s="1966"/>
      <c r="H2" s="1956"/>
      <c r="I2" s="1956"/>
      <c r="J2" s="1956"/>
      <c r="K2" s="1957"/>
      <c r="L2" s="1956"/>
      <c r="M2" s="1956"/>
    </row>
    <row r="3" spans="1:37" ht="18" customHeight="1" thickBot="1">
      <c r="A3" s="939" t="s">
        <v>789</v>
      </c>
      <c r="B3" s="940">
        <f ca="1">IF(ISERROR(D3/F32),0,ROUND(D3/F32,0))</f>
        <v>0</v>
      </c>
      <c r="C3" s="932" t="s">
        <v>790</v>
      </c>
      <c r="D3" s="932" t="e">
        <f ca="1">IF(D2="含税",ROUND((C28+J31+L55)*(1+F31),0),C28+J31+L55)</f>
        <v>#DIV/0!</v>
      </c>
      <c r="E3" s="937"/>
      <c r="F3" s="938"/>
      <c r="G3" s="1966"/>
      <c r="H3" s="467" t="s">
        <v>858</v>
      </c>
      <c r="I3" s="933"/>
      <c r="J3" s="933"/>
      <c r="K3" s="934"/>
      <c r="L3" s="933"/>
      <c r="M3" s="933"/>
    </row>
    <row r="4" spans="1:37" s="4062" customFormat="1" ht="18" customHeight="1">
      <c r="A4" s="2723" t="s">
        <v>3866</v>
      </c>
      <c r="B4" s="2724" t="s">
        <v>3867</v>
      </c>
      <c r="C4" s="3569" t="s">
        <v>3975</v>
      </c>
      <c r="D4" s="2724" t="s">
        <v>3868</v>
      </c>
      <c r="E4" s="3999" t="s">
        <v>3869</v>
      </c>
      <c r="F4" s="4061"/>
      <c r="G4" s="4050"/>
      <c r="H4" s="2723" t="s">
        <v>3866</v>
      </c>
      <c r="I4" s="2724" t="s">
        <v>3867</v>
      </c>
      <c r="J4" s="3569" t="s">
        <v>3975</v>
      </c>
      <c r="K4" s="2724" t="s">
        <v>3868</v>
      </c>
      <c r="L4" s="4063" t="s">
        <v>3869</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3392</v>
      </c>
      <c r="C5" s="4093">
        <f ca="1">C6+C10+C12</f>
        <v>0</v>
      </c>
      <c r="D5" s="4002" t="s">
        <v>3872</v>
      </c>
      <c r="E5" s="4003"/>
      <c r="F5" s="4004"/>
      <c r="G5" s="4001"/>
      <c r="H5" s="183">
        <v>1</v>
      </c>
      <c r="I5" s="184" t="s">
        <v>3907</v>
      </c>
      <c r="J5" s="4093">
        <f ca="1">J6+J10+J12</f>
        <v>0</v>
      </c>
      <c r="K5" s="4002" t="s">
        <v>3872</v>
      </c>
      <c r="L5" s="4219"/>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3783</v>
      </c>
      <c r="C6" s="4217">
        <f ca="1">C7-C9</f>
        <v>0</v>
      </c>
      <c r="D6" s="2715" t="s">
        <v>3787</v>
      </c>
      <c r="E6" s="2713" t="s">
        <v>3970</v>
      </c>
      <c r="F6" s="3420">
        <f ca="1">INDIRECT("'数据-取费表'!u"&amp;$G$1)</f>
        <v>0</v>
      </c>
      <c r="G6" s="935"/>
      <c r="H6" s="707" t="s">
        <v>392</v>
      </c>
      <c r="I6" s="2714" t="s">
        <v>3783</v>
      </c>
      <c r="J6" s="2702">
        <f ca="1">J7-J9</f>
        <v>0</v>
      </c>
      <c r="K6" s="2715" t="s">
        <v>3787</v>
      </c>
      <c r="L6" s="2713" t="s">
        <v>3970</v>
      </c>
      <c r="M6" s="3438">
        <f ca="1">INDIRECT("'数据-取费表'!z"&amp;$G$1)</f>
        <v>0</v>
      </c>
    </row>
    <row r="7" spans="1:37" ht="18" customHeight="1">
      <c r="A7" s="4496" t="s">
        <v>391</v>
      </c>
      <c r="B7" s="4493" t="s">
        <v>3781</v>
      </c>
      <c r="C7" s="4498">
        <f ca="1">ROUND(F6*F7*F8,0)</f>
        <v>0</v>
      </c>
      <c r="D7" s="4495" t="s">
        <v>3461</v>
      </c>
      <c r="E7" s="714" t="s">
        <v>680</v>
      </c>
      <c r="F7" s="2761">
        <f ca="1">IF(INDIRECT("'数据-取费表'!ah"&amp;$G$1)="",INDIRECT("'数据-取费表'!k"&amp;$G$1),INDIRECT("'数据-取费表'!ah"&amp;$G$1))</f>
        <v>0</v>
      </c>
      <c r="G7" s="935"/>
      <c r="H7" s="4496" t="s">
        <v>391</v>
      </c>
      <c r="I7" s="4493" t="s">
        <v>3781</v>
      </c>
      <c r="J7" s="4501">
        <f ca="1">ROUND(M6*M8*M7,0)</f>
        <v>0</v>
      </c>
      <c r="K7" s="4495" t="s">
        <v>3461</v>
      </c>
      <c r="L7" s="186" t="s">
        <v>680</v>
      </c>
      <c r="M7" s="4216">
        <f ca="1">F7</f>
        <v>0</v>
      </c>
    </row>
    <row r="8" spans="1:37" ht="18" customHeight="1">
      <c r="A8" s="4497"/>
      <c r="B8" s="4494"/>
      <c r="C8" s="4498"/>
      <c r="D8" s="4495"/>
      <c r="E8" s="186" t="str">
        <f ca="1">IF(F8=1,"年",IF(F8=12,"月","天"))</f>
        <v>天</v>
      </c>
      <c r="F8" s="3413">
        <f ca="1">INDIRECT("'数据-取费表'!ai"&amp;$G$1)</f>
        <v>0</v>
      </c>
      <c r="G8" s="935"/>
      <c r="H8" s="4497"/>
      <c r="I8" s="4494"/>
      <c r="J8" s="4501"/>
      <c r="K8" s="4495"/>
      <c r="L8" s="186" t="str">
        <f ca="1">IF(M8=1,"年",IF(M8=12,"月","天"))</f>
        <v>天</v>
      </c>
      <c r="M8" s="3440">
        <f ca="1">INDIRECT("'数据-取费表'!ai"&amp;$G$1)</f>
        <v>0</v>
      </c>
    </row>
    <row r="9" spans="1:37" ht="18" customHeight="1">
      <c r="A9" s="2700" t="s">
        <v>3391</v>
      </c>
      <c r="B9" s="4086" t="s">
        <v>3782</v>
      </c>
      <c r="C9" s="4093">
        <f ca="1">ROUND(C7*F9,0)</f>
        <v>0</v>
      </c>
      <c r="D9" s="2715" t="s">
        <v>3786</v>
      </c>
      <c r="E9" s="186" t="s">
        <v>682</v>
      </c>
      <c r="F9" s="2767">
        <f ca="1">INDIRECT("'数据-取费表'!w"&amp;$G$1)</f>
        <v>0</v>
      </c>
      <c r="G9" s="935"/>
      <c r="H9" s="2700" t="s">
        <v>3391</v>
      </c>
      <c r="I9" s="4086" t="s">
        <v>3782</v>
      </c>
      <c r="J9" s="2743">
        <f ca="1">ROUND(J7*M9,0)</f>
        <v>0</v>
      </c>
      <c r="K9" s="2715" t="s">
        <v>3786</v>
      </c>
      <c r="L9" s="197" t="s">
        <v>682</v>
      </c>
      <c r="M9" s="3434">
        <f ca="1">INDIRECT("'数据-取费表'!ab"&amp;$G$1)</f>
        <v>0</v>
      </c>
    </row>
    <row r="10" spans="1:37" ht="18" customHeight="1">
      <c r="A10" s="707" t="s">
        <v>396</v>
      </c>
      <c r="B10" s="917" t="s">
        <v>683</v>
      </c>
      <c r="C10" s="2743">
        <f ca="1">ROUND(IF(F10="押一",C6/12*F11,IF(F10="押二",C6/12*2*F11,IF(F10="押三",C6/12*3*F11,C11*F11))),0)</f>
        <v>0</v>
      </c>
      <c r="D10" s="59" t="s">
        <v>2018</v>
      </c>
      <c r="E10" s="197" t="s">
        <v>684</v>
      </c>
      <c r="F10" s="749"/>
      <c r="G10" s="935"/>
      <c r="H10" s="707" t="s">
        <v>396</v>
      </c>
      <c r="I10" s="917" t="s">
        <v>683</v>
      </c>
      <c r="J10" s="3912">
        <f ca="1">ROUND(IF(M10="押一",J6/12*M11,IF(M10="押二",J6/12*2*M11,IF(M10="押三",J6/12*3*M11,J11*M11))),0)</f>
        <v>0</v>
      </c>
      <c r="K10" s="59" t="s">
        <v>2018</v>
      </c>
      <c r="L10" s="197" t="s">
        <v>684</v>
      </c>
      <c r="M10" s="3435"/>
    </row>
    <row r="11" spans="1:37" ht="18" customHeight="1">
      <c r="A11" s="192"/>
      <c r="B11" s="918" t="str">
        <f>IF(OR(F10="自定义",F10=" "),"（自定义押金）单位：元","")</f>
        <v/>
      </c>
      <c r="C11" s="3422"/>
      <c r="D11" s="919"/>
      <c r="E11" s="197" t="s">
        <v>685</v>
      </c>
      <c r="F11" s="2829">
        <f ca="1">'数据-取费表'!B40</f>
        <v>1.4999999999999999E-2</v>
      </c>
      <c r="G11" s="935"/>
      <c r="H11" s="715"/>
      <c r="I11" s="3023" t="str">
        <f>IF(OR(M10="自定义",M10=" "),"（自定义押金）单位：元","")</f>
        <v/>
      </c>
      <c r="J11" s="3421"/>
      <c r="K11" s="464"/>
      <c r="L11" s="197" t="s">
        <v>685</v>
      </c>
      <c r="M11" s="3434">
        <f ca="1">'数据-取费表'!B40</f>
        <v>1.4999999999999999E-2</v>
      </c>
    </row>
    <row r="12" spans="1:37" ht="18" customHeight="1" thickBot="1">
      <c r="A12" s="720" t="s">
        <v>431</v>
      </c>
      <c r="B12" s="920" t="s">
        <v>686</v>
      </c>
      <c r="C12" s="2745"/>
      <c r="D12" s="722"/>
      <c r="E12" s="727"/>
      <c r="F12" s="723"/>
      <c r="G12" s="935"/>
      <c r="H12" s="720" t="s">
        <v>431</v>
      </c>
      <c r="I12" s="920" t="s">
        <v>686</v>
      </c>
      <c r="J12" s="2745"/>
      <c r="K12" s="735"/>
      <c r="L12" s="727"/>
      <c r="M12" s="3437"/>
    </row>
    <row r="13" spans="1:37" s="118" customFormat="1" ht="18" customHeight="1" thickTop="1">
      <c r="A13" s="716" t="s">
        <v>3666</v>
      </c>
      <c r="B13" s="717" t="s">
        <v>3908</v>
      </c>
      <c r="C13" s="3853">
        <f ca="1">ROUND(C14+C22+C24+C26,0)</f>
        <v>0</v>
      </c>
      <c r="D13" s="4221" t="s">
        <v>3909</v>
      </c>
      <c r="E13" s="4006"/>
      <c r="F13" s="4004"/>
      <c r="G13" s="4001"/>
      <c r="H13" s="716" t="s">
        <v>3666</v>
      </c>
      <c r="I13" s="717" t="s">
        <v>3908</v>
      </c>
      <c r="J13" s="3853">
        <f ca="1">ROUND(J14+J22+J24+J26,0)</f>
        <v>0</v>
      </c>
      <c r="K13" s="4220" t="s">
        <v>3910</v>
      </c>
      <c r="L13" s="4218"/>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3956</v>
      </c>
      <c r="C14" s="2702">
        <f ca="1">ROUND(IF(AND(项目基本情况!B11="自然人",项目基本情况!B10="北京市",M56="住宅"),C6*F14,C15+C19+C20),2)</f>
        <v>0</v>
      </c>
      <c r="D14" s="900" t="s">
        <v>3435</v>
      </c>
      <c r="E14" s="900" t="str">
        <f>IF(M56="非住宅","","综合税率")</f>
        <v/>
      </c>
      <c r="F14" s="3837" t="str">
        <f>IF(M56="非住宅","",IF(F6*F7*F8/12/(1+'数据-取费表'!F30)&gt;100000,4%,2.5%))</f>
        <v/>
      </c>
      <c r="G14" s="935"/>
      <c r="H14" s="658" t="s">
        <v>392</v>
      </c>
      <c r="I14" s="2713" t="s">
        <v>3961</v>
      </c>
      <c r="J14" s="2702">
        <f ca="1">ROUND(IF(AND(项目基本情况!B11="自然人",项目基本情况!B10="北京市",M56="住宅"),J6*M14/(1+'数据-取费表'!C43),J15+J19+J20),0)</f>
        <v>0</v>
      </c>
      <c r="K14" s="2740" t="s">
        <v>3434</v>
      </c>
      <c r="L14" s="900" t="str">
        <f>E14</f>
        <v/>
      </c>
      <c r="M14" s="3837" t="str">
        <f>IF(M56="非住宅","",IF(M6*M7*M8/12/(1+'数据-取费表'!F30)&gt;100000,4%,2.5%))</f>
        <v/>
      </c>
    </row>
    <row r="15" spans="1:37" s="946" customFormat="1" ht="18" customHeight="1">
      <c r="A15" s="2700" t="s">
        <v>391</v>
      </c>
      <c r="B15" s="2713" t="s">
        <v>3953</v>
      </c>
      <c r="C15" s="2702">
        <f ca="1">C18</f>
        <v>0</v>
      </c>
      <c r="D15" s="2430" t="s">
        <v>3952</v>
      </c>
      <c r="E15" s="4090"/>
      <c r="F15" s="4122"/>
      <c r="G15" s="945"/>
      <c r="H15" s="2700" t="s">
        <v>391</v>
      </c>
      <c r="I15" s="2713" t="s">
        <v>3953</v>
      </c>
      <c r="J15" s="2702">
        <f ca="1">J18</f>
        <v>0</v>
      </c>
      <c r="K15" s="2715" t="s">
        <v>3952</v>
      </c>
      <c r="L15" s="4090"/>
      <c r="M15" s="4122"/>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3278</v>
      </c>
      <c r="B16" s="2717" t="s">
        <v>3394</v>
      </c>
      <c r="C16" s="2650">
        <f ca="1">ROUND(C6*F16,0)</f>
        <v>0</v>
      </c>
      <c r="D16" s="994" t="s">
        <v>3846</v>
      </c>
      <c r="E16" s="2721" t="s">
        <v>3396</v>
      </c>
      <c r="F16" s="2765">
        <v>0.09</v>
      </c>
      <c r="G16" s="935"/>
      <c r="H16" s="2505" t="s">
        <v>3278</v>
      </c>
      <c r="I16" s="2717" t="s">
        <v>3394</v>
      </c>
      <c r="J16" s="2650">
        <f ca="1">ROUND(J6*M16,0)</f>
        <v>0</v>
      </c>
      <c r="K16" s="3978" t="s">
        <v>3847</v>
      </c>
      <c r="L16" s="2721" t="s">
        <v>3396</v>
      </c>
      <c r="M16" s="3436">
        <v>0.09</v>
      </c>
    </row>
    <row r="17" spans="1:37" s="946" customFormat="1" ht="18" customHeight="1">
      <c r="A17" s="2505" t="s">
        <v>3279</v>
      </c>
      <c r="B17" s="2717" t="s">
        <v>3395</v>
      </c>
      <c r="C17" s="3024">
        <f ca="1">ROUND(C22*F16+((C24+C26)*F17),0)</f>
        <v>0</v>
      </c>
      <c r="D17" s="3978" t="s">
        <v>3849</v>
      </c>
      <c r="E17" s="2722"/>
      <c r="F17" s="2765">
        <v>0.06</v>
      </c>
      <c r="G17" s="945"/>
      <c r="H17" s="2505" t="s">
        <v>3279</v>
      </c>
      <c r="I17" s="2717" t="s">
        <v>3395</v>
      </c>
      <c r="J17" s="3024">
        <f ca="1">ROUND(J22*M16+((J24+J26)*M17),0)</f>
        <v>0</v>
      </c>
      <c r="K17" s="3980" t="s">
        <v>3848</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3950</v>
      </c>
      <c r="B18" s="2717" t="s">
        <v>3949</v>
      </c>
      <c r="C18" s="3024">
        <f ca="1">ROUND((C16-C17)*F18,0)</f>
        <v>0</v>
      </c>
      <c r="D18" s="2740" t="s">
        <v>3972</v>
      </c>
      <c r="E18" s="186" t="s">
        <v>3973</v>
      </c>
      <c r="F18" s="2765">
        <f>'数据-取费表'!B44</f>
        <v>0.12000000000000001</v>
      </c>
      <c r="G18" s="945"/>
      <c r="H18" s="2505" t="s">
        <v>3950</v>
      </c>
      <c r="I18" s="2717" t="s">
        <v>3949</v>
      </c>
      <c r="J18" s="3024">
        <f ca="1">ROUND((J16-J17)*M18,0)</f>
        <v>0</v>
      </c>
      <c r="K18" s="2740" t="s">
        <v>3972</v>
      </c>
      <c r="L18" s="186" t="s">
        <v>3973</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3954</v>
      </c>
      <c r="C19" s="2702">
        <f ca="1">IF(AND(项目基本情况!B11="自然人",M56="住宅"),"——",IF(D19="按不含税租金收入（有效毛租金收入）计税",ROUND(C6*F19,0),IF(D19="按房产原值计税",ROUND(C51*F19*0.7,0),INDIRECT("'数据-取费表'!Aj"&amp;$G$1))))</f>
        <v>0</v>
      </c>
      <c r="D19" s="2716"/>
      <c r="E19" s="186" t="s">
        <v>695</v>
      </c>
      <c r="F19" s="2765">
        <f>IF(D19="按票据","——",IF(D19="按不含税租金收入（有效毛租金收入）计税",'数据-取费表'!B52,'数据-取费表'!B51))</f>
        <v>1.2E-2</v>
      </c>
      <c r="G19" s="945"/>
      <c r="H19" s="2700" t="s">
        <v>393</v>
      </c>
      <c r="I19" s="2713" t="s">
        <v>3959</v>
      </c>
      <c r="J19" s="2702">
        <f ca="1">IF(K19="按不含税租金收入（有效毛租金收入）计税",ROUND(J6*M19,0),ROUND(C51*M19*0.7,0))</f>
        <v>0</v>
      </c>
      <c r="K19" s="921"/>
      <c r="L19" s="186" t="s">
        <v>695</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664</v>
      </c>
      <c r="B20" s="3925" t="s">
        <v>3955</v>
      </c>
      <c r="C20" s="3025">
        <f ca="1">IF(AND(项目基本情况!B11="自然人",M56="住宅"),"——",ROUND(F20*F21,0))</f>
        <v>0</v>
      </c>
      <c r="D20" s="207" t="s">
        <v>714</v>
      </c>
      <c r="E20" s="186" t="s">
        <v>715</v>
      </c>
      <c r="F20" s="3420">
        <f>'数据-取费表'!B53</f>
        <v>24</v>
      </c>
      <c r="G20" s="935"/>
      <c r="H20" s="4091" t="s">
        <v>664</v>
      </c>
      <c r="I20" s="3925" t="s">
        <v>3955</v>
      </c>
      <c r="J20" s="3025">
        <f ca="1">ROUND(M20*M21,0)</f>
        <v>0</v>
      </c>
      <c r="K20" s="207" t="s">
        <v>714</v>
      </c>
      <c r="L20" s="186" t="s">
        <v>715</v>
      </c>
      <c r="M20" s="3438">
        <f>'数据-取费表'!B53</f>
        <v>24</v>
      </c>
    </row>
    <row r="21" spans="1:37" s="946" customFormat="1" ht="18" customHeight="1">
      <c r="A21" s="209"/>
      <c r="B21" s="738"/>
      <c r="C21" s="3026"/>
      <c r="D21" s="210"/>
      <c r="E21" s="186" t="s">
        <v>719</v>
      </c>
      <c r="F21" s="3028">
        <f ca="1">INDIRECT("'数据-取费表'!r"&amp;$G$1)</f>
        <v>0</v>
      </c>
      <c r="G21" s="945"/>
      <c r="H21" s="209"/>
      <c r="I21" s="195"/>
      <c r="J21" s="3026"/>
      <c r="K21" s="210"/>
      <c r="L21" s="186" t="s">
        <v>719</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721</v>
      </c>
      <c r="C22" s="3879">
        <f ca="1">ROUND(C51*F22,0)</f>
        <v>0</v>
      </c>
      <c r="D22" s="1776" t="s">
        <v>722</v>
      </c>
      <c r="E22" s="186" t="s">
        <v>695</v>
      </c>
      <c r="F22" s="2767">
        <f ca="1">INDIRECT("'数据-取费表'!Ak"&amp;$G$1)</f>
        <v>0</v>
      </c>
      <c r="G22" s="945"/>
      <c r="H22" s="3859" t="s">
        <v>396</v>
      </c>
      <c r="I22" s="56" t="s">
        <v>721</v>
      </c>
      <c r="J22" s="3879">
        <f ca="1">ROUND(J35*M22,0)</f>
        <v>0</v>
      </c>
      <c r="K22" s="1776" t="s">
        <v>722</v>
      </c>
      <c r="L22" s="186" t="s">
        <v>695</v>
      </c>
      <c r="M22" s="3901">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3807</v>
      </c>
      <c r="F23" s="3413">
        <f ca="1">C51</f>
        <v>0</v>
      </c>
      <c r="G23" s="945"/>
      <c r="H23" s="209"/>
      <c r="I23" s="195"/>
      <c r="J23" s="3880"/>
      <c r="K23" s="3926"/>
      <c r="L23" s="2713" t="s">
        <v>3807</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725</v>
      </c>
      <c r="C24" s="3879">
        <f ca="1">ROUND(C53*F24,0)</f>
        <v>0</v>
      </c>
      <c r="D24" s="1776" t="s">
        <v>3432</v>
      </c>
      <c r="E24" s="186" t="s">
        <v>695</v>
      </c>
      <c r="F24" s="2767">
        <f ca="1">INDIRECT("'数据-取费表'!Al"&amp;$G$1)</f>
        <v>0</v>
      </c>
      <c r="G24" s="935"/>
      <c r="H24" s="3859" t="s">
        <v>431</v>
      </c>
      <c r="I24" s="56" t="s">
        <v>725</v>
      </c>
      <c r="J24" s="3879">
        <f ca="1">ROUND(J37*M24,0)</f>
        <v>0</v>
      </c>
      <c r="K24" s="1776" t="s">
        <v>726</v>
      </c>
      <c r="L24" s="186" t="s">
        <v>695</v>
      </c>
      <c r="M24" s="3901">
        <f ca="1">INDIRECT("'数据-取费表'!Al"&amp;$G$1)</f>
        <v>0</v>
      </c>
    </row>
    <row r="25" spans="1:37" ht="18" customHeight="1">
      <c r="A25" s="209"/>
      <c r="B25" s="195"/>
      <c r="C25" s="3880"/>
      <c r="D25" s="3926"/>
      <c r="E25" s="3925" t="s">
        <v>3808</v>
      </c>
      <c r="F25" s="3413">
        <f ca="1">C53</f>
        <v>0</v>
      </c>
      <c r="G25" s="935"/>
      <c r="H25" s="209"/>
      <c r="I25" s="195"/>
      <c r="J25" s="3880"/>
      <c r="K25" s="3926"/>
      <c r="L25" s="3925" t="s">
        <v>3808</v>
      </c>
      <c r="M25" s="3440">
        <f ca="1">J37</f>
        <v>0</v>
      </c>
    </row>
    <row r="26" spans="1:37" s="946" customFormat="1" ht="18" customHeight="1" thickBot="1">
      <c r="A26" s="726" t="s">
        <v>667</v>
      </c>
      <c r="B26" s="727" t="s">
        <v>711</v>
      </c>
      <c r="C26" s="3027">
        <f ca="1">ROUND(C5*F26,0)</f>
        <v>0</v>
      </c>
      <c r="D26" s="729" t="s">
        <v>3853</v>
      </c>
      <c r="E26" s="727" t="s">
        <v>695</v>
      </c>
      <c r="F26" s="2830">
        <f ca="1">INDIRECT("'数据-取费表'!Am"&amp;$G$1)</f>
        <v>0</v>
      </c>
      <c r="G26" s="945"/>
      <c r="H26" s="726" t="s">
        <v>667</v>
      </c>
      <c r="I26" s="727" t="s">
        <v>711</v>
      </c>
      <c r="J26" s="3027">
        <f ca="1">ROUND(J5*M26,0)</f>
        <v>0</v>
      </c>
      <c r="K26" s="729" t="s">
        <v>3853</v>
      </c>
      <c r="L26" s="727" t="s">
        <v>695</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3290</v>
      </c>
      <c r="B27" s="731" t="s">
        <v>3911</v>
      </c>
      <c r="C27" s="3853">
        <f ca="1">C5-C13</f>
        <v>0</v>
      </c>
      <c r="D27" s="4220" t="s">
        <v>3894</v>
      </c>
      <c r="E27" s="4010"/>
      <c r="F27" s="4011"/>
      <c r="G27" s="498"/>
      <c r="H27" s="716" t="s">
        <v>3290</v>
      </c>
      <c r="I27" s="731" t="s">
        <v>3911</v>
      </c>
      <c r="J27" s="3853">
        <f ca="1">J5-J13</f>
        <v>0</v>
      </c>
      <c r="K27" s="4220" t="s">
        <v>3894</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12" t="e">
        <f ca="1">ROUND(C27*(1-((1+F30)/(1+F28))^F29)/(F28-F30),0)</f>
        <v>#DIV/0!</v>
      </c>
      <c r="D28" s="4013" t="s">
        <v>3912</v>
      </c>
      <c r="E28" s="2725" t="s">
        <v>3880</v>
      </c>
      <c r="F28" s="2767">
        <f ca="1">INDIRECT("'数据-取费表'!I"&amp;$G$1)</f>
        <v>0</v>
      </c>
      <c r="G28" s="4001"/>
      <c r="H28" s="183" t="s">
        <v>3668</v>
      </c>
      <c r="I28" s="3913" t="s">
        <v>3799</v>
      </c>
      <c r="J28" s="3928">
        <f ca="1">IF(J5&lt;&gt;0,ROUND(J27*(1-((1+M30)/(1+M28))^M29)/(M28-M30),0),0)</f>
        <v>0</v>
      </c>
      <c r="K28" s="4013" t="s">
        <v>3912</v>
      </c>
      <c r="L28" s="4014" t="s">
        <v>3880</v>
      </c>
      <c r="M28" s="3434">
        <f ca="1">INDIRECT("'数据-取费表'!I"&amp;$G$1)</f>
        <v>0</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3883</v>
      </c>
      <c r="F29" s="2768">
        <f ca="1">IF(INDIRECT("'数据-取费表'!af"&amp;$G$1)=0,INDIRECT("'数据-取费表'!ae"&amp;$G$1),INDIRECT("'数据-取费表'!af"&amp;$G$1))</f>
        <v>0</v>
      </c>
      <c r="G29" s="4001"/>
      <c r="H29" s="188"/>
      <c r="I29" s="189"/>
      <c r="J29" s="3929"/>
      <c r="K29" s="4015"/>
      <c r="L29" s="2725" t="s">
        <v>3883</v>
      </c>
      <c r="M29" s="4124">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3885</v>
      </c>
      <c r="F30" s="2767">
        <f ca="1">INDIRECT("'数据-取费表'!v"&amp;$G$1)</f>
        <v>0</v>
      </c>
      <c r="G30" s="4001"/>
      <c r="H30" s="192"/>
      <c r="I30" s="193"/>
      <c r="J30" s="3930"/>
      <c r="K30" s="731"/>
      <c r="L30" s="2725" t="s">
        <v>3885</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3669</v>
      </c>
      <c r="B31" s="3835" t="s">
        <v>3886</v>
      </c>
      <c r="C31" s="3838" t="e">
        <f ca="1">ROUND(C28*(1+F31),0)</f>
        <v>#DIV/0!</v>
      </c>
      <c r="D31" s="4016" t="s">
        <v>3672</v>
      </c>
      <c r="E31" s="4017" t="str">
        <f>IF(D31="其他类型公式—收益价值×（1+9%）","销项税率","征收率")</f>
        <v>销项税率</v>
      </c>
      <c r="F31" s="4047">
        <f>IF(D31="其他类型公式—收益价值×（1+9%）",9%,3%)</f>
        <v>0.09</v>
      </c>
      <c r="G31" s="498"/>
      <c r="H31" s="199" t="s">
        <v>3669</v>
      </c>
      <c r="I31" s="2725" t="s">
        <v>3887</v>
      </c>
      <c r="J31" s="2743">
        <f ca="1">ROUND(J28/(1+F28)^F29,0)</f>
        <v>0</v>
      </c>
      <c r="K31" s="2684" t="s">
        <v>3913</v>
      </c>
      <c r="L31" s="2725"/>
      <c r="M31" s="4124">
        <f ca="1">INDIRECT("'数据-取费表'!k"&amp;$G$1)</f>
        <v>0</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759</v>
      </c>
      <c r="C32" s="3839" t="e">
        <f ca="1">ROUND(C31/F32,0)</f>
        <v>#DIV/0!</v>
      </c>
      <c r="D32" s="4018" t="s">
        <v>3888</v>
      </c>
      <c r="E32" s="217" t="s">
        <v>3889</v>
      </c>
      <c r="F32" s="2769">
        <f ca="1">INDIRECT("'数据-取费表'!k"&amp;$G$1)</f>
        <v>0</v>
      </c>
      <c r="G32" s="498"/>
      <c r="H32" s="3831" t="s">
        <v>3671</v>
      </c>
      <c r="I32" s="3832" t="s">
        <v>3890</v>
      </c>
      <c r="J32" s="3840">
        <f ca="1">ROUND(J31*(1+F31),0)</f>
        <v>0</v>
      </c>
      <c r="K32" s="4019" t="str">
        <f>D31</f>
        <v>其他类型公式—收益价值×（1+9%）</v>
      </c>
      <c r="L32" s="4020"/>
      <c r="M32" s="4125"/>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thickBot="1">
      <c r="A34" s="3994" t="s">
        <v>3914</v>
      </c>
      <c r="B34" s="3995" t="s">
        <v>3915</v>
      </c>
      <c r="C34" s="3996" t="s">
        <v>3975</v>
      </c>
      <c r="D34" s="3995" t="s">
        <v>3916</v>
      </c>
      <c r="E34" s="3997" t="s">
        <v>3917</v>
      </c>
      <c r="F34" s="3998"/>
      <c r="G34" s="4001"/>
      <c r="H34" s="3994" t="s">
        <v>3914</v>
      </c>
      <c r="I34" s="3995" t="s">
        <v>3915</v>
      </c>
      <c r="J34" s="3996" t="s">
        <v>3975</v>
      </c>
      <c r="K34" s="3995" t="s">
        <v>3916</v>
      </c>
      <c r="L34" s="3997" t="s">
        <v>3917</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3397</v>
      </c>
      <c r="B35" s="2724" t="s">
        <v>3398</v>
      </c>
      <c r="C35" s="3415">
        <f ca="1">SUM(C36:C41)</f>
        <v>0</v>
      </c>
      <c r="D35" s="2736" t="s">
        <v>3405</v>
      </c>
      <c r="E35" s="2732"/>
      <c r="F35" s="2733"/>
      <c r="G35" s="935"/>
      <c r="H35" s="2746" t="s">
        <v>3397</v>
      </c>
      <c r="I35" s="2749" t="s">
        <v>3437</v>
      </c>
      <c r="J35" s="2750">
        <f ca="1">C51</f>
        <v>0</v>
      </c>
      <c r="K35" s="3200" t="s">
        <v>3433</v>
      </c>
      <c r="L35" s="2751"/>
      <c r="M35" s="3034"/>
    </row>
    <row r="36" spans="1:37" ht="18" customHeight="1">
      <c r="A36" s="2700" t="s">
        <v>391</v>
      </c>
      <c r="B36" s="2665" t="s">
        <v>690</v>
      </c>
      <c r="C36" s="2610">
        <f ca="1">ROUND(INDIRECT("'数据-取费表'!l"&amp;$G$1)*F32+'数据-取费表'!L14*INDIRECT("'数据-取费表'!S"&amp;$G$1),0)</f>
        <v>0</v>
      </c>
      <c r="D36" s="899" t="s">
        <v>691</v>
      </c>
      <c r="E36" s="899"/>
      <c r="F36" s="215"/>
      <c r="G36" s="935"/>
      <c r="H36" s="2747" t="s">
        <v>396</v>
      </c>
      <c r="I36" s="2752" t="s">
        <v>3425</v>
      </c>
      <c r="J36" s="2650">
        <f ca="1">ROUND(J35*(1-M36),0)</f>
        <v>0</v>
      </c>
      <c r="K36" s="186" t="s">
        <v>3428</v>
      </c>
      <c r="L36" s="2715" t="s">
        <v>3440</v>
      </c>
      <c r="M36" s="2767">
        <f ca="1">INDIRECT("'数据-取费表'!ad"&amp;$G$1)</f>
        <v>0</v>
      </c>
    </row>
    <row r="37" spans="1:37" ht="18" customHeight="1" thickBot="1">
      <c r="A37" s="2700" t="s">
        <v>3391</v>
      </c>
      <c r="B37" s="2665" t="s">
        <v>693</v>
      </c>
      <c r="C37" s="2702">
        <f ca="1">ROUND(C36*F37,0)</f>
        <v>0</v>
      </c>
      <c r="D37" s="186" t="s">
        <v>694</v>
      </c>
      <c r="E37" s="186" t="s">
        <v>695</v>
      </c>
      <c r="F37" s="2765">
        <f>'数据-取费表'!B33</f>
        <v>0.08</v>
      </c>
      <c r="G37" s="935"/>
      <c r="H37" s="2748" t="s">
        <v>3416</v>
      </c>
      <c r="I37" s="2753" t="s">
        <v>3427</v>
      </c>
      <c r="J37" s="2754">
        <f ca="1">J35-J36</f>
        <v>0</v>
      </c>
      <c r="K37" s="2734" t="s">
        <v>3462</v>
      </c>
      <c r="L37" s="219"/>
      <c r="M37" s="2755"/>
    </row>
    <row r="38" spans="1:37" ht="18" customHeight="1">
      <c r="A38" s="2700" t="s">
        <v>664</v>
      </c>
      <c r="B38" s="2665" t="s">
        <v>696</v>
      </c>
      <c r="C38" s="2702">
        <f ca="1">ROUND(INDIRECT("'数据-取费表'!m"&amp;$G$1)*F38,0)</f>
        <v>0</v>
      </c>
      <c r="D38" s="186" t="s">
        <v>694</v>
      </c>
      <c r="E38" s="186" t="s">
        <v>695</v>
      </c>
      <c r="F38" s="2765">
        <f ca="1">IF(INDIRECT("'数据-取费表'!c"&amp;$G$1)="住宅",'数据-取费表'!B34,0)</f>
        <v>0</v>
      </c>
      <c r="G38" s="935"/>
    </row>
    <row r="39" spans="1:37" ht="18" customHeight="1">
      <c r="A39" s="2700" t="s">
        <v>3401</v>
      </c>
      <c r="B39" s="2665" t="s">
        <v>699</v>
      </c>
      <c r="C39" s="2702">
        <f ca="1">ROUND(F39*(F32+INDIRECT("'数据-取费表'!S"&amp;$G$1)),0)</f>
        <v>0</v>
      </c>
      <c r="D39" s="186" t="s">
        <v>700</v>
      </c>
      <c r="E39" s="186" t="s">
        <v>3860</v>
      </c>
      <c r="F39" s="3423">
        <f>'数据-取费表'!B35</f>
        <v>350</v>
      </c>
      <c r="G39" s="935"/>
    </row>
    <row r="40" spans="1:37" ht="18" customHeight="1">
      <c r="A40" s="2700" t="s">
        <v>666</v>
      </c>
      <c r="B40" s="2717" t="s">
        <v>3282</v>
      </c>
      <c r="C40" s="2702">
        <f ca="1">ROUND(C36*F40,0)</f>
        <v>0</v>
      </c>
      <c r="D40" s="186" t="s">
        <v>694</v>
      </c>
      <c r="E40" s="186" t="s">
        <v>695</v>
      </c>
      <c r="F40" s="2765">
        <f>'数据-取费表'!B36</f>
        <v>0.03</v>
      </c>
      <c r="G40" s="935"/>
      <c r="H40" s="47"/>
      <c r="I40" s="47"/>
      <c r="J40" s="47"/>
      <c r="K40" s="1861"/>
      <c r="L40" s="47"/>
      <c r="M40" s="47"/>
    </row>
    <row r="41" spans="1:37" ht="18" customHeight="1">
      <c r="A41" s="2700" t="s">
        <v>666</v>
      </c>
      <c r="B41" s="2717" t="s">
        <v>3283</v>
      </c>
      <c r="C41" s="2702">
        <f ca="1">ROUND(C36*F41,0)</f>
        <v>0</v>
      </c>
      <c r="D41" s="186" t="s">
        <v>694</v>
      </c>
      <c r="E41" s="186" t="s">
        <v>695</v>
      </c>
      <c r="F41" s="2765">
        <f>'数据-取费表'!B37</f>
        <v>0.03</v>
      </c>
      <c r="G41" s="935"/>
      <c r="H41" s="47"/>
      <c r="I41" s="47"/>
      <c r="J41" s="47"/>
      <c r="K41" s="1861"/>
      <c r="L41" s="47"/>
      <c r="M41" s="47"/>
    </row>
    <row r="42" spans="1:37" ht="18" customHeight="1">
      <c r="A42" s="199" t="s">
        <v>3412</v>
      </c>
      <c r="B42" s="2725" t="s">
        <v>3413</v>
      </c>
      <c r="C42" s="2743">
        <f ca="1">ROUND(C35*F42,0)</f>
        <v>0</v>
      </c>
      <c r="D42" s="2726" t="s">
        <v>3414</v>
      </c>
      <c r="E42" s="2725" t="s">
        <v>3415</v>
      </c>
      <c r="F42" s="2767">
        <f>'数据-取费表'!B38</f>
        <v>0.01</v>
      </c>
      <c r="G42" s="935"/>
      <c r="H42" s="47"/>
      <c r="I42" s="47"/>
      <c r="J42" s="47"/>
      <c r="K42" s="1861"/>
      <c r="L42" s="47"/>
      <c r="M42" s="47"/>
    </row>
    <row r="43" spans="1:37" ht="18" customHeight="1">
      <c r="A43" s="199" t="s">
        <v>3416</v>
      </c>
      <c r="B43" s="2725" t="s">
        <v>3417</v>
      </c>
      <c r="C43" s="2790" t="str">
        <f>F43&amp;"V建"</f>
        <v>0.03V建</v>
      </c>
      <c r="D43" s="2726" t="s">
        <v>3418</v>
      </c>
      <c r="E43" s="2725" t="s">
        <v>3419</v>
      </c>
      <c r="F43" s="2767">
        <f>'数据-取费表'!B39</f>
        <v>0.03</v>
      </c>
      <c r="G43" s="935"/>
      <c r="H43" s="47"/>
      <c r="I43" s="47"/>
      <c r="J43" s="47"/>
      <c r="K43" s="1861"/>
      <c r="L43" s="47"/>
      <c r="M43" s="47"/>
    </row>
    <row r="44" spans="1:37" ht="18" customHeight="1">
      <c r="A44" s="199" t="s">
        <v>3420</v>
      </c>
      <c r="B44" s="2728" t="s">
        <v>3357</v>
      </c>
      <c r="C44" s="3416" t="str">
        <f ca="1">C45&amp;"+"&amp;C46&amp;"V建"</f>
        <v>0+0.0012V建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723</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724</v>
      </c>
      <c r="F45" s="3420">
        <f>'数据-取费表'!B20</f>
        <v>2.5</v>
      </c>
      <c r="G45" s="935"/>
      <c r="H45" s="47"/>
      <c r="I45" s="47"/>
      <c r="J45" s="47"/>
      <c r="K45" s="1861"/>
      <c r="L45" s="47"/>
      <c r="M45" s="47"/>
    </row>
    <row r="46" spans="1:37" ht="18" customHeight="1">
      <c r="A46" s="2700" t="s">
        <v>728</v>
      </c>
      <c r="B46" s="186" t="s">
        <v>729</v>
      </c>
      <c r="C46" s="3414">
        <f ca="1">ROUND(IF('数据-取费表'!B22&lt;=1,F43*F46*F45/2,F43*(POWER((1+F46),F45/2)-1)),4)</f>
        <v>1.1999999999999999E-3</v>
      </c>
      <c r="D46" s="55" t="str">
        <f>IF(F45&lt;=1,"销售费用×利率×(建设周期÷2)","销售费用×((1+利率)^(建设周期÷2)-1)")</f>
        <v>销售费用×((1+利率)^(建设周期÷2)-1)</v>
      </c>
      <c r="E46" s="186" t="s">
        <v>730</v>
      </c>
      <c r="F46" s="2764">
        <f ca="1">'数据-取费表'!B41</f>
        <v>3.1899999999999998E-2</v>
      </c>
      <c r="G46" s="935"/>
      <c r="H46" s="47"/>
      <c r="I46" s="47"/>
      <c r="J46" s="47"/>
      <c r="K46" s="1861"/>
      <c r="L46" s="47"/>
      <c r="M46" s="47"/>
    </row>
    <row r="47" spans="1:37" ht="18" customHeight="1">
      <c r="A47" s="199" t="s">
        <v>3421</v>
      </c>
      <c r="B47" s="2728" t="s">
        <v>3301</v>
      </c>
      <c r="C47" s="3416" t="str">
        <f ca="1">C48&amp;"+"&amp;C49&amp;"V建"</f>
        <v>0+0V建</v>
      </c>
      <c r="D47" s="2684" t="s">
        <v>3422</v>
      </c>
      <c r="E47" s="200"/>
      <c r="F47" s="2766"/>
      <c r="G47" s="935"/>
      <c r="H47" s="47"/>
      <c r="I47" s="47"/>
      <c r="J47" s="47"/>
      <c r="K47" s="1861"/>
      <c r="L47" s="47"/>
      <c r="M47" s="47"/>
    </row>
    <row r="48" spans="1:37" ht="18" customHeight="1">
      <c r="A48" s="2700" t="s">
        <v>391</v>
      </c>
      <c r="B48" s="186" t="s">
        <v>737</v>
      </c>
      <c r="C48" s="2702">
        <f ca="1">ROUND((C35+C42)*F48,0)</f>
        <v>0</v>
      </c>
      <c r="D48" s="206" t="s">
        <v>738</v>
      </c>
      <c r="E48" s="186" t="s">
        <v>739</v>
      </c>
      <c r="F48" s="2767">
        <f ca="1">INDIRECT("'数据-取费表'!q"&amp;$G$1)</f>
        <v>0</v>
      </c>
      <c r="G48" s="935"/>
      <c r="H48" s="47"/>
      <c r="I48" s="47"/>
      <c r="J48" s="47"/>
      <c r="K48" s="1861"/>
      <c r="L48" s="47"/>
      <c r="M48" s="47"/>
    </row>
    <row r="49" spans="1:37" ht="18" customHeight="1">
      <c r="A49" s="2700" t="s">
        <v>393</v>
      </c>
      <c r="B49" s="186" t="s">
        <v>743</v>
      </c>
      <c r="C49" s="3414">
        <f ca="1">ROUND(F43*F48,4)</f>
        <v>0</v>
      </c>
      <c r="D49" s="206" t="s">
        <v>744</v>
      </c>
      <c r="E49" s="186"/>
      <c r="F49" s="2765"/>
      <c r="G49" s="935"/>
      <c r="H49" s="47"/>
      <c r="I49" s="47"/>
      <c r="J49" s="47"/>
      <c r="K49" s="1861"/>
      <c r="L49" s="47"/>
      <c r="M49" s="47"/>
    </row>
    <row r="50" spans="1:37" s="118" customFormat="1" ht="18" customHeight="1">
      <c r="A50" s="199" t="s">
        <v>3919</v>
      </c>
      <c r="B50" s="2725" t="s">
        <v>3409</v>
      </c>
      <c r="C50" s="2743">
        <f>ROUND(F50/(1+'数据-取费表'!C43),4)</f>
        <v>0</v>
      </c>
      <c r="D50" s="3981" t="s">
        <v>3859</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3920</v>
      </c>
      <c r="B51" s="2725" t="s">
        <v>3921</v>
      </c>
      <c r="C51" s="2743">
        <f ca="1">ROUND((C35+C42+C45+C48)/(1-F43-C46-C49-C50),0)</f>
        <v>0</v>
      </c>
      <c r="D51" s="2739" t="s">
        <v>3433</v>
      </c>
      <c r="E51" s="2725"/>
      <c r="F51" s="2767"/>
      <c r="K51" s="4050"/>
      <c r="Q51" s="4045"/>
    </row>
    <row r="52" spans="1:37" s="4001" customFormat="1" ht="18" customHeight="1">
      <c r="A52" s="2729" t="s">
        <v>3423</v>
      </c>
      <c r="B52" s="2728" t="s">
        <v>3425</v>
      </c>
      <c r="C52" s="2743">
        <f ca="1">ROUND(C51*(1-F52),0)</f>
        <v>0</v>
      </c>
      <c r="D52" s="2725" t="s">
        <v>3922</v>
      </c>
      <c r="E52" s="2725" t="s">
        <v>3923</v>
      </c>
      <c r="F52" s="2767">
        <f ca="1">INDIRECT("'数据-取费表'!y"&amp;$G$1)</f>
        <v>0</v>
      </c>
      <c r="K52" s="4050"/>
      <c r="Q52" s="4045"/>
    </row>
    <row r="53" spans="1:37" s="4001" customFormat="1" ht="18" customHeight="1" thickBot="1">
      <c r="A53" s="2730" t="s">
        <v>3918</v>
      </c>
      <c r="B53" s="2738" t="s">
        <v>3431</v>
      </c>
      <c r="C53" s="2754">
        <f ca="1">C51-C52</f>
        <v>0</v>
      </c>
      <c r="D53" s="2734" t="s">
        <v>3924</v>
      </c>
      <c r="E53" s="217"/>
      <c r="F53" s="2735"/>
      <c r="K53" s="4050"/>
      <c r="Q53" s="4045"/>
    </row>
    <row r="54" spans="1:37" s="935" customFormat="1" ht="18" customHeight="1" thickBot="1">
      <c r="A54" s="949"/>
      <c r="B54" s="949"/>
      <c r="C54" s="950"/>
      <c r="D54" s="949"/>
      <c r="E54" s="949"/>
      <c r="F54" s="949"/>
      <c r="I54" s="2756" t="s">
        <v>3441</v>
      </c>
      <c r="J54" s="494"/>
      <c r="O54" s="1965" t="s">
        <v>791</v>
      </c>
      <c r="P54" s="1008"/>
      <c r="Q54" s="3428"/>
      <c r="R54" s="1008"/>
    </row>
    <row r="55" spans="1:37" s="935" customFormat="1" ht="13.5" thickBot="1">
      <c r="A55" s="2473" t="s">
        <v>3951</v>
      </c>
      <c r="C55" s="4223" t="e">
        <f ca="1">ROUND(IF(D2="含税",C83-C31,C80-C28)/10000,4)</f>
        <v>#DIV/0!</v>
      </c>
      <c r="D55" s="955" t="str">
        <f>C2</f>
        <v>万元</v>
      </c>
      <c r="E55" s="949"/>
      <c r="F55" s="949"/>
      <c r="I55" s="956" t="s">
        <v>793</v>
      </c>
      <c r="J55" s="957"/>
      <c r="K55" s="958"/>
      <c r="L55" s="3897" t="e">
        <f ca="1">IF(M56="住宅",0,IF(L57&gt;J60,L69,J69))</f>
        <v>#DIV/0!</v>
      </c>
      <c r="O55" s="4035" t="s">
        <v>1323</v>
      </c>
      <c r="P55" s="4036" t="s">
        <v>3895</v>
      </c>
      <c r="Q55" s="4056" t="s">
        <v>3896</v>
      </c>
      <c r="R55" s="4037" t="s">
        <v>3897</v>
      </c>
    </row>
    <row r="56" spans="1:37" s="935" customFormat="1" ht="13.5" thickBot="1">
      <c r="A56" s="4022" t="s">
        <v>3866</v>
      </c>
      <c r="B56" s="4023" t="s">
        <v>3867</v>
      </c>
      <c r="C56" s="3996" t="s">
        <v>3975</v>
      </c>
      <c r="D56" s="4023" t="s">
        <v>3868</v>
      </c>
      <c r="E56" s="4024" t="s">
        <v>3869</v>
      </c>
      <c r="F56" s="4051"/>
      <c r="G56" s="490"/>
      <c r="I56" s="963" t="s">
        <v>798</v>
      </c>
      <c r="J56" s="964"/>
      <c r="K56" s="965" t="s">
        <v>799</v>
      </c>
      <c r="L56" s="3898">
        <f ca="1">INDIRECT("'数据-取费表'!d"&amp;$G$1)</f>
        <v>0</v>
      </c>
      <c r="M56" s="931" t="str">
        <f>IF(ISNUMBER(FIND("住宅",C1)),"住宅","非住宅")</f>
        <v>非住宅</v>
      </c>
      <c r="O56" s="4038" t="s">
        <v>397</v>
      </c>
      <c r="P56" s="4042" t="s">
        <v>3935</v>
      </c>
      <c r="Q56" s="4043" t="e">
        <f ca="1">C28+J31</f>
        <v>#DIV/0!</v>
      </c>
      <c r="R56" s="4040" t="s">
        <v>3899</v>
      </c>
    </row>
    <row r="57" spans="1:37" s="935" customFormat="1" ht="42.75" thickBot="1">
      <c r="A57" s="652" t="s">
        <v>432</v>
      </c>
      <c r="B57" s="184" t="s">
        <v>3891</v>
      </c>
      <c r="C57" s="4025">
        <f ca="1">C58+C62+C64</f>
        <v>0</v>
      </c>
      <c r="D57" s="4002" t="s">
        <v>3925</v>
      </c>
      <c r="E57" s="4026"/>
      <c r="F57" s="4052"/>
      <c r="G57" s="490"/>
      <c r="H57" s="491"/>
      <c r="I57" s="970" t="s">
        <v>802</v>
      </c>
      <c r="J57" s="971"/>
      <c r="K57" s="972" t="s">
        <v>803</v>
      </c>
      <c r="L57" s="3887">
        <f ca="1">INDIRECT("'数据-取费表'!f"&amp;$G$1)</f>
        <v>0</v>
      </c>
      <c r="O57" s="4038" t="s">
        <v>398</v>
      </c>
      <c r="P57" s="4039" t="s">
        <v>3900</v>
      </c>
      <c r="Q57" s="4043" t="e">
        <f ca="1">J69</f>
        <v>#DIV/0!</v>
      </c>
      <c r="R57" s="4040" t="s">
        <v>3901</v>
      </c>
    </row>
    <row r="58" spans="1:37" s="935" customFormat="1" ht="15" customHeight="1" thickBot="1">
      <c r="A58" s="3864" t="s">
        <v>3796</v>
      </c>
      <c r="B58" s="2714" t="s">
        <v>3783</v>
      </c>
      <c r="C58" s="2757">
        <f ca="1">C59-C61</f>
        <v>0</v>
      </c>
      <c r="D58" s="2715" t="s">
        <v>3787</v>
      </c>
      <c r="E58" s="2737" t="s">
        <v>3430</v>
      </c>
      <c r="F58" s="2759"/>
      <c r="H58" s="491"/>
      <c r="I58" s="970" t="s">
        <v>806</v>
      </c>
      <c r="J58" s="3885"/>
      <c r="K58" s="972" t="s">
        <v>807</v>
      </c>
      <c r="L58" s="3899"/>
      <c r="O58" s="976" t="s">
        <v>399</v>
      </c>
      <c r="P58" s="4058" t="s">
        <v>3936</v>
      </c>
      <c r="Q58" s="3429">
        <f ca="1">C51</f>
        <v>0</v>
      </c>
      <c r="R58" s="969" t="s">
        <v>801</v>
      </c>
    </row>
    <row r="59" spans="1:37" s="935" customFormat="1" ht="15" customHeight="1" thickBot="1">
      <c r="A59" s="3871" t="s">
        <v>3784</v>
      </c>
      <c r="B59" s="4493" t="s">
        <v>3781</v>
      </c>
      <c r="C59" s="3912">
        <f ca="1">ROUND(F58*F60*F59,0)</f>
        <v>0</v>
      </c>
      <c r="D59" s="4495" t="s">
        <v>3461</v>
      </c>
      <c r="E59" s="698" t="s">
        <v>680</v>
      </c>
      <c r="F59" s="2760">
        <f ca="1">F7</f>
        <v>0</v>
      </c>
      <c r="H59" s="491"/>
      <c r="I59" s="970" t="s">
        <v>809</v>
      </c>
      <c r="J59" s="3903">
        <f>SUMPRODUCT((I72:I74=J56)*(J71:L71=J57)*(J72:L74))</f>
        <v>0</v>
      </c>
      <c r="K59" s="972" t="s">
        <v>810</v>
      </c>
      <c r="L59" s="3899"/>
      <c r="M59" s="978"/>
      <c r="O59" s="976" t="s">
        <v>400</v>
      </c>
      <c r="P59" s="968" t="s">
        <v>811</v>
      </c>
      <c r="Q59" s="3430" t="e">
        <f ca="1">J67</f>
        <v>#DIV/0!</v>
      </c>
      <c r="R59" s="969"/>
    </row>
    <row r="60" spans="1:37" s="935" customFormat="1" ht="15" customHeight="1" thickBot="1">
      <c r="A60" s="4123"/>
      <c r="B60" s="4494"/>
      <c r="C60" s="3852"/>
      <c r="D60" s="4495"/>
      <c r="E60" s="657" t="str">
        <f ca="1">IF(F60=1,"年",IF(F60=12,"月","天"))</f>
        <v>天</v>
      </c>
      <c r="F60" s="2761">
        <f ca="1">F8</f>
        <v>0</v>
      </c>
      <c r="I60" s="980" t="s">
        <v>812</v>
      </c>
      <c r="J60" s="3887">
        <f>IF(J58="",J59,J58+J59-YEAR('数据-取费表'!B2))</f>
        <v>0</v>
      </c>
      <c r="K60" s="981" t="s">
        <v>813</v>
      </c>
      <c r="L60" s="3876">
        <f ca="1">ROUND(-PV(INDIRECT("'数据-取费表'!h"&amp;$G$1),J60,(C27-C52*C88),0),0)</f>
        <v>0</v>
      </c>
      <c r="M60" s="983"/>
      <c r="O60" s="976" t="s">
        <v>401</v>
      </c>
      <c r="P60" s="968" t="s">
        <v>814</v>
      </c>
      <c r="Q60" s="3430">
        <f>J61</f>
        <v>0</v>
      </c>
      <c r="R60" s="969"/>
    </row>
    <row r="61" spans="1:37" s="935" customFormat="1" ht="15" customHeight="1" thickBot="1">
      <c r="A61" s="3851" t="s">
        <v>3785</v>
      </c>
      <c r="B61" s="4086" t="s">
        <v>3782</v>
      </c>
      <c r="C61" s="2758">
        <f ca="1">ROUND(C59*F61,0)</f>
        <v>0</v>
      </c>
      <c r="D61" s="2715" t="s">
        <v>3786</v>
      </c>
      <c r="E61" s="657" t="s">
        <v>682</v>
      </c>
      <c r="F61" s="2762"/>
      <c r="I61" s="984" t="s">
        <v>815</v>
      </c>
      <c r="J61" s="3888"/>
      <c r="K61" s="984" t="s">
        <v>816</v>
      </c>
      <c r="L61" s="3902"/>
      <c r="O61" s="976" t="s">
        <v>402</v>
      </c>
      <c r="P61" s="968" t="s">
        <v>817</v>
      </c>
      <c r="Q61" s="3429">
        <f ca="1">J62</f>
        <v>-2.5</v>
      </c>
      <c r="R61" s="969" t="s">
        <v>818</v>
      </c>
    </row>
    <row r="62" spans="1:37" s="935" customFormat="1" ht="24.75" thickBot="1">
      <c r="A62" s="3874" t="s">
        <v>3438</v>
      </c>
      <c r="B62" s="924" t="s">
        <v>683</v>
      </c>
      <c r="C62" s="2743">
        <f ca="1">ROUND(IF(F62="押一",C58/12*F11,IF(F62="押二",C58/12*2*F11,IF(F62="押三",C58/12*3*F11,C63*F11))),0)</f>
        <v>0</v>
      </c>
      <c r="D62" s="59" t="s">
        <v>2018</v>
      </c>
      <c r="E62" s="197" t="s">
        <v>684</v>
      </c>
      <c r="F62" s="2763"/>
      <c r="I62" s="986" t="s">
        <v>819</v>
      </c>
      <c r="J62" s="3889">
        <f ca="1">IF(M56="住宅",IF(D1="——",MAX(J60,L57),MAX(J60,L57-'数据-取费表'!B24)),IF(D1="——",MIN(J60,L57),MIN(J60,L57-'数据-取费表'!B24)))</f>
        <v>-2.5</v>
      </c>
      <c r="K62" s="4499" t="s">
        <v>820</v>
      </c>
      <c r="L62" s="4500"/>
      <c r="O62" s="4038" t="s">
        <v>403</v>
      </c>
      <c r="P62" s="4042" t="s">
        <v>3937</v>
      </c>
      <c r="Q62" s="4043" t="e">
        <f ca="1">ROUND((Q56+Q57)*(1+F31),0)</f>
        <v>#DIV/0!</v>
      </c>
      <c r="R62" s="4040" t="s">
        <v>3939</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822</v>
      </c>
      <c r="P63" s="932"/>
      <c r="Q63" s="3431"/>
      <c r="R63" s="932"/>
    </row>
    <row r="64" spans="1:37" s="935" customFormat="1" ht="13.5" thickBot="1">
      <c r="A64" s="720" t="s">
        <v>431</v>
      </c>
      <c r="B64" s="920" t="s">
        <v>686</v>
      </c>
      <c r="C64" s="2744"/>
      <c r="D64" s="59"/>
      <c r="E64" s="925"/>
      <c r="F64" s="987"/>
      <c r="I64" s="990" t="s">
        <v>823</v>
      </c>
      <c r="J64" s="991" t="e">
        <f ca="1">ROUND(IF(J56="钢混",J66/J59,1-(1-2%)*(J59-J66)/J59),3)</f>
        <v>#DIV/0!</v>
      </c>
      <c r="K64" s="992" t="s">
        <v>824</v>
      </c>
      <c r="L64" s="993"/>
      <c r="O64" s="4035" t="s">
        <v>1323</v>
      </c>
      <c r="P64" s="4036" t="s">
        <v>3895</v>
      </c>
      <c r="Q64" s="4056" t="s">
        <v>3896</v>
      </c>
      <c r="R64" s="4037" t="s">
        <v>3897</v>
      </c>
    </row>
    <row r="65" spans="1:18" s="935" customFormat="1" ht="25.5" thickTop="1" thickBot="1">
      <c r="A65" s="199" t="s">
        <v>3926</v>
      </c>
      <c r="B65" s="634" t="s">
        <v>3908</v>
      </c>
      <c r="C65" s="2743">
        <f ca="1">ROUND(C66+C74+C76+C78,0)</f>
        <v>0</v>
      </c>
      <c r="D65" s="634" t="s">
        <v>3927</v>
      </c>
      <c r="E65" s="4053"/>
      <c r="F65" s="638"/>
      <c r="I65" s="996" t="s">
        <v>825</v>
      </c>
      <c r="J65" s="997"/>
      <c r="K65" s="970" t="s">
        <v>826</v>
      </c>
      <c r="L65" s="3887">
        <f ca="1">IF(L57&lt;J60,"——",L57-J62)</f>
        <v>2.5</v>
      </c>
      <c r="O65" s="4038" t="s">
        <v>397</v>
      </c>
      <c r="P65" s="4042" t="s">
        <v>3935</v>
      </c>
      <c r="Q65" s="4043" t="e">
        <f ca="1">C28+J31</f>
        <v>#DIV/0!</v>
      </c>
      <c r="R65" s="4040" t="s">
        <v>3899</v>
      </c>
    </row>
    <row r="66" spans="1:18" s="935" customFormat="1" ht="24.75" thickBot="1">
      <c r="A66" s="519" t="s">
        <v>392</v>
      </c>
      <c r="B66" s="2695" t="s">
        <v>3961</v>
      </c>
      <c r="C66" s="2702">
        <f ca="1">ROUND(IF(AND(项目基本情况!B11="自然人",项目基本情况!B10="北京市",M56="住宅"),C58*F66,C67+C71+C72),0)</f>
        <v>0</v>
      </c>
      <c r="D66" s="639" t="s">
        <v>3435</v>
      </c>
      <c r="E66" s="639" t="str">
        <f>E14</f>
        <v/>
      </c>
      <c r="F66" s="3837" t="str">
        <f>IF(M56="非住宅","",IF(F58*F59*F60/12/(1+'数据-取费表'!F30)&gt;100000,4%,2.5%))</f>
        <v/>
      </c>
      <c r="I66" s="1002" t="s">
        <v>827</v>
      </c>
      <c r="J66" s="3893">
        <f ca="1">IF(OR(M56="住宅",J60&lt;L57,J65="是"),"——",J60-L57)</f>
        <v>0</v>
      </c>
      <c r="K66" s="970" t="s">
        <v>828</v>
      </c>
      <c r="L66" s="3900">
        <f ca="1">IF(L57&lt;J60,"——",IF(L64="比较法",L58,IF(L64="基准地价",L59,L60)))</f>
        <v>0</v>
      </c>
      <c r="O66" s="4038" t="s">
        <v>398</v>
      </c>
      <c r="P66" s="4039" t="s">
        <v>3902</v>
      </c>
      <c r="Q66" s="4043" t="e">
        <f ca="1">L69</f>
        <v>#DIV/0!</v>
      </c>
      <c r="R66" s="4040" t="s">
        <v>3903</v>
      </c>
    </row>
    <row r="67" spans="1:18" s="935" customFormat="1" ht="24.75" thickBot="1">
      <c r="A67" s="2700" t="s">
        <v>391</v>
      </c>
      <c r="B67" s="2713" t="s">
        <v>3953</v>
      </c>
      <c r="C67" s="2702">
        <f ca="1">C70</f>
        <v>0</v>
      </c>
      <c r="D67" s="2715" t="s">
        <v>3952</v>
      </c>
      <c r="E67" s="4090"/>
      <c r="F67" s="4122"/>
      <c r="I67" s="1002" t="s">
        <v>830</v>
      </c>
      <c r="J67" s="3894" t="e">
        <f ca="1">IF(J64&lt;0.4,0.4,J64)</f>
        <v>#DIV/0!</v>
      </c>
      <c r="K67" s="981" t="s">
        <v>831</v>
      </c>
      <c r="L67" s="3900" t="e">
        <f ca="1">ROUND(POWER(1+L61,L56-L57)*(POWER(1+L61,L57)-1)/(POWER(1+L61,L56)-1),4)</f>
        <v>#DIV/0!</v>
      </c>
      <c r="O67" s="976" t="s">
        <v>399</v>
      </c>
      <c r="P67" s="968" t="s">
        <v>832</v>
      </c>
      <c r="Q67" s="3429">
        <f>IF(L64="比较法",L58,IF(L64="基准地价",L59,0))</f>
        <v>0</v>
      </c>
      <c r="R67" s="969" t="s">
        <v>801</v>
      </c>
    </row>
    <row r="68" spans="1:18" s="935" customFormat="1" ht="24.75" thickBot="1">
      <c r="A68" s="2505" t="s">
        <v>3278</v>
      </c>
      <c r="B68" s="2717" t="s">
        <v>3394</v>
      </c>
      <c r="C68" s="2702">
        <f ca="1">ROUND(C58*F68,0)</f>
        <v>0</v>
      </c>
      <c r="D68" s="994" t="s">
        <v>3855</v>
      </c>
      <c r="E68" s="2721" t="s">
        <v>3396</v>
      </c>
      <c r="F68" s="2765">
        <f>F16</f>
        <v>0.09</v>
      </c>
      <c r="I68" s="1002" t="s">
        <v>833</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30">
        <f>L61</f>
        <v>0</v>
      </c>
      <c r="R68" s="969"/>
    </row>
    <row r="69" spans="1:18" s="935" customFormat="1" ht="16.5" thickBot="1">
      <c r="A69" s="2505" t="s">
        <v>3279</v>
      </c>
      <c r="B69" s="2717" t="s">
        <v>3395</v>
      </c>
      <c r="C69" s="2702">
        <f ca="1">ROUND(C74*F68+((C76+C78)*F69),0)</f>
        <v>0</v>
      </c>
      <c r="D69" s="3978" t="s">
        <v>3849</v>
      </c>
      <c r="E69" s="2722"/>
      <c r="F69" s="2765">
        <f>F17</f>
        <v>0.06</v>
      </c>
      <c r="I69" s="1005" t="s">
        <v>835</v>
      </c>
      <c r="J69" s="3896" t="e">
        <f ca="1">IF(OR(M56="住宅",J60&lt;L57,J65="是"),"0",ROUND(J68/(1+J61)^J62,0))</f>
        <v>#DIV/0!</v>
      </c>
      <c r="K69" s="1007" t="s">
        <v>836</v>
      </c>
      <c r="L69" s="3896" t="e">
        <f ca="1">IF(OR(M56="住宅",L57&lt;J60),0,ROUND(L66*(L67/L68-1),0))</f>
        <v>#DIV/0!</v>
      </c>
      <c r="O69" s="976" t="s">
        <v>401</v>
      </c>
      <c r="P69" s="968" t="s">
        <v>837</v>
      </c>
      <c r="Q69" s="3432" t="e">
        <f ca="1">L67</f>
        <v>#DIV/0!</v>
      </c>
      <c r="R69" s="969" t="s">
        <v>838</v>
      </c>
    </row>
    <row r="70" spans="1:18" s="935" customFormat="1" ht="13.5" thickBot="1">
      <c r="A70" s="2505" t="s">
        <v>3950</v>
      </c>
      <c r="B70" s="2717" t="s">
        <v>3949</v>
      </c>
      <c r="C70" s="2702">
        <f ca="1">ROUND((C68-C69)*F70,0)</f>
        <v>0</v>
      </c>
      <c r="D70" s="2740" t="s">
        <v>3972</v>
      </c>
      <c r="E70" s="186" t="s">
        <v>3974</v>
      </c>
      <c r="F70" s="2765">
        <f>F18</f>
        <v>0.12000000000000001</v>
      </c>
      <c r="I70" s="1008"/>
      <c r="J70" s="1008"/>
      <c r="K70" s="1008"/>
      <c r="L70" s="1008"/>
      <c r="O70" s="976" t="s">
        <v>402</v>
      </c>
      <c r="P70" s="968" t="str">
        <f>K68</f>
        <v>建设期及建筑物耐用年限下的土地年期修正系数Kn</v>
      </c>
      <c r="Q70" s="3432" t="e">
        <f ca="1">L68</f>
        <v>#DIV/0!</v>
      </c>
      <c r="R70" s="969" t="s">
        <v>839</v>
      </c>
    </row>
    <row r="71" spans="1:18" s="935" customFormat="1" ht="13.5" thickBot="1">
      <c r="A71" s="2700" t="s">
        <v>764</v>
      </c>
      <c r="B71" s="2695" t="s">
        <v>3959</v>
      </c>
      <c r="C71" s="2702">
        <f ca="1">IF(项目基本情况!B11="自然人","——",IF(D71="按不含税租金收入（有效毛租金收入）计税",ROUND(C58*F71/(1+'数据-取费表'!C43),0),IF(D71="按房产原值计税",ROUND(F74*F71*0.7,0),INDIRECT("'数据-取费表'!Aj"&amp;$G$1))))</f>
        <v>0</v>
      </c>
      <c r="D71" s="921"/>
      <c r="E71" s="626" t="s">
        <v>695</v>
      </c>
      <c r="F71" s="2765">
        <f t="shared" ref="F71:F73" si="0">F19</f>
        <v>1.2E-2</v>
      </c>
      <c r="I71" s="1009" t="s">
        <v>840</v>
      </c>
      <c r="J71" s="1010" t="s">
        <v>841</v>
      </c>
      <c r="K71" s="1010" t="s">
        <v>842</v>
      </c>
      <c r="L71" s="1010" t="s">
        <v>843</v>
      </c>
      <c r="M71" s="1011" t="s">
        <v>844</v>
      </c>
      <c r="O71" s="4038" t="s">
        <v>403</v>
      </c>
      <c r="P71" s="4042" t="s">
        <v>3938</v>
      </c>
      <c r="Q71" s="4043" t="e">
        <f ca="1">ROUND((Q65+Q66)*(1+F31),0)</f>
        <v>#DIV/0!</v>
      </c>
      <c r="R71" s="4040" t="s">
        <v>3939</v>
      </c>
    </row>
    <row r="72" spans="1:18" s="935" customFormat="1" ht="13.5" thickBot="1">
      <c r="A72" s="4091" t="s">
        <v>767</v>
      </c>
      <c r="B72" s="4084" t="s">
        <v>3955</v>
      </c>
      <c r="C72" s="3025">
        <f ca="1">IF(项目基本情况!B11="自然人","——",ROUND(F72*F73,0))</f>
        <v>0</v>
      </c>
      <c r="D72" s="641" t="s">
        <v>769</v>
      </c>
      <c r="E72" s="626" t="s">
        <v>715</v>
      </c>
      <c r="F72" s="3420">
        <f t="shared" si="0"/>
        <v>24</v>
      </c>
      <c r="I72" s="3424" t="s">
        <v>846</v>
      </c>
      <c r="J72" s="223">
        <v>70</v>
      </c>
      <c r="K72" s="223">
        <v>50</v>
      </c>
      <c r="L72" s="223">
        <v>80</v>
      </c>
      <c r="M72" s="1012">
        <v>0.02</v>
      </c>
      <c r="O72" s="952" t="s">
        <v>847</v>
      </c>
      <c r="P72" s="932"/>
      <c r="Q72" s="3431"/>
      <c r="R72" s="932"/>
    </row>
    <row r="73" spans="1:18" s="935" customFormat="1" ht="13.5" thickBot="1">
      <c r="A73" s="4092"/>
      <c r="B73" s="632"/>
      <c r="C73" s="3026"/>
      <c r="D73" s="642"/>
      <c r="E73" s="626" t="s">
        <v>719</v>
      </c>
      <c r="F73" s="3028">
        <f t="shared" ca="1" si="0"/>
        <v>0</v>
      </c>
      <c r="I73" s="3424" t="s">
        <v>848</v>
      </c>
      <c r="J73" s="223">
        <v>50</v>
      </c>
      <c r="K73" s="223">
        <v>35</v>
      </c>
      <c r="L73" s="223">
        <v>60</v>
      </c>
      <c r="M73" s="1011">
        <v>0</v>
      </c>
      <c r="O73" s="4035" t="s">
        <v>1323</v>
      </c>
      <c r="P73" s="4036" t="s">
        <v>3895</v>
      </c>
      <c r="Q73" s="4056" t="s">
        <v>3896</v>
      </c>
      <c r="R73" s="4037" t="s">
        <v>3897</v>
      </c>
    </row>
    <row r="74" spans="1:18" s="935" customFormat="1" ht="13.5" thickBot="1">
      <c r="A74" s="3868" t="s">
        <v>772</v>
      </c>
      <c r="B74" s="625" t="s">
        <v>773</v>
      </c>
      <c r="C74" s="3879">
        <f ca="1">ROUND(F74*F75,0)</f>
        <v>0</v>
      </c>
      <c r="D74" s="3862" t="s">
        <v>722</v>
      </c>
      <c r="E74" s="2695" t="s">
        <v>3795</v>
      </c>
      <c r="F74" s="3876">
        <f ca="1">C51</f>
        <v>0</v>
      </c>
      <c r="I74" s="3424" t="s">
        <v>849</v>
      </c>
      <c r="J74" s="223">
        <v>40</v>
      </c>
      <c r="K74" s="223">
        <v>30</v>
      </c>
      <c r="L74" s="223">
        <v>50</v>
      </c>
      <c r="M74" s="1012">
        <v>0.02</v>
      </c>
      <c r="O74" s="4038" t="s">
        <v>397</v>
      </c>
      <c r="P74" s="4039" t="s">
        <v>3898</v>
      </c>
      <c r="Q74" s="4041" t="e">
        <f ca="1">C28+J31</f>
        <v>#DIV/0!</v>
      </c>
      <c r="R74" s="4040" t="s">
        <v>3899</v>
      </c>
    </row>
    <row r="75" spans="1:18" s="935" customFormat="1" ht="15" thickBot="1">
      <c r="A75" s="3870"/>
      <c r="B75" s="632"/>
      <c r="C75" s="3880"/>
      <c r="D75" s="3863"/>
      <c r="E75" s="626" t="s">
        <v>695</v>
      </c>
      <c r="F75" s="2767">
        <f ca="1">F22</f>
        <v>0</v>
      </c>
      <c r="O75" s="4038" t="s">
        <v>398</v>
      </c>
      <c r="P75" s="4039" t="s">
        <v>3902</v>
      </c>
      <c r="Q75" s="4057" t="e">
        <f ca="1">L69</f>
        <v>#DIV/0!</v>
      </c>
      <c r="R75" s="4040" t="s">
        <v>3904</v>
      </c>
    </row>
    <row r="76" spans="1:18" s="935" customFormat="1" ht="13.5" thickBot="1">
      <c r="A76" s="3868" t="s">
        <v>775</v>
      </c>
      <c r="B76" s="625" t="s">
        <v>725</v>
      </c>
      <c r="C76" s="3879">
        <f ca="1">ROUND(F76*F77,0)</f>
        <v>0</v>
      </c>
      <c r="D76" s="3862" t="s">
        <v>3432</v>
      </c>
      <c r="E76" s="2695" t="s">
        <v>3431</v>
      </c>
      <c r="F76" s="3877">
        <f ca="1">C53</f>
        <v>0</v>
      </c>
      <c r="O76" s="967"/>
      <c r="P76" s="968"/>
      <c r="Q76" s="3432"/>
      <c r="R76" s="969"/>
    </row>
    <row r="77" spans="1:18" s="935" customFormat="1" ht="16.5" thickBot="1">
      <c r="A77" s="3870"/>
      <c r="B77" s="632"/>
      <c r="C77" s="3880"/>
      <c r="D77" s="3863"/>
      <c r="E77" s="626" t="s">
        <v>695</v>
      </c>
      <c r="F77" s="2767">
        <f ca="1">F24</f>
        <v>0</v>
      </c>
      <c r="O77" s="976" t="s">
        <v>399</v>
      </c>
      <c r="P77" s="968" t="s">
        <v>832</v>
      </c>
      <c r="Q77" s="3433">
        <f ca="1">L60</f>
        <v>0</v>
      </c>
      <c r="R77" s="969" t="s">
        <v>852</v>
      </c>
    </row>
    <row r="78" spans="1:18" s="4001" customFormat="1" ht="13.5" thickBot="1">
      <c r="A78" s="519" t="s">
        <v>776</v>
      </c>
      <c r="B78" s="626" t="s">
        <v>711</v>
      </c>
      <c r="C78" s="2702">
        <f ca="1">ROUND(C57*F78,0)</f>
        <v>0</v>
      </c>
      <c r="D78" s="640" t="s">
        <v>3853</v>
      </c>
      <c r="E78" s="626" t="s">
        <v>695</v>
      </c>
      <c r="F78" s="2767">
        <f ca="1">F26</f>
        <v>0</v>
      </c>
      <c r="G78" s="935"/>
      <c r="H78" s="935"/>
      <c r="O78" s="976"/>
      <c r="P78" s="968"/>
      <c r="Q78" s="3433"/>
      <c r="R78" s="969"/>
    </row>
    <row r="79" spans="1:18" s="4001" customFormat="1" ht="16.5" thickBot="1">
      <c r="A79" s="633" t="s">
        <v>3928</v>
      </c>
      <c r="B79" s="643" t="s">
        <v>3876</v>
      </c>
      <c r="C79" s="2743">
        <f ca="1">C57-C65</f>
        <v>0</v>
      </c>
      <c r="D79" s="643" t="s">
        <v>3877</v>
      </c>
      <c r="E79" s="4027"/>
      <c r="F79" s="4028"/>
      <c r="O79" s="976" t="s">
        <v>400</v>
      </c>
      <c r="P79" s="1014" t="s">
        <v>3929</v>
      </c>
      <c r="Q79" s="3433">
        <f ca="1">ROUND(Q80-Q81*Q82,0)</f>
        <v>0</v>
      </c>
      <c r="R79" s="969" t="s">
        <v>408</v>
      </c>
    </row>
    <row r="80" spans="1:18" s="4001" customFormat="1" ht="13.5" thickBot="1">
      <c r="A80" s="3201" t="s">
        <v>388</v>
      </c>
      <c r="B80" s="624" t="s">
        <v>3878</v>
      </c>
      <c r="C80" s="3912" t="e">
        <f ca="1">ROUND(C79*(1-((1+F82)/(1+F80))^F81)/(F80-F82),0)</f>
        <v>#DIV/0!</v>
      </c>
      <c r="D80" s="4029" t="s">
        <v>3879</v>
      </c>
      <c r="E80" s="634" t="s">
        <v>3880</v>
      </c>
      <c r="F80" s="2767">
        <f ca="1">F28</f>
        <v>0</v>
      </c>
      <c r="O80" s="976" t="s">
        <v>405</v>
      </c>
      <c r="P80" s="1014" t="s">
        <v>3930</v>
      </c>
      <c r="Q80" s="3433">
        <f ca="1">C27</f>
        <v>0</v>
      </c>
      <c r="R80" s="969" t="s">
        <v>801</v>
      </c>
    </row>
    <row r="81" spans="1:18" s="4001" customFormat="1" ht="13.5" thickBot="1">
      <c r="A81" s="3202"/>
      <c r="B81" s="628"/>
      <c r="C81" s="4093"/>
      <c r="D81" s="4030" t="s">
        <v>3884</v>
      </c>
      <c r="E81" s="634" t="s">
        <v>3883</v>
      </c>
      <c r="F81" s="2768">
        <f ca="1">F29</f>
        <v>0</v>
      </c>
      <c r="O81" s="976" t="s">
        <v>406</v>
      </c>
      <c r="P81" s="1014" t="s">
        <v>3931</v>
      </c>
      <c r="Q81" s="3433">
        <f ca="1">C52</f>
        <v>0</v>
      </c>
      <c r="R81" s="969" t="s">
        <v>801</v>
      </c>
    </row>
    <row r="82" spans="1:18" s="4001" customFormat="1" ht="13.5" thickBot="1">
      <c r="A82" s="4054"/>
      <c r="B82" s="4055"/>
      <c r="C82" s="4055"/>
      <c r="D82" s="4031"/>
      <c r="E82" s="634" t="s">
        <v>3885</v>
      </c>
      <c r="F82" s="2762"/>
      <c r="O82" s="976" t="s">
        <v>407</v>
      </c>
      <c r="P82" s="1014" t="s">
        <v>3932</v>
      </c>
      <c r="Q82" s="3430">
        <f ca="1">C88</f>
        <v>0</v>
      </c>
      <c r="R82" s="969"/>
    </row>
    <row r="83" spans="1:18" s="4001" customFormat="1" ht="13.5" thickBot="1">
      <c r="A83" s="630"/>
      <c r="B83" s="2742" t="s">
        <v>3934</v>
      </c>
      <c r="C83" s="3853" t="e">
        <f ca="1">ROUND(C80*(1+F31),0)</f>
        <v>#DIV/0!</v>
      </c>
      <c r="D83" s="4222" t="str">
        <f>D31</f>
        <v>其他类型公式—收益价值×（1+9%）</v>
      </c>
      <c r="E83" s="1018"/>
      <c r="F83" s="4033"/>
      <c r="O83" s="976" t="s">
        <v>401</v>
      </c>
      <c r="P83" s="968" t="s">
        <v>3933</v>
      </c>
      <c r="Q83" s="3430">
        <f>L61</f>
        <v>0</v>
      </c>
      <c r="R83" s="969"/>
    </row>
    <row r="84" spans="1:18" ht="16.5" thickBot="1">
      <c r="A84" s="647" t="s">
        <v>389</v>
      </c>
      <c r="B84" s="648" t="s">
        <v>759</v>
      </c>
      <c r="C84" s="2754" t="e">
        <f ca="1">ROUND(C83/F84,0)</f>
        <v>#DIV/0!</v>
      </c>
      <c r="D84" s="4034" t="s">
        <v>3888</v>
      </c>
      <c r="E84" s="648" t="s">
        <v>3889</v>
      </c>
      <c r="F84" s="2769">
        <f ca="1">F32</f>
        <v>0</v>
      </c>
      <c r="G84" s="4001"/>
      <c r="H84" s="4001"/>
      <c r="O84" s="976" t="s">
        <v>402</v>
      </c>
      <c r="P84" s="968" t="s">
        <v>837</v>
      </c>
      <c r="Q84" s="3432" t="e">
        <f ca="1">L67</f>
        <v>#DIV/0!</v>
      </c>
      <c r="R84" s="969" t="s">
        <v>838</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839</v>
      </c>
    </row>
    <row r="86" spans="1:18" ht="13.5" thickBot="1">
      <c r="A86" s="935"/>
      <c r="B86" s="168" t="s">
        <v>857</v>
      </c>
      <c r="C86" s="1016"/>
      <c r="D86" s="935"/>
      <c r="E86" s="935"/>
      <c r="F86" s="935"/>
      <c r="K86" s="951"/>
      <c r="L86" s="935"/>
      <c r="O86" s="4038" t="s">
        <v>403</v>
      </c>
      <c r="P86" s="4042" t="s">
        <v>3938</v>
      </c>
      <c r="Q86" s="4041" t="e">
        <f ca="1">ROUND((Q74+Q75)*(1+F31),0)</f>
        <v>#DIV/0!</v>
      </c>
      <c r="R86" s="4040" t="s">
        <v>3939</v>
      </c>
    </row>
    <row r="87" spans="1:18">
      <c r="A87" s="935"/>
      <c r="B87" s="222" t="s">
        <v>778</v>
      </c>
      <c r="C87" s="2831">
        <f ca="1">ROUND(C53*C88,0)</f>
        <v>0</v>
      </c>
      <c r="D87" s="935"/>
      <c r="E87" s="935"/>
      <c r="F87" s="935"/>
      <c r="I87" s="935"/>
      <c r="J87" s="935"/>
      <c r="K87" s="951"/>
      <c r="L87" s="935"/>
    </row>
    <row r="88" spans="1:18">
      <c r="B88" s="224" t="s">
        <v>779</v>
      </c>
      <c r="C88" s="2727">
        <f ca="1">INDIRECT("'数据-取费表'!j"&amp;$G$1)</f>
        <v>0</v>
      </c>
      <c r="I88" s="935"/>
      <c r="J88" s="935"/>
      <c r="K88" s="951"/>
      <c r="L88" s="935"/>
    </row>
    <row r="89" spans="1:18">
      <c r="B89" s="226" t="s">
        <v>780</v>
      </c>
      <c r="C89" s="227"/>
    </row>
    <row r="90" spans="1:18">
      <c r="B90" s="165" t="s">
        <v>781</v>
      </c>
      <c r="C90" s="228"/>
    </row>
    <row r="91" spans="1:18">
      <c r="B91" s="222" t="s">
        <v>782</v>
      </c>
      <c r="C91" s="2832" t="e">
        <f ca="1">1-C92</f>
        <v>#DIV/0!</v>
      </c>
    </row>
    <row r="92" spans="1:18">
      <c r="B92" s="222" t="s">
        <v>783</v>
      </c>
      <c r="C92" s="2832" t="e">
        <f ca="1">ROUND(C87/C27,3)</f>
        <v>#DIV/0!</v>
      </c>
    </row>
    <row r="93" spans="1:18">
      <c r="B93" s="165" t="s">
        <v>784</v>
      </c>
      <c r="C93" s="133"/>
    </row>
    <row r="94" spans="1:18">
      <c r="B94" s="168" t="s">
        <v>785</v>
      </c>
      <c r="C94" s="2833" t="e">
        <f ca="1">1-C95</f>
        <v>#DIV/0!</v>
      </c>
    </row>
    <row r="95" spans="1:18">
      <c r="B95" s="168" t="s">
        <v>786</v>
      </c>
      <c r="C95" s="2832"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41" priority="3">
      <formula>$F$10="自定义"</formula>
    </cfRule>
  </conditionalFormatting>
  <conditionalFormatting sqref="C63">
    <cfRule type="expression" dxfId="140" priority="1">
      <formula>$F$62="自定义"</formula>
    </cfRule>
  </conditionalFormatting>
  <conditionalFormatting sqref="I64 I69">
    <cfRule type="expression" dxfId="139" priority="5">
      <formula>$J$60&gt;$L$57</formula>
    </cfRule>
  </conditionalFormatting>
  <conditionalFormatting sqref="J11">
    <cfRule type="expression" dxfId="138" priority="2">
      <formula>$M$10="自定义"</formula>
    </cfRule>
  </conditionalFormatting>
  <conditionalFormatting sqref="K64 K69">
    <cfRule type="expression" dxfId="13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859</v>
      </c>
      <c r="B1" s="481"/>
      <c r="C1" s="930"/>
      <c r="D1" s="914" t="s">
        <v>41</v>
      </c>
      <c r="E1" s="915" t="s">
        <v>663</v>
      </c>
      <c r="F1" s="704">
        <f ca="1">J53</f>
        <v>0</v>
      </c>
      <c r="G1" s="929">
        <f>MATCH(C1,'数据-取费表'!A6:A16,0)+5</f>
        <v>10</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860</v>
      </c>
      <c r="B2" s="2471" t="e">
        <f ca="1">ROUND(D2/10000,4)</f>
        <v>#DIV/0!</v>
      </c>
      <c r="C2" s="932" t="s">
        <v>861</v>
      </c>
      <c r="D2" s="1018" t="e">
        <f ca="1">C40+J29+L46</f>
        <v>#DIV/0!</v>
      </c>
      <c r="E2" s="937" t="s">
        <v>862</v>
      </c>
      <c r="F2" s="938"/>
      <c r="G2" s="1966"/>
      <c r="H2" s="1956"/>
      <c r="I2" s="1956"/>
      <c r="J2" s="1956"/>
      <c r="K2" s="1957"/>
      <c r="L2" s="1956"/>
      <c r="M2" s="1956"/>
    </row>
    <row r="3" spans="1:37" ht="18" customHeight="1" thickBot="1">
      <c r="A3" s="939" t="s">
        <v>863</v>
      </c>
      <c r="B3" s="940">
        <f ca="1">IF(ISERROR(D2/F43),0,ROUND(D2/F43,0))</f>
        <v>0</v>
      </c>
      <c r="C3" s="932" t="s">
        <v>864</v>
      </c>
      <c r="D3" s="932"/>
      <c r="E3" s="937"/>
      <c r="F3" s="938"/>
      <c r="G3" s="1966"/>
      <c r="H3" s="467" t="s">
        <v>858</v>
      </c>
      <c r="I3" s="933"/>
      <c r="J3" s="933"/>
      <c r="K3" s="934"/>
      <c r="L3" s="933"/>
      <c r="M3" s="933"/>
    </row>
    <row r="4" spans="1:37" ht="18" customHeight="1">
      <c r="A4" s="179" t="s">
        <v>865</v>
      </c>
      <c r="B4" s="180" t="s">
        <v>866</v>
      </c>
      <c r="C4" s="180" t="s">
        <v>867</v>
      </c>
      <c r="D4" s="180" t="s">
        <v>868</v>
      </c>
      <c r="E4" s="181" t="s">
        <v>869</v>
      </c>
      <c r="F4" s="182"/>
      <c r="G4" s="935"/>
      <c r="H4" s="179" t="s">
        <v>865</v>
      </c>
      <c r="I4" s="180" t="s">
        <v>866</v>
      </c>
      <c r="J4" s="180" t="s">
        <v>867</v>
      </c>
      <c r="K4" s="180" t="s">
        <v>868</v>
      </c>
      <c r="L4" s="181" t="s">
        <v>869</v>
      </c>
      <c r="M4" s="182"/>
    </row>
    <row r="5" spans="1:37" ht="18" customHeight="1">
      <c r="A5" s="183">
        <v>1</v>
      </c>
      <c r="B5" s="184" t="s">
        <v>870</v>
      </c>
      <c r="C5" s="708">
        <f ca="1">C6+C10+C12</f>
        <v>0</v>
      </c>
      <c r="D5" s="916" t="s">
        <v>871</v>
      </c>
      <c r="E5" s="709"/>
      <c r="F5" s="710"/>
      <c r="G5" s="935"/>
      <c r="H5" s="183">
        <v>1</v>
      </c>
      <c r="I5" s="184" t="s">
        <v>870</v>
      </c>
      <c r="J5" s="708">
        <f ca="1">J6+J10+J12</f>
        <v>0</v>
      </c>
      <c r="K5" s="916" t="s">
        <v>871</v>
      </c>
      <c r="L5" s="709"/>
      <c r="M5" s="710"/>
    </row>
    <row r="6" spans="1:37" ht="18" customHeight="1">
      <c r="A6" s="707" t="s">
        <v>392</v>
      </c>
      <c r="B6" s="4502" t="s">
        <v>677</v>
      </c>
      <c r="C6" s="712">
        <f ca="1">ROUND(F6*F8*F7*(1-F9),0)</f>
        <v>0</v>
      </c>
      <c r="D6" s="56" t="s">
        <v>2011</v>
      </c>
      <c r="E6" s="186" t="s">
        <v>679</v>
      </c>
      <c r="F6" s="187">
        <f ca="1">INDIRECT("'数据-取费表'!u"&amp;$G$1)</f>
        <v>0</v>
      </c>
      <c r="G6" s="935"/>
      <c r="H6" s="707" t="s">
        <v>392</v>
      </c>
      <c r="I6" s="4502" t="s">
        <v>677</v>
      </c>
      <c r="J6" s="185">
        <f ca="1">ROUND(M6*M8*M7*(1-M9),0)</f>
        <v>0</v>
      </c>
      <c r="K6" s="927" t="s">
        <v>2012</v>
      </c>
      <c r="L6" s="186" t="s">
        <v>679</v>
      </c>
      <c r="M6" s="187">
        <f ca="1">INDIRECT("'数据-取费表'!z"&amp;$G$1)</f>
        <v>0</v>
      </c>
    </row>
    <row r="7" spans="1:37" ht="18" customHeight="1">
      <c r="A7" s="711"/>
      <c r="B7" s="4503"/>
      <c r="C7" s="713"/>
      <c r="D7" s="191"/>
      <c r="E7" s="714" t="s">
        <v>680</v>
      </c>
      <c r="F7" s="187">
        <f ca="1">IF(INDIRECT("'数据-取费表'!ah"&amp;$G$1)="",INDIRECT("'数据-取费表'!k"&amp;$G$1),INDIRECT("'数据-取费表'!ah"&amp;$G$1))</f>
        <v>0</v>
      </c>
      <c r="G7" s="935"/>
      <c r="H7" s="188"/>
      <c r="I7" s="4503"/>
      <c r="J7" s="190"/>
      <c r="K7" s="191"/>
      <c r="L7" s="186" t="s">
        <v>680</v>
      </c>
      <c r="M7" s="187">
        <f ca="1">F7</f>
        <v>0</v>
      </c>
    </row>
    <row r="8" spans="1:37" ht="18" customHeight="1">
      <c r="A8" s="188"/>
      <c r="B8" s="4503"/>
      <c r="C8" s="190"/>
      <c r="D8" s="191"/>
      <c r="E8" s="186" t="s">
        <v>681</v>
      </c>
      <c r="F8" s="187">
        <f ca="1">INDIRECT("'数据-取费表'!ai"&amp;$G$1)</f>
        <v>0</v>
      </c>
      <c r="G8" s="935"/>
      <c r="H8" s="188"/>
      <c r="I8" s="4503"/>
      <c r="J8" s="190"/>
      <c r="K8" s="191"/>
      <c r="L8" s="186" t="s">
        <v>681</v>
      </c>
      <c r="M8" s="187">
        <f ca="1">INDIRECT("'数据-取费表'!ai"&amp;$G$1)</f>
        <v>0</v>
      </c>
    </row>
    <row r="9" spans="1:37" ht="18" customHeight="1">
      <c r="A9" s="188"/>
      <c r="B9" s="4504"/>
      <c r="C9" s="190"/>
      <c r="D9" s="191"/>
      <c r="E9" s="186" t="s">
        <v>682</v>
      </c>
      <c r="F9" s="196">
        <f ca="1">INDIRECT("'数据-取费表'!w"&amp;$G$1)</f>
        <v>0</v>
      </c>
      <c r="G9" s="935"/>
      <c r="H9" s="188"/>
      <c r="I9" s="4504"/>
      <c r="J9" s="190"/>
      <c r="K9" s="191"/>
      <c r="L9" s="197" t="s">
        <v>682</v>
      </c>
      <c r="M9" s="198">
        <f ca="1">INDIRECT("'数据-取费表'!ab"&amp;$G$1)</f>
        <v>0</v>
      </c>
    </row>
    <row r="10" spans="1:37" ht="18" customHeight="1">
      <c r="A10" s="707" t="s">
        <v>396</v>
      </c>
      <c r="B10" s="917" t="s">
        <v>683</v>
      </c>
      <c r="C10" s="200">
        <f ca="1">ROUND(IF(F10="押一",C6/12*F11,IF(F10="押二",C6/12*2*F11,IF(F10="押三",C6/12*3*F11,C11*F11))),0)</f>
        <v>0</v>
      </c>
      <c r="D10" s="59" t="s">
        <v>2018</v>
      </c>
      <c r="E10" s="197" t="s">
        <v>684</v>
      </c>
      <c r="F10" s="749"/>
      <c r="G10" s="935"/>
      <c r="H10" s="707" t="s">
        <v>396</v>
      </c>
      <c r="I10" s="917" t="s">
        <v>683</v>
      </c>
      <c r="J10" s="185">
        <f ca="1">ROUND(IF(M10="押一",J6/12*M11,IF(M10="押二",J6/12*2*M11,IF(M10="押三",J6/12*3*M11,J11*M11))),0)</f>
        <v>0</v>
      </c>
      <c r="K10" s="928" t="s">
        <v>2020</v>
      </c>
      <c r="L10" s="197" t="s">
        <v>684</v>
      </c>
      <c r="M10" s="749"/>
    </row>
    <row r="11" spans="1:37" ht="18" customHeight="1">
      <c r="A11" s="192"/>
      <c r="B11" s="918" t="s">
        <v>872</v>
      </c>
      <c r="C11" s="635"/>
      <c r="D11" s="191"/>
      <c r="E11" s="197" t="s">
        <v>685</v>
      </c>
      <c r="F11" s="198">
        <f ca="1">'数据-取费表'!B40</f>
        <v>1.4999999999999999E-2</v>
      </c>
      <c r="G11" s="935"/>
      <c r="H11" s="715"/>
      <c r="I11" s="918" t="s">
        <v>873</v>
      </c>
      <c r="J11" s="635"/>
      <c r="K11" s="464"/>
      <c r="L11" s="197" t="s">
        <v>685</v>
      </c>
      <c r="M11" s="550">
        <f ca="1">'数据-取费表'!B40</f>
        <v>1.4999999999999999E-2</v>
      </c>
    </row>
    <row r="12" spans="1:37" ht="18" customHeight="1" thickBot="1">
      <c r="A12" s="720" t="s">
        <v>431</v>
      </c>
      <c r="B12" s="920" t="s">
        <v>686</v>
      </c>
      <c r="C12" s="721"/>
      <c r="D12" s="722"/>
      <c r="E12" s="727"/>
      <c r="F12" s="723"/>
      <c r="G12" s="935"/>
      <c r="H12" s="720" t="s">
        <v>431</v>
      </c>
      <c r="I12" s="920" t="s">
        <v>686</v>
      </c>
      <c r="J12" s="721"/>
      <c r="K12" s="735"/>
      <c r="L12" s="727"/>
      <c r="M12" s="736"/>
    </row>
    <row r="13" spans="1:37" ht="18" customHeight="1" thickTop="1">
      <c r="A13" s="716">
        <v>2</v>
      </c>
      <c r="B13" s="717" t="s">
        <v>687</v>
      </c>
      <c r="C13" s="194">
        <f ca="1">ROUND(C29*F13,0)</f>
        <v>0</v>
      </c>
      <c r="D13" s="718" t="s">
        <v>688</v>
      </c>
      <c r="E13" s="718" t="s">
        <v>689</v>
      </c>
      <c r="F13" s="719">
        <f ca="1">INDIRECT("'数据-取费表'!y"&amp;$G$1)</f>
        <v>0</v>
      </c>
      <c r="G13" s="935"/>
      <c r="H13" s="716">
        <v>2</v>
      </c>
      <c r="I13" s="717" t="s">
        <v>687</v>
      </c>
      <c r="J13" s="706">
        <f ca="1">ROUND(J14*J15,0)</f>
        <v>0</v>
      </c>
      <c r="K13" s="724" t="s">
        <v>688</v>
      </c>
      <c r="L13" s="941"/>
      <c r="M13" s="942"/>
    </row>
    <row r="14" spans="1:37" ht="18" customHeight="1">
      <c r="A14" s="658" t="s">
        <v>391</v>
      </c>
      <c r="B14" s="186" t="s">
        <v>690</v>
      </c>
      <c r="C14" s="201">
        <f ca="1">ROUND(INDIRECT("'数据-取费表'!l"&amp;$G$1)*F43+'数据-取费表'!L14*INDIRECT("'数据-取费表'!S"&amp;$G$1),0)</f>
        <v>0</v>
      </c>
      <c r="D14" s="900" t="s">
        <v>691</v>
      </c>
      <c r="E14" s="898"/>
      <c r="F14" s="202"/>
      <c r="G14" s="935"/>
      <c r="H14" s="658" t="s">
        <v>392</v>
      </c>
      <c r="I14" s="186" t="s">
        <v>692</v>
      </c>
      <c r="J14" s="12">
        <f ca="1">C29</f>
        <v>0</v>
      </c>
      <c r="K14" s="8"/>
      <c r="L14" s="526"/>
      <c r="M14" s="527"/>
    </row>
    <row r="15" spans="1:37" s="946" customFormat="1" ht="18" customHeight="1" thickBot="1">
      <c r="A15" s="658" t="s">
        <v>393</v>
      </c>
      <c r="B15" s="186" t="s">
        <v>693</v>
      </c>
      <c r="C15" s="12">
        <f ca="1">ROUND(C14*F15,0)</f>
        <v>0</v>
      </c>
      <c r="D15" s="203" t="s">
        <v>694</v>
      </c>
      <c r="E15" s="203" t="s">
        <v>695</v>
      </c>
      <c r="F15" s="204">
        <f>'数据-取费表'!B33</f>
        <v>0.08</v>
      </c>
      <c r="G15" s="945"/>
      <c r="H15" s="726" t="s">
        <v>396</v>
      </c>
      <c r="I15" s="727" t="s">
        <v>689</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664</v>
      </c>
      <c r="B16" s="186" t="s">
        <v>696</v>
      </c>
      <c r="C16" s="12">
        <f ca="1">ROUND(INDIRECT("'数据-取费表'!l"&amp;$G$1)*F43*F16,0)</f>
        <v>0</v>
      </c>
      <c r="D16" s="186" t="s">
        <v>694</v>
      </c>
      <c r="E16" s="186" t="s">
        <v>695</v>
      </c>
      <c r="F16" s="205">
        <f ca="1">IF(INDIRECT("'数据-取费表'!c"&amp;$G$1)="住宅",'数据-取费表'!B34,0)</f>
        <v>0</v>
      </c>
      <c r="G16" s="935"/>
      <c r="H16" s="716" t="s">
        <v>387</v>
      </c>
      <c r="I16" s="717" t="s">
        <v>697</v>
      </c>
      <c r="J16" s="194">
        <f ca="1">ROUND(J17+J22+J23+J24,0)</f>
        <v>0</v>
      </c>
      <c r="K16" s="724" t="s">
        <v>698</v>
      </c>
      <c r="L16" s="725"/>
      <c r="M16" s="710"/>
    </row>
    <row r="17" spans="1:37" s="946" customFormat="1" ht="18" customHeight="1">
      <c r="A17" s="658" t="s">
        <v>665</v>
      </c>
      <c r="B17" s="186" t="s">
        <v>699</v>
      </c>
      <c r="C17" s="12">
        <f ca="1">ROUND(F17*(F43+INDIRECT("'数据-取费表'!S"&amp;$G$1)),0)</f>
        <v>0</v>
      </c>
      <c r="D17" s="186" t="s">
        <v>700</v>
      </c>
      <c r="E17" s="186" t="s">
        <v>701</v>
      </c>
      <c r="F17" s="14">
        <f>'数据-取费表'!B35</f>
        <v>350</v>
      </c>
      <c r="G17" s="945"/>
      <c r="H17" s="658" t="s">
        <v>392</v>
      </c>
      <c r="I17" s="186" t="s">
        <v>702</v>
      </c>
      <c r="J17" s="1693">
        <f ca="1">ROUND(IF(AND(项目基本情况!B11="自然人",项目基本情况!B10="北京市"),J6*M17/(1+'数据-取费表'!C43),J18+J19+J20),0)</f>
        <v>0</v>
      </c>
      <c r="K17" s="900" t="s">
        <v>703</v>
      </c>
      <c r="L17" s="899" t="s">
        <v>704</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666</v>
      </c>
      <c r="B18" s="186" t="s">
        <v>705</v>
      </c>
      <c r="C18" s="12">
        <f ca="1">ROUND(C14*F18,0)</f>
        <v>0</v>
      </c>
      <c r="D18" s="186" t="s">
        <v>694</v>
      </c>
      <c r="E18" s="186" t="s">
        <v>695</v>
      </c>
      <c r="F18" s="205">
        <f>'数据-取费表'!B36</f>
        <v>0.03</v>
      </c>
      <c r="G18" s="945"/>
      <c r="H18" s="658" t="s">
        <v>391</v>
      </c>
      <c r="I18" s="186" t="s">
        <v>706</v>
      </c>
      <c r="J18" s="12">
        <f ca="1">ROUND(J6*M18/(1+'数据-取费表'!C43),0)</f>
        <v>0</v>
      </c>
      <c r="K18" s="899" t="s">
        <v>707</v>
      </c>
      <c r="L18" s="186" t="s">
        <v>695</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708</v>
      </c>
      <c r="C19" s="12">
        <f ca="1">SUM(C14:C18)</f>
        <v>0</v>
      </c>
      <c r="D19" s="49" t="s">
        <v>709</v>
      </c>
      <c r="E19" s="912"/>
      <c r="F19" s="14"/>
      <c r="G19" s="935"/>
      <c r="H19" s="658" t="s">
        <v>393</v>
      </c>
      <c r="I19" s="186" t="s">
        <v>710</v>
      </c>
      <c r="J19" s="12">
        <f ca="1">IF(K19="按租金收入计税",ROUND(J6*M19/(1+'数据-取费表'!C43),0),ROUND(C29*M19*0.7,0))</f>
        <v>0</v>
      </c>
      <c r="K19" s="921" t="s">
        <v>3211</v>
      </c>
      <c r="L19" s="186" t="s">
        <v>695</v>
      </c>
      <c r="M19" s="205">
        <f>IF(K19="按租金收入计税",'数据-取费表'!B52,'数据-取费表'!B51)</f>
        <v>0.12</v>
      </c>
    </row>
    <row r="20" spans="1:37" s="946" customFormat="1" ht="18" customHeight="1">
      <c r="A20" s="658" t="s">
        <v>396</v>
      </c>
      <c r="B20" s="186" t="s">
        <v>711</v>
      </c>
      <c r="C20" s="12">
        <f ca="1">ROUND(C19*F20,0)</f>
        <v>0</v>
      </c>
      <c r="D20" s="206" t="s">
        <v>712</v>
      </c>
      <c r="E20" s="186" t="s">
        <v>695</v>
      </c>
      <c r="F20" s="205">
        <f>'数据-取费表'!B38</f>
        <v>0.01</v>
      </c>
      <c r="G20" s="945"/>
      <c r="H20" s="658" t="s">
        <v>664</v>
      </c>
      <c r="I20" s="56" t="s">
        <v>713</v>
      </c>
      <c r="J20" s="13">
        <f ca="1">ROUND(M20*M21,0)</f>
        <v>0</v>
      </c>
      <c r="K20" s="207" t="s">
        <v>714</v>
      </c>
      <c r="L20" s="186" t="s">
        <v>715</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716</v>
      </c>
      <c r="C21" s="12" t="s">
        <v>0</v>
      </c>
      <c r="D21" s="206" t="s">
        <v>717</v>
      </c>
      <c r="E21" s="186" t="s">
        <v>718</v>
      </c>
      <c r="F21" s="205">
        <f>'数据-取费表'!B39</f>
        <v>0.03</v>
      </c>
      <c r="G21" s="945"/>
      <c r="H21" s="209"/>
      <c r="I21" s="195"/>
      <c r="J21" s="17"/>
      <c r="K21" s="210"/>
      <c r="L21" s="186" t="s">
        <v>719</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667</v>
      </c>
      <c r="B22" s="186" t="s">
        <v>720</v>
      </c>
      <c r="C22" s="12"/>
      <c r="D22" s="49" t="str">
        <f>IF(F23&lt;=1,"单利计息。","复利计息。")&amp;"建造成本、管理费用、销售费用产生的利息。"</f>
        <v>复利计息。建造成本、管理费用、销售费用产生的利息。</v>
      </c>
      <c r="E22" s="912"/>
      <c r="F22" s="14"/>
      <c r="G22" s="935"/>
      <c r="H22" s="658" t="s">
        <v>396</v>
      </c>
      <c r="I22" s="186" t="s">
        <v>721</v>
      </c>
      <c r="J22" s="12">
        <f ca="1">ROUND(J14*M22,0)</f>
        <v>0</v>
      </c>
      <c r="K22" s="899" t="s">
        <v>722</v>
      </c>
      <c r="L22" s="186" t="s">
        <v>695</v>
      </c>
      <c r="M22" s="211">
        <f ca="1">INDIRECT("'数据-取费表'!Ak"&amp;$G$1)</f>
        <v>0</v>
      </c>
    </row>
    <row r="23" spans="1:37" s="946" customFormat="1" ht="18" customHeight="1">
      <c r="A23" s="658" t="s">
        <v>391</v>
      </c>
      <c r="B23" s="186" t="s">
        <v>723</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724</v>
      </c>
      <c r="F23" s="208">
        <f>'数据-取费表'!B20</f>
        <v>2.5</v>
      </c>
      <c r="G23" s="945"/>
      <c r="H23" s="658" t="s">
        <v>431</v>
      </c>
      <c r="I23" s="186" t="s">
        <v>725</v>
      </c>
      <c r="J23" s="12">
        <f ca="1">ROUND(J13*M23,0)</f>
        <v>0</v>
      </c>
      <c r="K23" s="899" t="s">
        <v>726</v>
      </c>
      <c r="L23" s="186" t="s">
        <v>727</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728</v>
      </c>
      <c r="B24" s="186" t="s">
        <v>729</v>
      </c>
      <c r="C24" s="12">
        <f ca="1">ROUND(IF('数据-取费表'!B22&lt;=1,F21*F24*F23/2,F21*(POWER((1+F24),F23/2)-1)),4)</f>
        <v>1.1999999999999999E-3</v>
      </c>
      <c r="D24" s="55" t="str">
        <f>IF(F23&lt;=1,"销售费用×利率×(建设周期÷2)","销售费用×((1+利率)^(建设周期÷2)-1)")</f>
        <v>销售费用×((1+利率)^(建设周期÷2)-1)</v>
      </c>
      <c r="E24" s="186" t="s">
        <v>730</v>
      </c>
      <c r="F24" s="213">
        <f ca="1">'数据-取费表'!B41</f>
        <v>3.1899999999999998E-2</v>
      </c>
      <c r="G24" s="945"/>
      <c r="H24" s="726" t="s">
        <v>668</v>
      </c>
      <c r="I24" s="727" t="s">
        <v>711</v>
      </c>
      <c r="J24" s="728">
        <f ca="1">ROUND(J5*M24,0)</f>
        <v>0</v>
      </c>
      <c r="K24" s="729" t="s">
        <v>731</v>
      </c>
      <c r="L24" s="727" t="s">
        <v>727</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732</v>
      </c>
      <c r="B25" s="186" t="s">
        <v>733</v>
      </c>
      <c r="C25" s="12"/>
      <c r="D25" s="49" t="s">
        <v>734</v>
      </c>
      <c r="E25" s="912"/>
      <c r="F25" s="14"/>
      <c r="G25" s="935"/>
      <c r="H25" s="716" t="s">
        <v>388</v>
      </c>
      <c r="I25" s="731" t="s">
        <v>735</v>
      </c>
      <c r="J25" s="194">
        <f ca="1">J5-J16</f>
        <v>0</v>
      </c>
      <c r="K25" s="732" t="s">
        <v>736</v>
      </c>
      <c r="L25" s="733"/>
      <c r="M25" s="734"/>
    </row>
    <row r="26" spans="1:37" ht="18" customHeight="1">
      <c r="A26" s="658" t="s">
        <v>391</v>
      </c>
      <c r="B26" s="186" t="s">
        <v>737</v>
      </c>
      <c r="C26" s="12">
        <f ca="1">ROUND((C19+C20)*F26,0)</f>
        <v>0</v>
      </c>
      <c r="D26" s="206" t="s">
        <v>738</v>
      </c>
      <c r="E26" s="197" t="s">
        <v>739</v>
      </c>
      <c r="F26" s="196">
        <f ca="1">INDIRECT("'数据-取费表'!q"&amp;$G$1)</f>
        <v>0</v>
      </c>
      <c r="G26" s="935"/>
      <c r="H26" s="183" t="s">
        <v>389</v>
      </c>
      <c r="I26" s="184" t="s">
        <v>740</v>
      </c>
      <c r="J26" s="185">
        <f ca="1">IF(J5&lt;&gt;0,ROUND(J25*(1-((1+M28)/(1+M26))^M27)/(M26-M28),0),0)</f>
        <v>0</v>
      </c>
      <c r="K26" s="207" t="s">
        <v>741</v>
      </c>
      <c r="L26" s="186" t="s">
        <v>742</v>
      </c>
      <c r="M26" s="196">
        <f ca="1">INDIRECT("'数据-取费表'!I"&amp;$G$1)</f>
        <v>0</v>
      </c>
    </row>
    <row r="27" spans="1:37" ht="18" customHeight="1">
      <c r="A27" s="658" t="s">
        <v>393</v>
      </c>
      <c r="B27" s="186" t="s">
        <v>743</v>
      </c>
      <c r="C27" s="12">
        <f ca="1">ROUND(F21*F26,4)</f>
        <v>0</v>
      </c>
      <c r="D27" s="206" t="s">
        <v>744</v>
      </c>
      <c r="E27" s="203"/>
      <c r="F27" s="204"/>
      <c r="G27" s="935"/>
      <c r="H27" s="188"/>
      <c r="I27" s="189"/>
      <c r="J27" s="190"/>
      <c r="K27" s="214" t="s">
        <v>745</v>
      </c>
      <c r="L27" s="186" t="s">
        <v>746</v>
      </c>
      <c r="M27" s="215">
        <f ca="1">INDIRECT("'数据-取费表'!ag"&amp;$G$1)</f>
        <v>0</v>
      </c>
    </row>
    <row r="28" spans="1:37" s="946" customFormat="1" ht="18" customHeight="1">
      <c r="A28" s="658" t="s">
        <v>394</v>
      </c>
      <c r="B28" s="186" t="s">
        <v>747</v>
      </c>
      <c r="C28" s="12">
        <f>ROUND(F28/(1+'数据-取费表'!C43),4)</f>
        <v>0</v>
      </c>
      <c r="D28" s="206" t="s">
        <v>748</v>
      </c>
      <c r="E28" s="186" t="s">
        <v>695</v>
      </c>
      <c r="F28" s="205">
        <f>'数据-取费表'!B42</f>
        <v>0</v>
      </c>
      <c r="G28" s="945"/>
      <c r="H28" s="192"/>
      <c r="I28" s="193"/>
      <c r="J28" s="194"/>
      <c r="K28" s="210"/>
      <c r="L28" s="186" t="s">
        <v>749</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750</v>
      </c>
      <c r="C29" s="728">
        <f ca="1">ROUND((C19+C20+C23+C26)/(1-F21-C24-C27-C28),0)</f>
        <v>0</v>
      </c>
      <c r="D29" s="729"/>
      <c r="E29" s="727"/>
      <c r="F29" s="730"/>
      <c r="G29" s="945"/>
      <c r="H29" s="216" t="s">
        <v>390</v>
      </c>
      <c r="I29" s="217" t="s">
        <v>751</v>
      </c>
      <c r="J29" s="218">
        <f ca="1">ROUND(J26/(1+F40)^F41,0)</f>
        <v>0</v>
      </c>
      <c r="K29" s="219" t="s">
        <v>752</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697</v>
      </c>
      <c r="C30" s="194">
        <f ca="1">ROUND(C31+C36+C37+C38,0)</f>
        <v>0</v>
      </c>
      <c r="D30" s="724" t="s">
        <v>698</v>
      </c>
      <c r="E30" s="725"/>
      <c r="F30" s="710"/>
      <c r="G30" s="935"/>
      <c r="H30" s="1958"/>
      <c r="I30" s="947"/>
      <c r="J30" s="948"/>
      <c r="K30" s="47"/>
      <c r="L30" s="1959"/>
      <c r="M30" s="1960"/>
    </row>
    <row r="31" spans="1:37" ht="18" customHeight="1">
      <c r="A31" s="658" t="s">
        <v>392</v>
      </c>
      <c r="B31" s="186" t="s">
        <v>702</v>
      </c>
      <c r="C31" s="1693">
        <f ca="1">ROUND(IF(AND(项目基本情况!B11="自然人",项目基本情况!B10="北京市"),C6*F31/(1+'数据-取费表'!C43),C32+C33+C34),0)</f>
        <v>0</v>
      </c>
      <c r="D31" s="900" t="s">
        <v>703</v>
      </c>
      <c r="E31" s="899" t="s">
        <v>753</v>
      </c>
      <c r="F31" s="1692" t="str">
        <f>IF(项目基本情况!B11="企业","——",IF(M47="住宅",IF(F6*F7*F8/12/(1+'数据-取费表'!F30)&gt;100000,4%,2.5%),IF(F6*F7*F8/12/(1+'数据-取费表'!F30)&gt;100000,12%,7%)))</f>
        <v>——</v>
      </c>
      <c r="G31" s="935"/>
      <c r="H31" s="2047" t="s">
        <v>2190</v>
      </c>
      <c r="I31" s="947"/>
      <c r="J31" s="948"/>
      <c r="K31" s="47"/>
      <c r="L31" s="1959"/>
      <c r="M31" s="1960"/>
    </row>
    <row r="32" spans="1:37" ht="18" customHeight="1">
      <c r="A32" s="658" t="s">
        <v>391</v>
      </c>
      <c r="B32" s="186" t="s">
        <v>706</v>
      </c>
      <c r="C32" s="12">
        <f ca="1">IF(项目基本情况!B11="自然人","——",ROUND(C6*F32/(1+'数据-取费表'!C43),0))</f>
        <v>0</v>
      </c>
      <c r="D32" s="899" t="s">
        <v>707</v>
      </c>
      <c r="E32" s="186" t="s">
        <v>695</v>
      </c>
      <c r="F32" s="213">
        <f>'数据-取费表'!B42</f>
        <v>0</v>
      </c>
      <c r="G32" s="935"/>
      <c r="H32" s="1958"/>
      <c r="I32" s="947"/>
      <c r="J32" s="948"/>
      <c r="K32" s="47"/>
      <c r="L32" s="1959"/>
      <c r="M32" s="1960"/>
    </row>
    <row r="33" spans="1:18" ht="18" customHeight="1">
      <c r="A33" s="658" t="s">
        <v>393</v>
      </c>
      <c r="B33" s="186" t="s">
        <v>710</v>
      </c>
      <c r="C33" s="12">
        <f ca="1">IF(项目基本情况!B11="自然人","——",IF(D33="按租金收入计税",ROUND(C6*F33/(1+'数据-取费表'!C43),0),IF(D33="按房产原值计税",ROUND(C29*F33*0.7,0),INDIRECT("'数据-取费表'!Aj"&amp;$G$1))))</f>
        <v>0</v>
      </c>
      <c r="D33" s="921" t="s">
        <v>3211</v>
      </c>
      <c r="E33" s="186" t="s">
        <v>695</v>
      </c>
      <c r="F33" s="205">
        <f>IF(D33="按票据","——",IF(D33="按租金收入计税",'数据-取费表'!B52,'数据-取费表'!B51))</f>
        <v>0.12</v>
      </c>
      <c r="G33" s="935"/>
      <c r="H33" s="1961"/>
      <c r="I33" s="947"/>
      <c r="J33" s="948"/>
      <c r="K33" s="1962"/>
      <c r="L33" s="1961"/>
      <c r="M33" s="1961"/>
    </row>
    <row r="34" spans="1:18" ht="18" customHeight="1">
      <c r="A34" s="707" t="s">
        <v>664</v>
      </c>
      <c r="B34" s="56" t="s">
        <v>713</v>
      </c>
      <c r="C34" s="13">
        <f ca="1">IF(项目基本情况!B11="自然人","——",ROUND(F34*F35,0))</f>
        <v>0</v>
      </c>
      <c r="D34" s="207" t="s">
        <v>714</v>
      </c>
      <c r="E34" s="186" t="s">
        <v>715</v>
      </c>
      <c r="F34" s="208">
        <f>'数据-取费表'!B53</f>
        <v>24</v>
      </c>
      <c r="G34" s="935"/>
      <c r="H34" s="1958"/>
      <c r="I34" s="947"/>
      <c r="J34" s="948"/>
      <c r="K34" s="1963"/>
      <c r="L34" s="1964"/>
      <c r="M34" s="1964"/>
    </row>
    <row r="35" spans="1:18" ht="18" customHeight="1">
      <c r="A35" s="740"/>
      <c r="B35" s="738"/>
      <c r="C35" s="17"/>
      <c r="D35" s="210"/>
      <c r="E35" s="186" t="s">
        <v>719</v>
      </c>
      <c r="F35" s="187">
        <f ca="1">INDIRECT("'数据-取费表'!r"&amp;$G$1)</f>
        <v>0</v>
      </c>
      <c r="G35" s="935"/>
      <c r="H35" s="1958"/>
      <c r="I35" s="947"/>
      <c r="J35" s="948"/>
      <c r="K35" s="1962"/>
      <c r="L35" s="1961"/>
      <c r="M35" s="1961"/>
    </row>
    <row r="36" spans="1:18" ht="18" customHeight="1">
      <c r="A36" s="739" t="s">
        <v>396</v>
      </c>
      <c r="B36" s="186" t="s">
        <v>721</v>
      </c>
      <c r="C36" s="12">
        <f ca="1">ROUND(C29*F36,0)</f>
        <v>0</v>
      </c>
      <c r="D36" s="899" t="s">
        <v>754</v>
      </c>
      <c r="E36" s="186" t="s">
        <v>695</v>
      </c>
      <c r="F36" s="211">
        <f ca="1">INDIRECT("'数据-取费表'!Ak"&amp;$G$1)</f>
        <v>0</v>
      </c>
      <c r="G36" s="935"/>
      <c r="H36" s="1961"/>
      <c r="I36" s="947"/>
      <c r="J36" s="948"/>
      <c r="K36" s="1861"/>
      <c r="L36" s="1961"/>
      <c r="M36" s="1961"/>
    </row>
    <row r="37" spans="1:18" ht="18" customHeight="1">
      <c r="A37" s="658" t="s">
        <v>431</v>
      </c>
      <c r="B37" s="186" t="s">
        <v>725</v>
      </c>
      <c r="C37" s="12">
        <f ca="1">ROUND(C13*F37,0)</f>
        <v>0</v>
      </c>
      <c r="D37" s="899" t="s">
        <v>726</v>
      </c>
      <c r="E37" s="186" t="s">
        <v>727</v>
      </c>
      <c r="F37" s="212">
        <f ca="1">INDIRECT("'数据-取费表'!Al"&amp;$G$1)</f>
        <v>0</v>
      </c>
      <c r="G37" s="935"/>
      <c r="H37" s="1961"/>
      <c r="I37" s="947"/>
      <c r="J37" s="948"/>
      <c r="K37" s="1861"/>
      <c r="L37" s="1961"/>
      <c r="M37" s="1961"/>
    </row>
    <row r="38" spans="1:18" ht="18" customHeight="1" thickBot="1">
      <c r="A38" s="726" t="s">
        <v>668</v>
      </c>
      <c r="B38" s="727" t="s">
        <v>711</v>
      </c>
      <c r="C38" s="728">
        <f ca="1">ROUND(C5*F38,0)</f>
        <v>0</v>
      </c>
      <c r="D38" s="729" t="s">
        <v>731</v>
      </c>
      <c r="E38" s="727" t="s">
        <v>727</v>
      </c>
      <c r="F38" s="723">
        <f ca="1">INDIRECT("'数据-取费表'!Am"&amp;$G$1)</f>
        <v>0</v>
      </c>
      <c r="G38" s="935"/>
      <c r="H38" s="1961"/>
      <c r="I38" s="947"/>
      <c r="J38" s="948"/>
      <c r="K38" s="1959"/>
      <c r="L38" s="1961"/>
      <c r="M38" s="1961"/>
    </row>
    <row r="39" spans="1:18" ht="24.6" customHeight="1" thickTop="1">
      <c r="A39" s="716" t="s">
        <v>388</v>
      </c>
      <c r="B39" s="731" t="s">
        <v>755</v>
      </c>
      <c r="C39" s="194">
        <f ca="1">C5-C30</f>
        <v>0</v>
      </c>
      <c r="D39" s="732" t="s">
        <v>756</v>
      </c>
      <c r="E39" s="733"/>
      <c r="F39" s="734"/>
      <c r="G39" s="935"/>
      <c r="H39" s="1961"/>
      <c r="I39" s="947"/>
      <c r="J39" s="948"/>
      <c r="K39" s="1959"/>
      <c r="L39" s="1961"/>
      <c r="M39" s="1961"/>
    </row>
    <row r="40" spans="1:18" ht="18" customHeight="1">
      <c r="A40" s="183" t="s">
        <v>389</v>
      </c>
      <c r="B40" s="184" t="s">
        <v>757</v>
      </c>
      <c r="C40" s="185" t="e">
        <f ca="1">ROUND(C39*(1-((1+F42)/(1+F40))^F41)/(F40-F42),0)</f>
        <v>#DIV/0!</v>
      </c>
      <c r="D40" s="207" t="s">
        <v>741</v>
      </c>
      <c r="E40" s="186" t="s">
        <v>742</v>
      </c>
      <c r="F40" s="196">
        <f ca="1">INDIRECT("'数据-取费表'!I"&amp;$G$1)</f>
        <v>0</v>
      </c>
      <c r="G40" s="935"/>
      <c r="H40" s="1008"/>
      <c r="I40" s="947"/>
      <c r="J40" s="948"/>
      <c r="K40" s="1959"/>
      <c r="L40" s="1008"/>
      <c r="M40" s="1008"/>
    </row>
    <row r="41" spans="1:18" ht="18" customHeight="1">
      <c r="A41" s="188"/>
      <c r="B41" s="189"/>
      <c r="C41" s="190"/>
      <c r="D41" s="214" t="s">
        <v>758</v>
      </c>
      <c r="E41" s="186" t="s">
        <v>746</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749</v>
      </c>
      <c r="F42" s="196">
        <f ca="1">INDIRECT("'数据-取费表'!v"&amp;$G$1)</f>
        <v>0</v>
      </c>
      <c r="G42" s="935"/>
      <c r="H42" s="47"/>
      <c r="I42" s="947"/>
      <c r="J42" s="948"/>
      <c r="K42" s="1861"/>
      <c r="L42" s="47"/>
      <c r="M42" s="47"/>
    </row>
    <row r="43" spans="1:18" ht="18" customHeight="1" thickBot="1">
      <c r="A43" s="216" t="s">
        <v>390</v>
      </c>
      <c r="B43" s="217" t="s">
        <v>759</v>
      </c>
      <c r="C43" s="218" t="e">
        <f ca="1">ROUND(C40/F43,0)</f>
        <v>#DIV/0!</v>
      </c>
      <c r="D43" s="219" t="s">
        <v>760</v>
      </c>
      <c r="E43" s="220" t="s">
        <v>761</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3227</v>
      </c>
      <c r="B45" s="949"/>
      <c r="C45" s="1019" t="e">
        <f ca="1">ROUND((C68-C40)/10000,4)</f>
        <v>#DIV/0!</v>
      </c>
      <c r="D45" s="2474" t="s">
        <v>3228</v>
      </c>
      <c r="E45" s="949"/>
      <c r="F45" s="949"/>
      <c r="O45" s="952" t="s">
        <v>791</v>
      </c>
      <c r="P45" s="1008"/>
      <c r="Q45" s="1008"/>
      <c r="R45" s="1008"/>
    </row>
    <row r="46" spans="1:18" s="935" customFormat="1" ht="13.5" thickBot="1">
      <c r="A46" s="953" t="s">
        <v>792</v>
      </c>
      <c r="C46" s="954" t="e">
        <f ca="1">ROUND(C45,0)</f>
        <v>#DIV/0!</v>
      </c>
      <c r="D46" s="955" t="str">
        <f>C2</f>
        <v>万元</v>
      </c>
      <c r="I46" s="956" t="s">
        <v>793</v>
      </c>
      <c r="J46" s="957"/>
      <c r="K46" s="958"/>
      <c r="L46" s="959" t="e">
        <f ca="1">IF(M47="住宅",0,IF(L48&gt;J51,L60,J60))</f>
        <v>#DIV/0!</v>
      </c>
      <c r="O46" s="960" t="s">
        <v>794</v>
      </c>
      <c r="P46" s="961" t="s">
        <v>795</v>
      </c>
      <c r="Q46" s="962" t="s">
        <v>796</v>
      </c>
      <c r="R46" s="962" t="s">
        <v>797</v>
      </c>
    </row>
    <row r="47" spans="1:18" s="935" customFormat="1" ht="13.5" thickBot="1">
      <c r="A47" s="622" t="s">
        <v>671</v>
      </c>
      <c r="B47" s="654" t="s">
        <v>672</v>
      </c>
      <c r="C47" s="654" t="s">
        <v>673</v>
      </c>
      <c r="D47" s="654" t="s">
        <v>674</v>
      </c>
      <c r="E47" s="700" t="s">
        <v>675</v>
      </c>
      <c r="F47" s="701"/>
      <c r="G47" s="490"/>
      <c r="I47" s="963" t="s">
        <v>798</v>
      </c>
      <c r="J47" s="964"/>
      <c r="K47" s="965" t="s">
        <v>799</v>
      </c>
      <c r="L47" s="966">
        <f ca="1">INDIRECT("'数据-取费表'!d"&amp;$G$1)</f>
        <v>0</v>
      </c>
      <c r="M47" s="931" t="str">
        <f>IF(ISNUMBER(FIND("住宅",C1)),"住宅","非住宅")</f>
        <v>非住宅</v>
      </c>
      <c r="O47" s="967" t="s">
        <v>397</v>
      </c>
      <c r="P47" s="968" t="s">
        <v>800</v>
      </c>
      <c r="Q47" s="969" t="e">
        <f ca="1">C40+J29</f>
        <v>#DIV/0!</v>
      </c>
      <c r="R47" s="969" t="s">
        <v>801</v>
      </c>
    </row>
    <row r="48" spans="1:18" s="935" customFormat="1" ht="28.5" thickBot="1">
      <c r="A48" s="744" t="s">
        <v>432</v>
      </c>
      <c r="B48" s="184" t="s">
        <v>676</v>
      </c>
      <c r="C48" s="911">
        <f ca="1">C49+C53+C55</f>
        <v>0</v>
      </c>
      <c r="D48" s="746"/>
      <c r="E48" s="747"/>
      <c r="F48" s="638"/>
      <c r="G48" s="490"/>
      <c r="H48" s="491"/>
      <c r="I48" s="970" t="s">
        <v>802</v>
      </c>
      <c r="J48" s="971"/>
      <c r="K48" s="972" t="s">
        <v>803</v>
      </c>
      <c r="L48" s="973">
        <f ca="1">INDIRECT("'数据-取费表'!f"&amp;$G$1)</f>
        <v>0</v>
      </c>
      <c r="O48" s="967" t="s">
        <v>398</v>
      </c>
      <c r="P48" s="968" t="s">
        <v>804</v>
      </c>
      <c r="Q48" s="969" t="e">
        <f ca="1">J60</f>
        <v>#DIV/0!</v>
      </c>
      <c r="R48" s="969" t="s">
        <v>805</v>
      </c>
    </row>
    <row r="49" spans="1:18" s="935" customFormat="1" ht="13.5" thickBot="1">
      <c r="A49" s="651" t="s">
        <v>433</v>
      </c>
      <c r="B49" s="922" t="s">
        <v>762</v>
      </c>
      <c r="C49" s="748">
        <f ca="1">ROUND(F49*F51*F50*(1-F52),0)</f>
        <v>0</v>
      </c>
      <c r="D49" s="697" t="s">
        <v>678</v>
      </c>
      <c r="E49" s="923" t="s">
        <v>763</v>
      </c>
      <c r="F49" s="702"/>
      <c r="H49" s="491"/>
      <c r="I49" s="970" t="s">
        <v>806</v>
      </c>
      <c r="J49" s="974"/>
      <c r="K49" s="972" t="s">
        <v>807</v>
      </c>
      <c r="L49" s="975"/>
      <c r="O49" s="976" t="s">
        <v>399</v>
      </c>
      <c r="P49" s="968" t="s">
        <v>808</v>
      </c>
      <c r="Q49" s="969">
        <f ca="1">C29</f>
        <v>0</v>
      </c>
      <c r="R49" s="969" t="s">
        <v>801</v>
      </c>
    </row>
    <row r="50" spans="1:18" s="935" customFormat="1" ht="13.5" thickBot="1">
      <c r="A50" s="652"/>
      <c r="B50" s="655"/>
      <c r="C50" s="656"/>
      <c r="D50" s="629"/>
      <c r="E50" s="698" t="s">
        <v>680</v>
      </c>
      <c r="F50" s="699">
        <f ca="1">F7</f>
        <v>0</v>
      </c>
      <c r="H50" s="491"/>
      <c r="I50" s="970" t="s">
        <v>809</v>
      </c>
      <c r="J50" s="977">
        <f>SUMPRODUCT((I63:I65=J47)*(J62:L62=J48)*(J63:L65))</f>
        <v>0</v>
      </c>
      <c r="K50" s="972" t="s">
        <v>810</v>
      </c>
      <c r="L50" s="975"/>
      <c r="M50" s="978"/>
      <c r="O50" s="976" t="s">
        <v>400</v>
      </c>
      <c r="P50" s="968" t="s">
        <v>811</v>
      </c>
      <c r="Q50" s="979" t="e">
        <f ca="1">J58</f>
        <v>#DIV/0!</v>
      </c>
      <c r="R50" s="969"/>
    </row>
    <row r="51" spans="1:18" s="935" customFormat="1" ht="13.5" thickBot="1">
      <c r="A51" s="653"/>
      <c r="B51" s="655"/>
      <c r="C51" s="656"/>
      <c r="D51" s="629"/>
      <c r="E51" s="657" t="s">
        <v>681</v>
      </c>
      <c r="F51" s="187">
        <f ca="1">F8</f>
        <v>0</v>
      </c>
      <c r="I51" s="980" t="s">
        <v>812</v>
      </c>
      <c r="J51" s="973">
        <f>IF(J49="",J50,J49+J50-YEAR('数据-取费表'!B2))</f>
        <v>0</v>
      </c>
      <c r="K51" s="981" t="s">
        <v>813</v>
      </c>
      <c r="L51" s="982">
        <f ca="1">ROUND(-PV(INDIRECT("'数据-取费表'!h"&amp;$G$1),J51,(C39-C13*C76),0),0)</f>
        <v>0</v>
      </c>
      <c r="M51" s="983"/>
      <c r="O51" s="976" t="s">
        <v>401</v>
      </c>
      <c r="P51" s="968" t="s">
        <v>814</v>
      </c>
      <c r="Q51" s="979">
        <f>J52</f>
        <v>0</v>
      </c>
      <c r="R51" s="969"/>
    </row>
    <row r="52" spans="1:18" s="935" customFormat="1" ht="13.5" thickBot="1">
      <c r="A52" s="653"/>
      <c r="B52" s="655"/>
      <c r="C52" s="656"/>
      <c r="D52" s="629"/>
      <c r="E52" s="657" t="s">
        <v>682</v>
      </c>
      <c r="F52" s="696"/>
      <c r="I52" s="984" t="s">
        <v>815</v>
      </c>
      <c r="J52" s="985"/>
      <c r="K52" s="984" t="s">
        <v>816</v>
      </c>
      <c r="L52" s="985"/>
      <c r="O52" s="976" t="s">
        <v>402</v>
      </c>
      <c r="P52" s="968" t="s">
        <v>817</v>
      </c>
      <c r="Q52" s="969">
        <f ca="1">J53</f>
        <v>0</v>
      </c>
      <c r="R52" s="969" t="s">
        <v>818</v>
      </c>
    </row>
    <row r="53" spans="1:18" s="935" customFormat="1" ht="30.75" customHeight="1" thickBot="1">
      <c r="A53" s="745" t="s">
        <v>434</v>
      </c>
      <c r="B53" s="206" t="s">
        <v>683</v>
      </c>
      <c r="C53" s="200">
        <f ca="1">ROUND(IF(F53="押一",C49/12*F11,IF(F53="押二",C49/12*2*F11,IF(F53="押三",C49/12*3*F11,C54*F11))),0)</f>
        <v>0</v>
      </c>
      <c r="D53" s="59" t="s">
        <v>2021</v>
      </c>
      <c r="E53" s="197" t="s">
        <v>684</v>
      </c>
      <c r="F53" s="749"/>
      <c r="I53" s="986" t="s">
        <v>819</v>
      </c>
      <c r="J53" s="1590">
        <f ca="1">IF(M47="住宅",IF(D1="——",MAX(J51,L48),MAX(J51,L48-'数据-取费表'!B24)),IF(D1="——",MIN(J51,L48),MIN(J51,L48-'数据-取费表'!B24)))</f>
        <v>0</v>
      </c>
      <c r="K53" s="4499" t="s">
        <v>820</v>
      </c>
      <c r="L53" s="4500"/>
      <c r="O53" s="967" t="s">
        <v>403</v>
      </c>
      <c r="P53" s="968" t="s">
        <v>821</v>
      </c>
      <c r="Q53" s="969" t="e">
        <f ca="1">Q47+Q48</f>
        <v>#DIV/0!</v>
      </c>
      <c r="R53" s="969" t="s">
        <v>404</v>
      </c>
    </row>
    <row r="54" spans="1:18" s="935" customFormat="1" ht="13.5" thickBot="1">
      <c r="A54" s="651"/>
      <c r="B54" s="1020" t="s">
        <v>873</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822</v>
      </c>
      <c r="P54" s="932"/>
      <c r="Q54" s="932"/>
      <c r="R54" s="932"/>
    </row>
    <row r="55" spans="1:18" s="935" customFormat="1" ht="13.5" thickBot="1">
      <c r="A55" s="720" t="s">
        <v>431</v>
      </c>
      <c r="B55" s="920" t="s">
        <v>686</v>
      </c>
      <c r="C55" s="721"/>
      <c r="D55" s="59"/>
      <c r="E55" s="925"/>
      <c r="F55" s="987"/>
      <c r="I55" s="990" t="s">
        <v>823</v>
      </c>
      <c r="J55" s="991" t="e">
        <f ca="1">ROUND(IF(J47="钢混",J57/J50,1-(1-2%)*(J50-J57)/J50),3)</f>
        <v>#DIV/0!</v>
      </c>
      <c r="K55" s="992" t="s">
        <v>824</v>
      </c>
      <c r="L55" s="993"/>
      <c r="O55" s="960" t="s">
        <v>794</v>
      </c>
      <c r="P55" s="961" t="s">
        <v>795</v>
      </c>
      <c r="Q55" s="962" t="s">
        <v>796</v>
      </c>
      <c r="R55" s="962" t="s">
        <v>797</v>
      </c>
    </row>
    <row r="56" spans="1:18" s="935" customFormat="1" ht="36" customHeight="1" thickTop="1" thickBot="1">
      <c r="A56" s="633">
        <v>2</v>
      </c>
      <c r="B56" s="634" t="s">
        <v>687</v>
      </c>
      <c r="C56" s="127">
        <f ca="1">C13</f>
        <v>0</v>
      </c>
      <c r="D56" s="994"/>
      <c r="E56" s="995"/>
      <c r="F56" s="987"/>
      <c r="I56" s="996" t="s">
        <v>825</v>
      </c>
      <c r="J56" s="997"/>
      <c r="K56" s="970" t="s">
        <v>826</v>
      </c>
      <c r="L56" s="973">
        <f ca="1">IF(L48&lt;J51,"——",L48-J51)</f>
        <v>0</v>
      </c>
      <c r="O56" s="967" t="s">
        <v>397</v>
      </c>
      <c r="P56" s="968" t="s">
        <v>800</v>
      </c>
      <c r="Q56" s="969" t="e">
        <f ca="1">C40+J29</f>
        <v>#DIV/0!</v>
      </c>
      <c r="R56" s="969" t="s">
        <v>801</v>
      </c>
    </row>
    <row r="57" spans="1:18" s="935" customFormat="1" ht="24.75" thickBot="1">
      <c r="A57" s="998"/>
      <c r="B57" s="626" t="s">
        <v>750</v>
      </c>
      <c r="C57" s="133">
        <f ca="1">C29</f>
        <v>0</v>
      </c>
      <c r="D57" s="999"/>
      <c r="E57" s="1000"/>
      <c r="F57" s="1001"/>
      <c r="I57" s="1002" t="s">
        <v>827</v>
      </c>
      <c r="J57" s="1003">
        <f ca="1">IF(OR(M47="住宅",J51&lt;L48,J56="是"),"——",J51-L48)</f>
        <v>0</v>
      </c>
      <c r="K57" s="970" t="s">
        <v>874</v>
      </c>
      <c r="L57" s="973">
        <f ca="1">IF(L48&lt;J51,"——",IF(L55="比较法",L49,IF(L55="基准地价",L50,L51)))</f>
        <v>0</v>
      </c>
      <c r="O57" s="967" t="s">
        <v>398</v>
      </c>
      <c r="P57" s="968" t="s">
        <v>875</v>
      </c>
      <c r="Q57" s="969" t="e">
        <f ca="1">L60</f>
        <v>#DIV/0!</v>
      </c>
      <c r="R57" s="969" t="s">
        <v>876</v>
      </c>
    </row>
    <row r="58" spans="1:18" s="935" customFormat="1" ht="24.75" thickBot="1">
      <c r="A58" s="199" t="s">
        <v>387</v>
      </c>
      <c r="B58" s="634" t="s">
        <v>697</v>
      </c>
      <c r="C58" s="200">
        <f ca="1">ROUND(C59+C64+C65+C66,0)</f>
        <v>0</v>
      </c>
      <c r="D58" s="636" t="s">
        <v>698</v>
      </c>
      <c r="E58" s="637"/>
      <c r="F58" s="638"/>
      <c r="I58" s="1002" t="s">
        <v>830</v>
      </c>
      <c r="J58" s="1004" t="e">
        <f ca="1">IF(J55&lt;0.4,0.4,J55)</f>
        <v>#DIV/0!</v>
      </c>
      <c r="K58" s="981" t="s">
        <v>877</v>
      </c>
      <c r="L58" s="973" t="e">
        <f ca="1">ROUND(POWER(1+L52,L47-L48)*(POWER(1+L52,L48)-1)/(POWER(1+L52,L47)-1),4)</f>
        <v>#DIV/0!</v>
      </c>
      <c r="O58" s="976" t="s">
        <v>399</v>
      </c>
      <c r="P58" s="968" t="s">
        <v>832</v>
      </c>
      <c r="Q58" s="969">
        <f>IF(L55="比较法",L49,IF(L55="基准地价",L50,0))</f>
        <v>0</v>
      </c>
      <c r="R58" s="969" t="s">
        <v>801</v>
      </c>
    </row>
    <row r="59" spans="1:18" s="935" customFormat="1" ht="24.75" thickBot="1">
      <c r="A59" s="658" t="s">
        <v>392</v>
      </c>
      <c r="B59" s="626" t="s">
        <v>702</v>
      </c>
      <c r="C59" s="1693">
        <f ca="1">ROUND(IF(AND(项目基本情况!B11="自然人",项目基本情况!B10="北京市"),C49*F59/(1+'数据-取费表'!C43),C60+C61+C62),0)</f>
        <v>0</v>
      </c>
      <c r="D59" s="639" t="s">
        <v>703</v>
      </c>
      <c r="E59" s="640" t="s">
        <v>704</v>
      </c>
      <c r="F59" s="1692" t="str">
        <f>IF(项目基本情况!B11="企业","——",IF('数据-取费表'!B10="住宅",IF(F49*F50*F51/12/(1+'数据-取费表'!F30)&gt;100000,4%,2.5%),IF(F49*F50*F51/12/(1+'数据-取费表'!F30)&gt;100000,12%,7%)))</f>
        <v>——</v>
      </c>
      <c r="I59" s="1002" t="s">
        <v>833</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834</v>
      </c>
      <c r="Q59" s="979">
        <f>L52</f>
        <v>0</v>
      </c>
      <c r="R59" s="969"/>
    </row>
    <row r="60" spans="1:18" s="935" customFormat="1" ht="16.5" thickBot="1">
      <c r="A60" s="658" t="s">
        <v>391</v>
      </c>
      <c r="B60" s="626" t="s">
        <v>706</v>
      </c>
      <c r="C60" s="12">
        <f ca="1">IF(项目基本情况!B11="自然人","——",ROUND(C48*F60/(1+'数据-取费表'!C43),0))</f>
        <v>0</v>
      </c>
      <c r="D60" s="640" t="s">
        <v>707</v>
      </c>
      <c r="E60" s="626" t="s">
        <v>695</v>
      </c>
      <c r="F60" s="213">
        <f t="shared" ref="F60:F66" si="0">F32</f>
        <v>0</v>
      </c>
      <c r="I60" s="1005" t="s">
        <v>835</v>
      </c>
      <c r="J60" s="1006" t="e">
        <f ca="1">IF(OR(M47="住宅",J51&lt;L48,J56="是"),"0",ROUND(J59/(1+J52)^J53,0))</f>
        <v>#DIV/0!</v>
      </c>
      <c r="K60" s="1007" t="s">
        <v>836</v>
      </c>
      <c r="L60" s="1006" t="e">
        <f ca="1">IF(OR(M47="住宅",L48&lt;J51),0,ROUND(L57*(L58/L59-1),0))</f>
        <v>#DIV/0!</v>
      </c>
      <c r="O60" s="976" t="s">
        <v>401</v>
      </c>
      <c r="P60" s="968" t="s">
        <v>837</v>
      </c>
      <c r="Q60" s="969" t="e">
        <f ca="1">L58</f>
        <v>#DIV/0!</v>
      </c>
      <c r="R60" s="969" t="s">
        <v>838</v>
      </c>
    </row>
    <row r="61" spans="1:18" s="935" customFormat="1" ht="13.5" thickBot="1">
      <c r="A61" s="658" t="s">
        <v>764</v>
      </c>
      <c r="B61" s="626" t="s">
        <v>765</v>
      </c>
      <c r="C61" s="12">
        <f ca="1">IF(项目基本情况!B11="自然人","——",IF(D61="按租金收入计税",ROUND(C49*F61/(1+'数据-取费表'!C43),0),IF(D61="按房产原值计税",ROUND(C57*F61*0.7,0),INDIRECT("'数据-取费表'!Aj"&amp;$G$1))))</f>
        <v>0</v>
      </c>
      <c r="D61" s="921" t="s">
        <v>3211</v>
      </c>
      <c r="E61" s="626" t="s">
        <v>766</v>
      </c>
      <c r="F61" s="205">
        <f t="shared" si="0"/>
        <v>0.12</v>
      </c>
      <c r="I61" s="1008"/>
      <c r="J61" s="1008"/>
      <c r="K61" s="1008"/>
      <c r="L61" s="1008"/>
      <c r="O61" s="976" t="s">
        <v>402</v>
      </c>
      <c r="P61" s="968" t="str">
        <f>K59</f>
        <v>建筑物剩余耐用年限下的土地年期修正系数Kn</v>
      </c>
      <c r="Q61" s="969" t="e">
        <f ca="1">L59</f>
        <v>#DIV/0!</v>
      </c>
      <c r="R61" s="969" t="s">
        <v>839</v>
      </c>
    </row>
    <row r="62" spans="1:18" s="935" customFormat="1" ht="13.5" thickBot="1">
      <c r="A62" s="658" t="s">
        <v>767</v>
      </c>
      <c r="B62" s="625" t="s">
        <v>768</v>
      </c>
      <c r="C62" s="13">
        <f ca="1">IF(项目基本情况!B11="自然人","——",ROUND(F62*F63,0))</f>
        <v>0</v>
      </c>
      <c r="D62" s="641" t="s">
        <v>769</v>
      </c>
      <c r="E62" s="626" t="s">
        <v>770</v>
      </c>
      <c r="F62" s="208">
        <f t="shared" si="0"/>
        <v>24</v>
      </c>
      <c r="I62" s="1009" t="s">
        <v>840</v>
      </c>
      <c r="J62" s="1010" t="s">
        <v>841</v>
      </c>
      <c r="K62" s="1010" t="s">
        <v>842</v>
      </c>
      <c r="L62" s="1010" t="s">
        <v>843</v>
      </c>
      <c r="M62" s="1011" t="s">
        <v>844</v>
      </c>
      <c r="O62" s="967" t="s">
        <v>403</v>
      </c>
      <c r="P62" s="968" t="s">
        <v>845</v>
      </c>
      <c r="Q62" s="969" t="e">
        <f ca="1">Q56+Q57</f>
        <v>#DIV/0!</v>
      </c>
      <c r="R62" s="969" t="s">
        <v>404</v>
      </c>
    </row>
    <row r="63" spans="1:18" s="935" customFormat="1" ht="13.5" thickBot="1">
      <c r="A63" s="209"/>
      <c r="B63" s="632"/>
      <c r="C63" s="17"/>
      <c r="D63" s="642"/>
      <c r="E63" s="626" t="s">
        <v>771</v>
      </c>
      <c r="F63" s="187">
        <f t="shared" ca="1" si="0"/>
        <v>0</v>
      </c>
      <c r="I63" s="1009" t="s">
        <v>846</v>
      </c>
      <c r="J63" s="1010">
        <v>70</v>
      </c>
      <c r="K63" s="1010">
        <v>50</v>
      </c>
      <c r="L63" s="1010">
        <v>80</v>
      </c>
      <c r="M63" s="1012">
        <v>0.02</v>
      </c>
      <c r="O63" s="952" t="s">
        <v>847</v>
      </c>
      <c r="P63" s="932"/>
      <c r="Q63" s="932"/>
      <c r="R63" s="932"/>
    </row>
    <row r="64" spans="1:18" s="935" customFormat="1" ht="13.5" thickBot="1">
      <c r="A64" s="658" t="s">
        <v>772</v>
      </c>
      <c r="B64" s="626" t="s">
        <v>773</v>
      </c>
      <c r="C64" s="12">
        <f ca="1">ROUND(C57*F64,0)</f>
        <v>0</v>
      </c>
      <c r="D64" s="640" t="s">
        <v>774</v>
      </c>
      <c r="E64" s="626" t="s">
        <v>766</v>
      </c>
      <c r="F64" s="211">
        <f t="shared" ca="1" si="0"/>
        <v>0</v>
      </c>
      <c r="I64" s="1009" t="s">
        <v>848</v>
      </c>
      <c r="J64" s="1010">
        <v>50</v>
      </c>
      <c r="K64" s="1010">
        <v>35</v>
      </c>
      <c r="L64" s="1010">
        <v>60</v>
      </c>
      <c r="M64" s="1011">
        <v>0</v>
      </c>
      <c r="O64" s="960" t="s">
        <v>794</v>
      </c>
      <c r="P64" s="961" t="s">
        <v>795</v>
      </c>
      <c r="Q64" s="962" t="s">
        <v>796</v>
      </c>
      <c r="R64" s="962" t="s">
        <v>797</v>
      </c>
    </row>
    <row r="65" spans="1:18" s="935" customFormat="1" ht="13.5" thickBot="1">
      <c r="A65" s="658" t="s">
        <v>775</v>
      </c>
      <c r="B65" s="626" t="s">
        <v>725</v>
      </c>
      <c r="C65" s="12">
        <f ca="1">ROUND(C56*F65,0)</f>
        <v>0</v>
      </c>
      <c r="D65" s="640" t="s">
        <v>726</v>
      </c>
      <c r="E65" s="626" t="s">
        <v>727</v>
      </c>
      <c r="F65" s="212">
        <f t="shared" ca="1" si="0"/>
        <v>0</v>
      </c>
      <c r="I65" s="1009" t="s">
        <v>849</v>
      </c>
      <c r="J65" s="1010">
        <v>40</v>
      </c>
      <c r="K65" s="1010">
        <v>30</v>
      </c>
      <c r="L65" s="1010">
        <v>50</v>
      </c>
      <c r="M65" s="1012">
        <v>0.02</v>
      </c>
      <c r="O65" s="967" t="s">
        <v>397</v>
      </c>
      <c r="P65" s="968" t="s">
        <v>850</v>
      </c>
      <c r="Q65" s="969" t="e">
        <f ca="1">C40+J29</f>
        <v>#DIV/0!</v>
      </c>
      <c r="R65" s="969" t="s">
        <v>801</v>
      </c>
    </row>
    <row r="66" spans="1:18" s="935" customFormat="1" ht="16.5" thickBot="1">
      <c r="A66" s="658" t="s">
        <v>776</v>
      </c>
      <c r="B66" s="626" t="s">
        <v>711</v>
      </c>
      <c r="C66" s="12">
        <f ca="1">ROUND(C48*F66,0)</f>
        <v>0</v>
      </c>
      <c r="D66" s="640" t="s">
        <v>777</v>
      </c>
      <c r="E66" s="626" t="s">
        <v>695</v>
      </c>
      <c r="F66" s="196">
        <f t="shared" ca="1" si="0"/>
        <v>0</v>
      </c>
      <c r="O66" s="967" t="s">
        <v>398</v>
      </c>
      <c r="P66" s="968" t="s">
        <v>829</v>
      </c>
      <c r="Q66" s="969" t="e">
        <f ca="1">L60</f>
        <v>#DIV/0!</v>
      </c>
      <c r="R66" s="969" t="s">
        <v>851</v>
      </c>
    </row>
    <row r="67" spans="1:18" s="935" customFormat="1" ht="16.5" thickBot="1">
      <c r="A67" s="633" t="s">
        <v>388</v>
      </c>
      <c r="B67" s="643" t="s">
        <v>735</v>
      </c>
      <c r="C67" s="200">
        <f ca="1">C48-C58</f>
        <v>0</v>
      </c>
      <c r="D67" s="639" t="s">
        <v>736</v>
      </c>
      <c r="E67" s="644"/>
      <c r="F67" s="645"/>
      <c r="O67" s="976" t="s">
        <v>399</v>
      </c>
      <c r="P67" s="968" t="s">
        <v>832</v>
      </c>
      <c r="Q67" s="1013">
        <f ca="1">L51</f>
        <v>0</v>
      </c>
      <c r="R67" s="969" t="s">
        <v>852</v>
      </c>
    </row>
    <row r="68" spans="1:18" s="935" customFormat="1" ht="16.5" thickBot="1">
      <c r="A68" s="623" t="s">
        <v>389</v>
      </c>
      <c r="B68" s="624" t="s">
        <v>757</v>
      </c>
      <c r="C68" s="185" t="e">
        <f ca="1">ROUND(C67*(1-((1+F70)/(1+F68))^F69)/(F68-F70),0)</f>
        <v>#DIV/0!</v>
      </c>
      <c r="D68" s="641" t="s">
        <v>741</v>
      </c>
      <c r="E68" s="626" t="s">
        <v>742</v>
      </c>
      <c r="F68" s="196">
        <f ca="1">F40</f>
        <v>0</v>
      </c>
      <c r="O68" s="976" t="s">
        <v>400</v>
      </c>
      <c r="P68" s="1014" t="s">
        <v>853</v>
      </c>
      <c r="Q68" s="969">
        <f ca="1">ROUND(Q69-Q70*Q71,0)</f>
        <v>0</v>
      </c>
      <c r="R68" s="969" t="s">
        <v>408</v>
      </c>
    </row>
    <row r="69" spans="1:18" s="935" customFormat="1" ht="13.5" thickBot="1">
      <c r="A69" s="627"/>
      <c r="B69" s="628"/>
      <c r="C69" s="190"/>
      <c r="D69" s="646" t="s">
        <v>745</v>
      </c>
      <c r="E69" s="626" t="s">
        <v>746</v>
      </c>
      <c r="F69" s="215">
        <f ca="1">F41</f>
        <v>0</v>
      </c>
      <c r="O69" s="976" t="s">
        <v>405</v>
      </c>
      <c r="P69" s="1014" t="s">
        <v>854</v>
      </c>
      <c r="Q69" s="969">
        <f ca="1">C39</f>
        <v>0</v>
      </c>
      <c r="R69" s="969" t="s">
        <v>801</v>
      </c>
    </row>
    <row r="70" spans="1:18" s="935" customFormat="1" ht="13.5" thickBot="1">
      <c r="A70" s="630"/>
      <c r="B70" s="631"/>
      <c r="C70" s="194"/>
      <c r="D70" s="642"/>
      <c r="E70" s="626" t="s">
        <v>749</v>
      </c>
      <c r="F70" s="696"/>
      <c r="O70" s="976" t="s">
        <v>406</v>
      </c>
      <c r="P70" s="1014" t="s">
        <v>855</v>
      </c>
      <c r="Q70" s="969">
        <f ca="1">C13</f>
        <v>0</v>
      </c>
      <c r="R70" s="969" t="s">
        <v>801</v>
      </c>
    </row>
    <row r="71" spans="1:18" s="935" customFormat="1" ht="13.5" thickBot="1">
      <c r="A71" s="647" t="s">
        <v>390</v>
      </c>
      <c r="B71" s="648" t="s">
        <v>759</v>
      </c>
      <c r="C71" s="218" t="e">
        <f ca="1">ROUND(C68/F71,0)</f>
        <v>#DIV/0!</v>
      </c>
      <c r="D71" s="649" t="s">
        <v>760</v>
      </c>
      <c r="E71" s="650" t="s">
        <v>761</v>
      </c>
      <c r="F71" s="221">
        <f ca="1">F43</f>
        <v>0</v>
      </c>
      <c r="O71" s="976" t="s">
        <v>407</v>
      </c>
      <c r="P71" s="1014" t="s">
        <v>856</v>
      </c>
      <c r="Q71" s="979">
        <f ca="1">C76</f>
        <v>0</v>
      </c>
      <c r="R71" s="969"/>
    </row>
    <row r="72" spans="1:18" s="935" customFormat="1" ht="13.5" thickBot="1">
      <c r="B72" s="494"/>
      <c r="C72" s="494"/>
      <c r="O72" s="976" t="s">
        <v>401</v>
      </c>
      <c r="P72" s="968" t="s">
        <v>834</v>
      </c>
      <c r="Q72" s="979">
        <f>L52</f>
        <v>0</v>
      </c>
      <c r="R72" s="969"/>
    </row>
    <row r="73" spans="1:18" ht="16.5" thickBot="1">
      <c r="A73" s="935"/>
      <c r="B73" s="494"/>
      <c r="C73" s="494"/>
      <c r="D73" s="935"/>
      <c r="E73" s="935"/>
      <c r="F73" s="935"/>
      <c r="O73" s="976" t="s">
        <v>402</v>
      </c>
      <c r="P73" s="968" t="s">
        <v>837</v>
      </c>
      <c r="Q73" s="969" t="e">
        <f ca="1">L58</f>
        <v>#DIV/0!</v>
      </c>
      <c r="R73" s="969" t="s">
        <v>838</v>
      </c>
    </row>
    <row r="74" spans="1:18" ht="13.5" thickBot="1">
      <c r="A74" s="935"/>
      <c r="B74" s="168" t="s">
        <v>857</v>
      </c>
      <c r="C74" s="1016"/>
      <c r="D74" s="935"/>
      <c r="E74" s="935"/>
      <c r="F74" s="935"/>
      <c r="O74" s="976" t="s">
        <v>409</v>
      </c>
      <c r="P74" s="968" t="str">
        <f>K59</f>
        <v>建筑物剩余耐用年限下的土地年期修正系数Kn</v>
      </c>
      <c r="Q74" s="969" t="e">
        <f ca="1">L59</f>
        <v>#DIV/0!</v>
      </c>
      <c r="R74" s="969" t="s">
        <v>839</v>
      </c>
    </row>
    <row r="75" spans="1:18" ht="13.5" thickBot="1">
      <c r="A75" s="935"/>
      <c r="B75" s="222" t="s">
        <v>778</v>
      </c>
      <c r="C75" s="223">
        <f ca="1">ROUND(C13*C76,0)</f>
        <v>0</v>
      </c>
      <c r="D75" s="935"/>
      <c r="E75" s="935"/>
      <c r="F75" s="935"/>
      <c r="K75" s="951"/>
      <c r="L75" s="935"/>
      <c r="O75" s="967" t="s">
        <v>403</v>
      </c>
      <c r="P75" s="968" t="s">
        <v>821</v>
      </c>
      <c r="Q75" s="969" t="e">
        <f ca="1">Q65+Q66</f>
        <v>#DIV/0!</v>
      </c>
      <c r="R75" s="969" t="s">
        <v>404</v>
      </c>
    </row>
    <row r="76" spans="1:18">
      <c r="B76" s="224" t="s">
        <v>779</v>
      </c>
      <c r="C76" s="225">
        <f ca="1">INDIRECT("'数据-取费表'!j"&amp;$G$1)</f>
        <v>0</v>
      </c>
      <c r="I76" s="935"/>
      <c r="J76" s="935"/>
      <c r="K76" s="951"/>
      <c r="L76" s="935"/>
    </row>
    <row r="77" spans="1:18">
      <c r="B77" s="226" t="s">
        <v>780</v>
      </c>
      <c r="C77" s="227"/>
      <c r="I77" s="935"/>
      <c r="J77" s="935"/>
      <c r="K77" s="951"/>
      <c r="L77" s="935"/>
    </row>
    <row r="78" spans="1:18">
      <c r="B78" s="165" t="s">
        <v>781</v>
      </c>
      <c r="C78" s="228"/>
    </row>
    <row r="79" spans="1:18">
      <c r="B79" s="222" t="s">
        <v>782</v>
      </c>
      <c r="C79" s="169" t="e">
        <f ca="1">1-C80</f>
        <v>#DIV/0!</v>
      </c>
    </row>
    <row r="80" spans="1:18">
      <c r="B80" s="222" t="s">
        <v>783</v>
      </c>
      <c r="C80" s="169" t="e">
        <f ca="1">ROUND(C75/C39,3)</f>
        <v>#DIV/0!</v>
      </c>
    </row>
    <row r="81" spans="2:3">
      <c r="B81" s="165" t="s">
        <v>784</v>
      </c>
      <c r="C81" s="133"/>
    </row>
    <row r="82" spans="2:3">
      <c r="B82" s="168" t="s">
        <v>785</v>
      </c>
      <c r="C82" s="170" t="e">
        <f ca="1">1-C83</f>
        <v>#DIV/0!</v>
      </c>
    </row>
    <row r="83" spans="2:3">
      <c r="B83" s="168" t="s">
        <v>786</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35" sqref="J3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2313</v>
      </c>
      <c r="B1" s="2056"/>
      <c r="C1" s="2067"/>
      <c r="D1" s="2067"/>
      <c r="E1" s="2057"/>
      <c r="F1" s="2058"/>
      <c r="G1" s="2059"/>
      <c r="J1" s="2062" t="s">
        <v>2198</v>
      </c>
      <c r="K1" s="2063"/>
      <c r="L1" s="2063"/>
      <c r="M1" s="2063"/>
      <c r="N1" s="2063"/>
      <c r="O1" s="2063"/>
      <c r="P1" s="2063"/>
      <c r="Q1" s="2063"/>
      <c r="R1" s="2064"/>
      <c r="S1" s="2065"/>
      <c r="T1" s="2065"/>
      <c r="U1" s="2065"/>
    </row>
    <row r="2" spans="1:22" s="2076" customFormat="1" ht="13.15" customHeight="1">
      <c r="A2" s="936" t="s">
        <v>2199</v>
      </c>
      <c r="B2" s="3441" t="e">
        <f>IF(D2="——",C40,C40+E2)</f>
        <v>#DIV/0!</v>
      </c>
      <c r="C2" s="2067" t="s">
        <v>2200</v>
      </c>
      <c r="D2" s="2480" t="s">
        <v>3234</v>
      </c>
      <c r="E2" s="2481"/>
      <c r="F2" s="2069"/>
      <c r="G2" s="2070"/>
      <c r="H2" s="2071"/>
      <c r="I2" s="2072"/>
      <c r="J2" s="4505" t="s">
        <v>2201</v>
      </c>
      <c r="K2" s="4506"/>
      <c r="L2" s="2073" t="s">
        <v>2202</v>
      </c>
      <c r="M2" s="2073" t="s">
        <v>2203</v>
      </c>
      <c r="N2" s="2073" t="s">
        <v>2204</v>
      </c>
      <c r="O2" s="2073" t="s">
        <v>2205</v>
      </c>
      <c r="P2" s="2073" t="s">
        <v>2206</v>
      </c>
      <c r="Q2" s="2074" t="s">
        <v>2207</v>
      </c>
      <c r="R2" s="2075" t="s">
        <v>2208</v>
      </c>
      <c r="S2" s="2065"/>
      <c r="T2" s="2065"/>
      <c r="U2" s="2065"/>
      <c r="V2" s="2072"/>
    </row>
    <row r="3" spans="1:22" s="2076" customFormat="1" ht="13.15" customHeight="1">
      <c r="A3" s="2077" t="s">
        <v>2209</v>
      </c>
      <c r="B3" s="3442" t="e">
        <f>ROUND(B2*10000/B4,0)</f>
        <v>#DIV/0!</v>
      </c>
      <c r="C3" s="2067" t="s">
        <v>2210</v>
      </c>
      <c r="D3" s="2067"/>
      <c r="E3" s="2068"/>
      <c r="F3" s="2069"/>
      <c r="G3" s="2070"/>
      <c r="H3" s="2071"/>
      <c r="I3" s="2072"/>
      <c r="J3" s="4507" t="s">
        <v>2211</v>
      </c>
      <c r="K3" s="4508"/>
      <c r="L3" s="2078"/>
      <c r="M3" s="2078"/>
      <c r="N3" s="2078"/>
      <c r="O3" s="2078"/>
      <c r="P3" s="2078"/>
      <c r="Q3" s="2079"/>
      <c r="R3" s="2080">
        <f>SUM(L3:Q3)</f>
        <v>0</v>
      </c>
      <c r="S3" s="2065"/>
      <c r="T3" s="2065"/>
      <c r="U3" s="2065"/>
      <c r="V3" s="2072"/>
    </row>
    <row r="4" spans="1:22" s="2076" customFormat="1" ht="13.15" customHeight="1">
      <c r="A4" s="2081" t="s">
        <v>2212</v>
      </c>
      <c r="B4" s="2114"/>
      <c r="C4" s="2067"/>
      <c r="D4" s="2067"/>
      <c r="E4" s="2068"/>
      <c r="F4" s="2069"/>
      <c r="G4" s="2070"/>
      <c r="H4" s="2071"/>
      <c r="I4" s="2072"/>
      <c r="J4" s="4507" t="s">
        <v>2213</v>
      </c>
      <c r="K4" s="4508"/>
      <c r="L4" s="2083"/>
      <c r="M4" s="2083"/>
      <c r="N4" s="2083"/>
      <c r="O4" s="2083"/>
      <c r="P4" s="2083"/>
      <c r="Q4" s="2084"/>
      <c r="R4" s="2085">
        <f>SUM(L4:Q4)</f>
        <v>0</v>
      </c>
      <c r="S4" s="2065"/>
      <c r="T4" s="2065"/>
      <c r="U4" s="2065"/>
      <c r="V4" s="2072"/>
    </row>
    <row r="5" spans="1:22" s="2076" customFormat="1" ht="13.15" customHeight="1" thickBot="1">
      <c r="A5" s="2086" t="s">
        <v>2214</v>
      </c>
      <c r="B5" s="3443"/>
      <c r="C5" s="2067"/>
      <c r="D5" s="2087"/>
      <c r="E5" s="2069"/>
      <c r="F5" s="2069"/>
      <c r="G5" s="2070"/>
      <c r="H5" s="2071"/>
      <c r="I5" s="2072"/>
      <c r="J5" s="2088" t="s">
        <v>2215</v>
      </c>
      <c r="K5" s="2089"/>
      <c r="L5" s="2089"/>
      <c r="M5" s="2090"/>
      <c r="N5" s="2090"/>
      <c r="O5" s="2090"/>
      <c r="P5" s="2090"/>
      <c r="Q5" s="2090"/>
      <c r="R5" s="2075">
        <f>SUM(R14,R19,R24,R25,R27,R28)</f>
        <v>0</v>
      </c>
      <c r="S5" s="2065"/>
      <c r="T5" s="2065" t="s">
        <v>2216</v>
      </c>
      <c r="U5" s="2065" t="e">
        <f>ROUND(R5*10000/365/R3,1)</f>
        <v>#DIV/0!</v>
      </c>
      <c r="V5" s="2072"/>
    </row>
    <row r="6" spans="1:22" s="2076" customFormat="1" ht="13.15" customHeight="1" thickBot="1">
      <c r="A6" s="4509" t="s">
        <v>3779</v>
      </c>
      <c r="B6" s="4510"/>
      <c r="C6" s="4511"/>
      <c r="D6" s="3444"/>
      <c r="E6" s="3580"/>
      <c r="F6" s="2092"/>
      <c r="G6" s="2093"/>
      <c r="H6" s="2071"/>
      <c r="I6" s="2072"/>
      <c r="J6" s="4512">
        <v>1</v>
      </c>
      <c r="K6" s="4513" t="s">
        <v>2217</v>
      </c>
      <c r="L6" s="2094" t="s">
        <v>2218</v>
      </c>
      <c r="M6" s="2095" t="s">
        <v>2219</v>
      </c>
      <c r="N6" s="2095" t="s">
        <v>2220</v>
      </c>
      <c r="O6" s="2095" t="s">
        <v>2221</v>
      </c>
      <c r="P6" s="2095" t="s">
        <v>2222</v>
      </c>
      <c r="Q6" s="2095" t="s">
        <v>2223</v>
      </c>
      <c r="R6" s="2080" t="s">
        <v>2224</v>
      </c>
      <c r="S6" s="2065"/>
      <c r="T6" s="2065" t="s">
        <v>2225</v>
      </c>
      <c r="U6" s="2065"/>
      <c r="V6" s="2072"/>
    </row>
    <row r="7" spans="1:22" s="2076" customFormat="1" ht="13.15" customHeight="1">
      <c r="A7" s="2096" t="s">
        <v>2226</v>
      </c>
      <c r="B7" s="2097"/>
      <c r="C7" s="2098"/>
      <c r="D7" s="3445">
        <f>SUM(D9,D10,D11,D17,0)</f>
        <v>0</v>
      </c>
      <c r="E7" s="2099" t="e">
        <f>E9+E10+E11+E17</f>
        <v>#DIV/0!</v>
      </c>
      <c r="F7" s="2100"/>
      <c r="G7" s="2101"/>
      <c r="H7" s="2071"/>
      <c r="I7" s="2072"/>
      <c r="J7" s="4512"/>
      <c r="K7" s="4514"/>
      <c r="L7" s="2102" t="s">
        <v>2227</v>
      </c>
      <c r="M7" s="3678"/>
      <c r="N7" s="3677"/>
      <c r="O7" s="4226"/>
      <c r="P7" s="4226"/>
      <c r="Q7" s="3677">
        <v>365</v>
      </c>
      <c r="R7" s="3676">
        <f>ROUND(M7*N7*O7*P7*Q7/10000,0)</f>
        <v>0</v>
      </c>
      <c r="S7" s="2065"/>
      <c r="T7" s="2065" t="s">
        <v>2228</v>
      </c>
      <c r="U7" s="2065"/>
      <c r="V7" s="2072"/>
    </row>
    <row r="8" spans="1:22" s="2076" customFormat="1" ht="13.15" customHeight="1">
      <c r="A8" s="2106" t="s">
        <v>2229</v>
      </c>
      <c r="B8" s="4516" t="s">
        <v>2230</v>
      </c>
      <c r="C8" s="4517"/>
      <c r="D8" s="4066" t="s">
        <v>3941</v>
      </c>
      <c r="E8" s="2107" t="s">
        <v>2231</v>
      </c>
      <c r="F8" s="2108" t="s">
        <v>2232</v>
      </c>
      <c r="G8" s="2109"/>
      <c r="H8" s="2071"/>
      <c r="I8" s="2072"/>
      <c r="J8" s="4512"/>
      <c r="K8" s="4514"/>
      <c r="L8" s="2102" t="s">
        <v>2233</v>
      </c>
      <c r="M8" s="3678"/>
      <c r="N8" s="3677"/>
      <c r="O8" s="4226"/>
      <c r="P8" s="4226"/>
      <c r="Q8" s="3677">
        <v>365</v>
      </c>
      <c r="R8" s="3676">
        <f t="shared" ref="R8:R13" si="0">ROUND(M8*N8*O8*P8*Q8/10000,0)</f>
        <v>0</v>
      </c>
      <c r="S8" s="2065"/>
      <c r="T8" s="2065" t="s">
        <v>2234</v>
      </c>
      <c r="U8" s="2065"/>
      <c r="V8" s="2072"/>
    </row>
    <row r="9" spans="1:22" s="2076" customFormat="1" ht="13.15" customHeight="1">
      <c r="A9" s="2106">
        <v>1</v>
      </c>
      <c r="B9" s="4516" t="s">
        <v>2235</v>
      </c>
      <c r="C9" s="4517"/>
      <c r="D9" s="3446">
        <f>ROUND(D6*E9,0)</f>
        <v>0</v>
      </c>
      <c r="E9" s="3447"/>
      <c r="F9" s="2110" t="s">
        <v>2236</v>
      </c>
      <c r="G9" s="2093"/>
      <c r="H9" s="2071"/>
      <c r="I9" s="2072"/>
      <c r="J9" s="4512"/>
      <c r="K9" s="4514"/>
      <c r="L9" s="2102" t="s">
        <v>2237</v>
      </c>
      <c r="M9" s="3678"/>
      <c r="N9" s="3677"/>
      <c r="O9" s="4226"/>
      <c r="P9" s="4226"/>
      <c r="Q9" s="3677">
        <v>365</v>
      </c>
      <c r="R9" s="3676">
        <f t="shared" si="0"/>
        <v>0</v>
      </c>
      <c r="S9" s="2065"/>
      <c r="T9" s="2065"/>
      <c r="U9" s="2065"/>
      <c r="V9" s="2072"/>
    </row>
    <row r="10" spans="1:22" s="2076" customFormat="1" ht="13.15" customHeight="1">
      <c r="A10" s="2106">
        <v>2</v>
      </c>
      <c r="B10" s="4516" t="s">
        <v>2238</v>
      </c>
      <c r="C10" s="4517"/>
      <c r="D10" s="3446">
        <f>ROUND(D6*E10,0)</f>
        <v>0</v>
      </c>
      <c r="E10" s="3447"/>
      <c r="F10" s="3575" t="s">
        <v>3704</v>
      </c>
      <c r="G10" s="2093"/>
      <c r="H10" s="2071"/>
      <c r="I10" s="2072"/>
      <c r="J10" s="4512"/>
      <c r="K10" s="4514"/>
      <c r="L10" s="2102" t="s">
        <v>2239</v>
      </c>
      <c r="M10" s="3678"/>
      <c r="N10" s="3677"/>
      <c r="O10" s="4226"/>
      <c r="P10" s="4226"/>
      <c r="Q10" s="3677">
        <v>365</v>
      </c>
      <c r="R10" s="3676">
        <f t="shared" si="0"/>
        <v>0</v>
      </c>
      <c r="S10" s="2065"/>
      <c r="T10" s="2065"/>
      <c r="U10" s="2065"/>
      <c r="V10" s="2072"/>
    </row>
    <row r="11" spans="1:22" s="2076" customFormat="1" ht="13.15" customHeight="1">
      <c r="A11" s="2106">
        <v>3</v>
      </c>
      <c r="B11" s="4516" t="s">
        <v>2240</v>
      </c>
      <c r="C11" s="4517"/>
      <c r="D11" s="3446">
        <f>D12+D14+D15+D16</f>
        <v>0</v>
      </c>
      <c r="E11" s="3448" t="e">
        <f>D11/D6</f>
        <v>#DIV/0!</v>
      </c>
      <c r="F11" s="2108"/>
      <c r="G11" s="2109"/>
      <c r="H11" s="2071"/>
      <c r="I11" s="2072"/>
      <c r="J11" s="4512"/>
      <c r="K11" s="4514"/>
      <c r="L11" s="2102" t="s">
        <v>2241</v>
      </c>
      <c r="M11" s="3678"/>
      <c r="N11" s="3677"/>
      <c r="O11" s="4226"/>
      <c r="P11" s="4226"/>
      <c r="Q11" s="3677">
        <v>365</v>
      </c>
      <c r="R11" s="3676">
        <f t="shared" si="0"/>
        <v>0</v>
      </c>
      <c r="S11" s="2065"/>
      <c r="T11" s="2065"/>
      <c r="U11" s="2065"/>
      <c r="V11" s="2072"/>
    </row>
    <row r="12" spans="1:22" s="2076" customFormat="1" ht="13.15" customHeight="1">
      <c r="A12" s="2111" t="s">
        <v>2242</v>
      </c>
      <c r="B12" s="4518" t="s">
        <v>2243</v>
      </c>
      <c r="C12" s="4519"/>
      <c r="D12" s="3449">
        <f>ROUND(D13*1.2%*(1-30%),0)</f>
        <v>0</v>
      </c>
      <c r="E12" s="3450">
        <v>1.2E-2</v>
      </c>
      <c r="F12" s="2108" t="s">
        <v>2244</v>
      </c>
      <c r="G12" s="2109"/>
      <c r="H12" s="2071"/>
      <c r="I12" s="2072"/>
      <c r="J12" s="4512"/>
      <c r="K12" s="4514"/>
      <c r="L12" s="2102" t="s">
        <v>2245</v>
      </c>
      <c r="M12" s="3678"/>
      <c r="N12" s="3677"/>
      <c r="O12" s="4226"/>
      <c r="P12" s="4226"/>
      <c r="Q12" s="3677">
        <v>365</v>
      </c>
      <c r="R12" s="3676">
        <f t="shared" si="0"/>
        <v>0</v>
      </c>
      <c r="S12" s="2065"/>
      <c r="T12" s="2065"/>
      <c r="U12" s="2065"/>
      <c r="V12" s="2072"/>
    </row>
    <row r="13" spans="1:22" s="2076" customFormat="1" ht="13.15" customHeight="1">
      <c r="A13" s="2111"/>
      <c r="B13" s="2112"/>
      <c r="C13" s="2113" t="s">
        <v>2246</v>
      </c>
      <c r="D13" s="3451"/>
      <c r="E13" s="2115"/>
      <c r="F13" s="2108"/>
      <c r="G13" s="2109"/>
      <c r="H13" s="2071"/>
      <c r="I13" s="2072"/>
      <c r="J13" s="4512"/>
      <c r="K13" s="4514"/>
      <c r="L13" s="2102" t="s">
        <v>2247</v>
      </c>
      <c r="M13" s="3678"/>
      <c r="N13" s="3677"/>
      <c r="O13" s="4226"/>
      <c r="P13" s="4226"/>
      <c r="Q13" s="3677">
        <v>365</v>
      </c>
      <c r="R13" s="3676">
        <f t="shared" si="0"/>
        <v>0</v>
      </c>
      <c r="S13" s="2065"/>
      <c r="T13" s="2065"/>
      <c r="U13" s="2065"/>
      <c r="V13" s="2072"/>
    </row>
    <row r="14" spans="1:22" s="2076" customFormat="1" ht="13.15" customHeight="1">
      <c r="A14" s="2111" t="s">
        <v>2248</v>
      </c>
      <c r="B14" s="4518" t="s">
        <v>2249</v>
      </c>
      <c r="C14" s="4519"/>
      <c r="D14" s="3449">
        <f>ROUND(E14*B5/10000,0)</f>
        <v>0</v>
      </c>
      <c r="E14" s="3452"/>
      <c r="F14" s="2108" t="s">
        <v>2250</v>
      </c>
      <c r="G14" s="2109"/>
      <c r="H14" s="2071"/>
      <c r="I14" s="2072"/>
      <c r="J14" s="4512"/>
      <c r="K14" s="4515"/>
      <c r="L14" s="2116" t="s">
        <v>2251</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2252</v>
      </c>
      <c r="B15" s="4520" t="s">
        <v>3776</v>
      </c>
      <c r="C15" s="4519"/>
      <c r="D15" s="3449">
        <f>IF(F15="酒店",E48*(1+E15),IF(F15="购物中心",E67*(1+E15),IF(F15="按比例计算-酒店",E46,E65)))</f>
        <v>0</v>
      </c>
      <c r="E15" s="3450">
        <f>'数据-取费表'!B44</f>
        <v>0.12000000000000001</v>
      </c>
      <c r="F15" s="3578" t="s">
        <v>3835</v>
      </c>
      <c r="G15" s="3579"/>
      <c r="H15" s="2071"/>
      <c r="I15" s="2072"/>
      <c r="J15" s="4512">
        <v>2</v>
      </c>
      <c r="K15" s="4513" t="s">
        <v>2253</v>
      </c>
      <c r="L15" s="2102" t="s">
        <v>2254</v>
      </c>
      <c r="M15" s="2103" t="s">
        <v>2255</v>
      </c>
      <c r="N15" s="2103" t="s">
        <v>2256</v>
      </c>
      <c r="O15" s="2104" t="s">
        <v>2257</v>
      </c>
      <c r="P15" s="2104" t="s">
        <v>2223</v>
      </c>
      <c r="Q15" s="2082" t="s">
        <v>2258</v>
      </c>
      <c r="R15" s="2120" t="s">
        <v>2224</v>
      </c>
      <c r="S15" s="2065"/>
      <c r="T15" s="2065"/>
      <c r="U15" s="2065"/>
      <c r="V15" s="2072"/>
    </row>
    <row r="16" spans="1:22" s="2076" customFormat="1" ht="13.15" customHeight="1">
      <c r="A16" s="2111" t="s">
        <v>2259</v>
      </c>
      <c r="B16" s="4518" t="s">
        <v>2260</v>
      </c>
      <c r="C16" s="4519"/>
      <c r="D16" s="3453">
        <f>D6*E16</f>
        <v>0</v>
      </c>
      <c r="E16" s="3454"/>
      <c r="F16" s="2110" t="s">
        <v>2261</v>
      </c>
      <c r="G16" s="2093"/>
      <c r="H16" s="2071"/>
      <c r="I16" s="2072"/>
      <c r="J16" s="4512"/>
      <c r="K16" s="4514"/>
      <c r="L16" s="2102" t="s">
        <v>2262</v>
      </c>
      <c r="M16" s="3678"/>
      <c r="N16" s="3678"/>
      <c r="O16" s="4228"/>
      <c r="P16" s="3677">
        <v>365</v>
      </c>
      <c r="Q16" s="3677"/>
      <c r="R16" s="3676">
        <f>ROUND(M16*N16*O16*P16/10000,0)</f>
        <v>0</v>
      </c>
      <c r="S16" s="2065"/>
      <c r="T16" s="2065"/>
      <c r="U16" s="2065"/>
      <c r="V16" s="2072"/>
    </row>
    <row r="17" spans="1:22" s="2076" customFormat="1" ht="13.15" customHeight="1" thickBot="1">
      <c r="A17" s="2121">
        <v>4</v>
      </c>
      <c r="B17" s="4521" t="s">
        <v>2263</v>
      </c>
      <c r="C17" s="4522"/>
      <c r="D17" s="3455">
        <f>ROUND(D6*E17,0)</f>
        <v>0</v>
      </c>
      <c r="E17" s="3456"/>
      <c r="F17" s="3576" t="s">
        <v>3705</v>
      </c>
      <c r="G17" s="2093"/>
      <c r="H17" s="2071"/>
      <c r="I17" s="2072"/>
      <c r="J17" s="4512"/>
      <c r="K17" s="4514"/>
      <c r="L17" s="2102" t="s">
        <v>2264</v>
      </c>
      <c r="M17" s="3678"/>
      <c r="N17" s="3678"/>
      <c r="O17" s="4228"/>
      <c r="P17" s="3677">
        <v>365</v>
      </c>
      <c r="Q17" s="3677"/>
      <c r="R17" s="3676">
        <f>ROUND(M17*N17*O17*P17/10000,0)</f>
        <v>0</v>
      </c>
      <c r="S17" s="2065"/>
      <c r="T17" s="2065"/>
      <c r="U17" s="2065"/>
      <c r="V17" s="2072"/>
    </row>
    <row r="18" spans="1:22" s="2076" customFormat="1" ht="13.15" customHeight="1" thickBot="1">
      <c r="A18" s="2096" t="s">
        <v>2265</v>
      </c>
      <c r="B18" s="2097"/>
      <c r="C18" s="2097"/>
      <c r="D18" s="3457">
        <f>ROUND(D6*E18,0)</f>
        <v>0</v>
      </c>
      <c r="E18" s="3458"/>
      <c r="F18" s="2122" t="s">
        <v>2266</v>
      </c>
      <c r="G18" s="2093"/>
      <c r="H18" s="2071"/>
      <c r="I18" s="2072"/>
      <c r="J18" s="4512"/>
      <c r="K18" s="4514"/>
      <c r="L18" s="2102" t="s">
        <v>2267</v>
      </c>
      <c r="M18" s="3678"/>
      <c r="N18" s="3678"/>
      <c r="O18" s="4228"/>
      <c r="P18" s="3677">
        <v>365</v>
      </c>
      <c r="Q18" s="3677"/>
      <c r="R18" s="3676">
        <f>ROUND(M18*N18*O18*P18/10000,0)</f>
        <v>0</v>
      </c>
      <c r="S18" s="2065"/>
      <c r="T18" s="2065"/>
      <c r="U18" s="2065"/>
      <c r="V18" s="2072"/>
    </row>
    <row r="19" spans="1:22" s="2076" customFormat="1" ht="13.15" customHeight="1" thickBot="1">
      <c r="A19" s="2123" t="s">
        <v>2268</v>
      </c>
      <c r="B19" s="2091"/>
      <c r="C19" s="2091"/>
      <c r="D19" s="2091"/>
      <c r="E19" s="2091"/>
      <c r="F19" s="2092"/>
      <c r="G19" s="2109"/>
      <c r="H19" s="2071"/>
      <c r="I19" s="2072"/>
      <c r="J19" s="4512"/>
      <c r="K19" s="4515"/>
      <c r="L19" s="2116" t="s">
        <v>2251</v>
      </c>
      <c r="M19" s="2117"/>
      <c r="N19" s="2117">
        <f>SUM(N16:N18)</f>
        <v>0</v>
      </c>
      <c r="O19" s="2118"/>
      <c r="P19" s="2124" t="s">
        <v>2312</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12">
        <v>3</v>
      </c>
      <c r="K20" s="4513" t="s">
        <v>2269</v>
      </c>
      <c r="L20" s="2102" t="s">
        <v>2270</v>
      </c>
      <c r="M20" s="2103" t="s">
        <v>2271</v>
      </c>
      <c r="N20" s="2126" t="s">
        <v>2272</v>
      </c>
      <c r="O20" s="2104" t="s">
        <v>2273</v>
      </c>
      <c r="P20" s="2105" t="s">
        <v>2274</v>
      </c>
      <c r="Q20" s="2082" t="s">
        <v>2275</v>
      </c>
      <c r="R20" s="2120" t="s">
        <v>2276</v>
      </c>
      <c r="S20" s="2065"/>
      <c r="T20" s="2065"/>
      <c r="U20" s="2065"/>
      <c r="V20" s="2072"/>
    </row>
    <row r="21" spans="1:22" s="2076" customFormat="1" ht="13.15" customHeight="1">
      <c r="A21" s="2096"/>
      <c r="B21" s="2097"/>
      <c r="C21" s="2127" t="s">
        <v>2277</v>
      </c>
      <c r="D21" s="2128" t="s">
        <v>2278</v>
      </c>
      <c r="E21" s="2129" t="s">
        <v>2279</v>
      </c>
      <c r="F21" s="2125"/>
      <c r="G21" s="2109"/>
      <c r="H21" s="2071"/>
      <c r="I21" s="2072"/>
      <c r="J21" s="4512"/>
      <c r="K21" s="4514"/>
      <c r="L21" s="2102" t="s">
        <v>2280</v>
      </c>
      <c r="M21" s="3678"/>
      <c r="N21" s="3678"/>
      <c r="O21" s="4227"/>
      <c r="P21" s="3677">
        <v>365</v>
      </c>
      <c r="Q21" s="3677"/>
      <c r="R21" s="3679">
        <f>ROUND(M21*N21*O21*P21/10000,0)</f>
        <v>0</v>
      </c>
      <c r="S21" s="2065"/>
      <c r="T21" s="2065"/>
      <c r="U21" s="2065"/>
      <c r="V21" s="2072"/>
    </row>
    <row r="22" spans="1:22" s="2076" customFormat="1" ht="13.15" customHeight="1">
      <c r="A22" s="2096"/>
      <c r="B22" s="2097"/>
      <c r="C22" s="2130" t="s">
        <v>2281</v>
      </c>
      <c r="D22" s="2131" t="s">
        <v>2282</v>
      </c>
      <c r="E22" s="2132" t="s">
        <v>2283</v>
      </c>
      <c r="F22" s="2125"/>
      <c r="G22" s="2065"/>
      <c r="H22" s="2071"/>
      <c r="I22" s="2072"/>
      <c r="J22" s="4512"/>
      <c r="K22" s="4514"/>
      <c r="L22" s="2102" t="s">
        <v>2284</v>
      </c>
      <c r="M22" s="3678"/>
      <c r="N22" s="3678"/>
      <c r="O22" s="4227"/>
      <c r="P22" s="3677">
        <v>365</v>
      </c>
      <c r="Q22" s="3677"/>
      <c r="R22" s="3679">
        <f>ROUND(M22*N22*O22*P22/10000,0)</f>
        <v>0</v>
      </c>
      <c r="S22" s="2065"/>
      <c r="T22" s="2065"/>
      <c r="U22" s="2065"/>
      <c r="V22" s="2072"/>
    </row>
    <row r="23" spans="1:22" s="2076" customFormat="1" ht="13.15" customHeight="1">
      <c r="A23" s="2133">
        <v>1</v>
      </c>
      <c r="B23" s="2134" t="s">
        <v>2285</v>
      </c>
      <c r="C23" s="2139">
        <f>D6</f>
        <v>0</v>
      </c>
      <c r="D23" s="3473">
        <f>C23*(1+D24)</f>
        <v>0</v>
      </c>
      <c r="E23" s="3474">
        <f>D23*(1+E24)</f>
        <v>0</v>
      </c>
      <c r="F23" s="2135"/>
      <c r="G23" s="2136"/>
      <c r="H23" s="2071"/>
      <c r="I23" s="2072"/>
      <c r="J23" s="4512"/>
      <c r="K23" s="4514"/>
      <c r="L23" s="2102" t="s">
        <v>2286</v>
      </c>
      <c r="M23" s="3678"/>
      <c r="N23" s="3678"/>
      <c r="O23" s="4227"/>
      <c r="P23" s="3677">
        <v>365</v>
      </c>
      <c r="Q23" s="3677"/>
      <c r="R23" s="3679">
        <f>ROUND(M23*N23*O23*P23/10000,0)</f>
        <v>0</v>
      </c>
      <c r="S23" s="2065"/>
      <c r="T23" s="2065"/>
      <c r="U23" s="2065"/>
      <c r="V23" s="2072"/>
    </row>
    <row r="24" spans="1:22" s="2076" customFormat="1" ht="13.15" customHeight="1">
      <c r="A24" s="2137"/>
      <c r="B24" s="2138" t="s">
        <v>2287</v>
      </c>
      <c r="C24" s="2139"/>
      <c r="D24" s="2140"/>
      <c r="E24" s="2141"/>
      <c r="F24" s="2142"/>
      <c r="G24" s="2136"/>
      <c r="H24" s="2071"/>
      <c r="I24" s="2072"/>
      <c r="J24" s="4512"/>
      <c r="K24" s="4515"/>
      <c r="L24" s="2116" t="s">
        <v>2251</v>
      </c>
      <c r="M24" s="2117">
        <f>SUM(M21:M23)</f>
        <v>0</v>
      </c>
      <c r="N24" s="2117"/>
      <c r="O24" s="2118"/>
      <c r="P24" s="2124" t="s">
        <v>2312</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2288</v>
      </c>
      <c r="L25" s="2145"/>
      <c r="M25" s="2145"/>
      <c r="N25" s="2145"/>
      <c r="O25" s="2145"/>
      <c r="P25" s="2146"/>
      <c r="Q25" s="2147">
        <v>0</v>
      </c>
      <c r="R25" s="3680">
        <f>ROUND(R14*Q25,0)</f>
        <v>0</v>
      </c>
      <c r="S25" s="2065"/>
      <c r="T25" s="2065"/>
      <c r="U25" s="2065"/>
      <c r="V25" s="2148"/>
    </row>
    <row r="26" spans="1:22" s="2149" customFormat="1" ht="13.15" customHeight="1">
      <c r="A26" s="2133">
        <v>2</v>
      </c>
      <c r="B26" s="2134" t="s">
        <v>2289</v>
      </c>
      <c r="C26" s="2139">
        <f>D7</f>
        <v>0</v>
      </c>
      <c r="D26" s="3459">
        <f>D23*D27</f>
        <v>0</v>
      </c>
      <c r="E26" s="3460">
        <f>E23*E27</f>
        <v>0</v>
      </c>
      <c r="F26" s="2135"/>
      <c r="G26" s="2136"/>
      <c r="H26" s="2071"/>
      <c r="I26" s="2072"/>
      <c r="J26" s="4523">
        <v>5</v>
      </c>
      <c r="K26" s="2150" t="s">
        <v>2290</v>
      </c>
      <c r="L26" s="2151"/>
      <c r="M26" s="2152"/>
      <c r="N26" s="2153" t="s">
        <v>2291</v>
      </c>
      <c r="O26" s="2153" t="s">
        <v>2292</v>
      </c>
      <c r="P26" s="2154" t="s">
        <v>2293</v>
      </c>
      <c r="Q26" s="2154" t="s">
        <v>2294</v>
      </c>
      <c r="R26" s="2080" t="s">
        <v>2224</v>
      </c>
      <c r="S26" s="2109"/>
      <c r="T26" s="2109"/>
      <c r="U26" s="2109"/>
      <c r="V26" s="2148"/>
    </row>
    <row r="27" spans="1:22" s="2076" customFormat="1" ht="13.15" customHeight="1">
      <c r="A27" s="2137"/>
      <c r="B27" s="2138" t="s">
        <v>2295</v>
      </c>
      <c r="C27" s="2155" t="e">
        <f>E7</f>
        <v>#DIV/0!</v>
      </c>
      <c r="D27" s="2140"/>
      <c r="E27" s="2141"/>
      <c r="F27" s="2142"/>
      <c r="G27" s="2136"/>
      <c r="H27" s="2156"/>
      <c r="I27" s="2148"/>
      <c r="J27" s="4524"/>
      <c r="K27" s="2157"/>
      <c r="L27" s="2158"/>
      <c r="M27" s="2159"/>
      <c r="N27" s="3478"/>
      <c r="O27" s="3478"/>
      <c r="P27" s="3478"/>
      <c r="Q27" s="4229"/>
      <c r="R27" s="3680">
        <f>ROUND(O27*N27*P27*(1-Q27)/10000,0)</f>
        <v>0</v>
      </c>
      <c r="S27" s="2065"/>
      <c r="T27" s="2065"/>
      <c r="U27" s="2065"/>
      <c r="V27" s="2072"/>
    </row>
    <row r="28" spans="1:22" s="2149" customFormat="1" ht="13.15" customHeight="1" thickBot="1">
      <c r="A28" s="2137"/>
      <c r="B28" s="2138"/>
      <c r="C28" s="2155"/>
      <c r="D28" s="2140"/>
      <c r="E28" s="2141" t="s">
        <v>2296</v>
      </c>
      <c r="F28" s="2142"/>
      <c r="G28" s="2065"/>
      <c r="H28" s="2156"/>
      <c r="I28" s="2148"/>
      <c r="J28" s="2160">
        <v>6</v>
      </c>
      <c r="K28" s="2161" t="s">
        <v>2297</v>
      </c>
      <c r="L28" s="2162" t="s">
        <v>2298</v>
      </c>
      <c r="M28" s="3480"/>
      <c r="N28" s="2162" t="s">
        <v>2299</v>
      </c>
      <c r="O28" s="2164"/>
      <c r="P28" s="2162" t="s">
        <v>2300</v>
      </c>
      <c r="Q28" s="2165">
        <v>1.4999999999999999E-2</v>
      </c>
      <c r="R28" s="3479"/>
      <c r="S28" s="2065"/>
      <c r="T28" s="2065"/>
      <c r="U28" s="2065"/>
      <c r="V28" s="2148"/>
    </row>
    <row r="29" spans="1:22" s="2149" customFormat="1" ht="13.15" customHeight="1">
      <c r="A29" s="2133">
        <v>3</v>
      </c>
      <c r="B29" s="2134" t="s">
        <v>2301</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2295</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2302</v>
      </c>
      <c r="K31" s="2063"/>
      <c r="L31" s="2063"/>
      <c r="M31" s="2063"/>
      <c r="N31" s="2063"/>
      <c r="O31" s="2063"/>
      <c r="P31" s="2063"/>
      <c r="Q31" s="2063"/>
      <c r="R31" s="2064"/>
      <c r="S31" s="2065"/>
      <c r="T31" s="2065"/>
      <c r="U31" s="2065"/>
      <c r="V31" s="2148"/>
    </row>
    <row r="32" spans="1:22" s="2149" customFormat="1" ht="13.15" customHeight="1">
      <c r="A32" s="2133">
        <v>4</v>
      </c>
      <c r="B32" s="2134" t="s">
        <v>2303</v>
      </c>
      <c r="C32" s="2139">
        <f>C23-C26-C29</f>
        <v>0</v>
      </c>
      <c r="D32" s="3459">
        <f>D23-D26-D29</f>
        <v>0</v>
      </c>
      <c r="E32" s="3460">
        <f>E23-E26-E29</f>
        <v>0</v>
      </c>
      <c r="F32" s="2135"/>
      <c r="G32" s="2065"/>
      <c r="H32" s="2071"/>
      <c r="I32" s="2072"/>
      <c r="J32" s="4505" t="s">
        <v>2201</v>
      </c>
      <c r="K32" s="4506"/>
      <c r="L32" s="2073" t="s">
        <v>2202</v>
      </c>
      <c r="M32" s="2073" t="s">
        <v>2203</v>
      </c>
      <c r="N32" s="2073" t="s">
        <v>2204</v>
      </c>
      <c r="O32" s="2073" t="s">
        <v>2205</v>
      </c>
      <c r="P32" s="2073" t="s">
        <v>2206</v>
      </c>
      <c r="Q32" s="2074" t="s">
        <v>2207</v>
      </c>
      <c r="R32" s="2168" t="s">
        <v>2208</v>
      </c>
      <c r="S32" s="2065"/>
      <c r="T32" s="2065"/>
      <c r="U32" s="2065"/>
      <c r="V32" s="2148"/>
    </row>
    <row r="33" spans="1:23" s="2076" customFormat="1" ht="13.15" customHeight="1">
      <c r="A33" s="2133"/>
      <c r="B33" s="2134"/>
      <c r="C33" s="2139"/>
      <c r="D33" s="3461"/>
      <c r="E33" s="3462"/>
      <c r="F33" s="2135"/>
      <c r="G33" s="2065"/>
      <c r="H33" s="2156"/>
      <c r="I33" s="2148"/>
      <c r="J33" s="4507" t="s">
        <v>2211</v>
      </c>
      <c r="K33" s="4508"/>
      <c r="L33" s="3481"/>
      <c r="M33" s="3481"/>
      <c r="N33" s="3481"/>
      <c r="O33" s="3481"/>
      <c r="P33" s="3481"/>
      <c r="Q33" s="3482"/>
      <c r="R33" s="3483">
        <f>SUM(L33:Q33)</f>
        <v>0</v>
      </c>
      <c r="S33" s="2065"/>
      <c r="T33" s="2065"/>
      <c r="U33" s="2065"/>
      <c r="V33" s="2072"/>
    </row>
    <row r="34" spans="1:23" s="2076" customFormat="1" ht="13.15" customHeight="1">
      <c r="A34" s="2133">
        <v>5</v>
      </c>
      <c r="B34" s="2134" t="s">
        <v>2304</v>
      </c>
      <c r="C34" s="3463"/>
      <c r="D34" s="3464"/>
      <c r="E34" s="3465"/>
      <c r="F34" s="2135"/>
      <c r="G34" s="2065"/>
      <c r="H34" s="2156"/>
      <c r="I34" s="2148"/>
      <c r="J34" s="4507" t="s">
        <v>2213</v>
      </c>
      <c r="K34" s="4508"/>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2305</v>
      </c>
      <c r="C35" s="2167"/>
      <c r="D35" s="2140"/>
      <c r="E35" s="2141"/>
      <c r="F35" s="2135"/>
      <c r="G35" s="2169"/>
      <c r="H35" s="2071"/>
      <c r="I35" s="2148"/>
      <c r="J35" s="2088" t="s">
        <v>2215</v>
      </c>
      <c r="K35" s="2089"/>
      <c r="L35" s="2089"/>
      <c r="M35" s="2090"/>
      <c r="N35" s="2090"/>
      <c r="O35" s="2090"/>
      <c r="P35" s="2090"/>
      <c r="Q35" s="2090"/>
      <c r="R35" s="2170">
        <f>R40+R41+R43</f>
        <v>0</v>
      </c>
      <c r="S35" s="2065"/>
      <c r="T35" s="2065" t="s">
        <v>2216</v>
      </c>
      <c r="U35" s="2065"/>
      <c r="V35" s="2072"/>
    </row>
    <row r="36" spans="1:23" s="2076" customFormat="1" ht="13.15" customHeight="1" thickBot="1">
      <c r="A36" s="2133">
        <v>7</v>
      </c>
      <c r="B36" s="2171" t="s">
        <v>2306</v>
      </c>
      <c r="C36" s="3466"/>
      <c r="D36" s="3467"/>
      <c r="E36" s="3468"/>
      <c r="F36" s="2172">
        <f>C36+D36+E36</f>
        <v>0</v>
      </c>
      <c r="G36" s="2065"/>
      <c r="H36" s="2071"/>
      <c r="I36" s="2072"/>
      <c r="J36" s="4512">
        <v>1</v>
      </c>
      <c r="K36" s="4513" t="s">
        <v>2307</v>
      </c>
      <c r="L36" s="2094"/>
      <c r="M36" s="2095"/>
      <c r="N36" s="2095"/>
      <c r="O36" s="2095"/>
      <c r="P36" s="2095"/>
      <c r="Q36" s="2095"/>
      <c r="R36" s="2080" t="s">
        <v>2224</v>
      </c>
      <c r="S36" s="2065"/>
      <c r="T36" s="2065" t="s">
        <v>2225</v>
      </c>
      <c r="U36" s="2065"/>
      <c r="V36" s="2072"/>
    </row>
    <row r="37" spans="1:23" s="2076" customFormat="1" ht="13.15" customHeight="1">
      <c r="A37" s="2133"/>
      <c r="B37" s="2134"/>
      <c r="C37" s="2138"/>
      <c r="D37" s="2138"/>
      <c r="E37" s="2138"/>
      <c r="F37" s="2135"/>
      <c r="G37" s="2065"/>
      <c r="H37" s="2071"/>
      <c r="I37" s="2072"/>
      <c r="J37" s="4512"/>
      <c r="K37" s="4514"/>
      <c r="L37" s="3487"/>
      <c r="M37" s="3475"/>
      <c r="N37" s="2114"/>
      <c r="O37" s="2114"/>
      <c r="P37" s="2114"/>
      <c r="Q37" s="2114"/>
      <c r="R37" s="3476"/>
      <c r="S37" s="2065"/>
      <c r="T37" s="2065" t="s">
        <v>2228</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12"/>
      <c r="K38" s="4514"/>
      <c r="L38" s="3487"/>
      <c r="M38" s="3475"/>
      <c r="N38" s="2114"/>
      <c r="O38" s="2114"/>
      <c r="P38" s="2114"/>
      <c r="Q38" s="2114"/>
      <c r="R38" s="3476"/>
      <c r="S38" s="2065"/>
      <c r="T38" s="2065" t="s">
        <v>2234</v>
      </c>
      <c r="U38" s="2065"/>
      <c r="V38" s="2072"/>
    </row>
    <row r="39" spans="1:23" s="2076" customFormat="1" ht="13.15" customHeight="1">
      <c r="A39" s="2133">
        <v>9</v>
      </c>
      <c r="B39" s="2134" t="s">
        <v>2308</v>
      </c>
      <c r="C39" s="3449" t="e">
        <f>C38</f>
        <v>#DIV/0!</v>
      </c>
      <c r="D39" s="3449">
        <f>IF(D23=0,0,D38/(1+D34)^C36)</f>
        <v>0</v>
      </c>
      <c r="E39" s="3449">
        <f>IF(E23=0,0,E38/(1+E34)^(C36+D36))</f>
        <v>0</v>
      </c>
      <c r="F39" s="2135"/>
      <c r="G39" s="2072"/>
      <c r="H39" s="2071"/>
      <c r="I39" s="2072"/>
      <c r="J39" s="4512"/>
      <c r="K39" s="4514"/>
      <c r="L39" s="3487"/>
      <c r="M39" s="3475"/>
      <c r="N39" s="2114"/>
      <c r="O39" s="2114"/>
      <c r="P39" s="2114"/>
      <c r="Q39" s="2114"/>
      <c r="R39" s="3476"/>
      <c r="S39" s="2065"/>
      <c r="T39" s="2065"/>
      <c r="U39" s="2065"/>
      <c r="V39" s="2072"/>
    </row>
    <row r="40" spans="1:23" s="2076" customFormat="1" ht="13.15" customHeight="1">
      <c r="A40" s="2173">
        <v>10</v>
      </c>
      <c r="B40" s="2134" t="s">
        <v>2309</v>
      </c>
      <c r="C40" s="3469" t="e">
        <f>C39+D39+E39</f>
        <v>#DIV/0!</v>
      </c>
      <c r="D40" s="3470"/>
      <c r="E40" s="3470"/>
      <c r="F40" s="2174"/>
      <c r="G40" s="2065"/>
      <c r="H40" s="2071"/>
      <c r="I40" s="2072"/>
      <c r="J40" s="4512"/>
      <c r="K40" s="4515"/>
      <c r="L40" s="2116" t="s">
        <v>2251</v>
      </c>
      <c r="M40" s="2117"/>
      <c r="N40" s="2117"/>
      <c r="O40" s="2118"/>
      <c r="P40" s="2118"/>
      <c r="Q40" s="3488"/>
      <c r="R40" s="3681">
        <f>SUM(R37:R39)</f>
        <v>0</v>
      </c>
      <c r="S40" s="2065"/>
      <c r="T40" s="2065"/>
      <c r="U40" s="2065"/>
      <c r="V40" s="2072"/>
    </row>
    <row r="41" spans="1:23" s="2076" customFormat="1" ht="13.15" customHeight="1" thickBot="1">
      <c r="A41" s="2175">
        <v>11</v>
      </c>
      <c r="B41" s="2176" t="s">
        <v>2310</v>
      </c>
      <c r="C41" s="3471" t="e">
        <f>ROUND(C40*10000/B4,0)</f>
        <v>#DIV/0!</v>
      </c>
      <c r="D41" s="3472"/>
      <c r="E41" s="3472"/>
      <c r="F41" s="2177"/>
      <c r="G41" s="2071"/>
      <c r="H41" s="2071"/>
      <c r="I41" s="2072"/>
      <c r="J41" s="2143">
        <v>2</v>
      </c>
      <c r="K41" s="2144" t="s">
        <v>2288</v>
      </c>
      <c r="L41" s="2145"/>
      <c r="M41" s="2145"/>
      <c r="N41" s="2145"/>
      <c r="O41" s="2145"/>
      <c r="P41" s="2146"/>
      <c r="Q41" s="3475"/>
      <c r="R41" s="3680">
        <f>ROUND(R40*Q41,0)</f>
        <v>0</v>
      </c>
      <c r="S41" s="2065"/>
      <c r="T41" s="2065"/>
      <c r="U41" s="2109"/>
      <c r="V41" s="2072"/>
    </row>
    <row r="42" spans="1:23" s="2076" customFormat="1" ht="13.15" customHeight="1">
      <c r="G42" s="2071"/>
      <c r="H42" s="2071"/>
      <c r="I42" s="2072"/>
      <c r="J42" s="4523">
        <v>3</v>
      </c>
      <c r="K42" s="2150" t="s">
        <v>2290</v>
      </c>
      <c r="L42" s="2151"/>
      <c r="M42" s="2152"/>
      <c r="N42" s="2153" t="s">
        <v>2291</v>
      </c>
      <c r="O42" s="2153" t="s">
        <v>2292</v>
      </c>
      <c r="P42" s="2154" t="s">
        <v>2293</v>
      </c>
      <c r="Q42" s="2154" t="s">
        <v>2294</v>
      </c>
      <c r="R42" s="2080" t="s">
        <v>2224</v>
      </c>
      <c r="S42" s="2109"/>
      <c r="T42" s="2109"/>
      <c r="U42" s="2065"/>
      <c r="V42" s="2072"/>
    </row>
    <row r="43" spans="1:23" ht="13.15" customHeight="1">
      <c r="A43" s="2076"/>
      <c r="B43" s="2076"/>
      <c r="C43" s="2076"/>
      <c r="D43" s="2076"/>
      <c r="E43" s="2076"/>
      <c r="F43" s="2076"/>
      <c r="G43" s="2071"/>
      <c r="H43" s="2071"/>
      <c r="I43" s="2060"/>
      <c r="J43" s="4524"/>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2297</v>
      </c>
      <c r="L44" s="2180" t="s">
        <v>2298</v>
      </c>
      <c r="M44" s="3480"/>
      <c r="N44" s="2180" t="s">
        <v>2299</v>
      </c>
      <c r="O44" s="2163"/>
      <c r="P44" s="2180" t="s">
        <v>2300</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3706</v>
      </c>
      <c r="D46" s="3586" t="s">
        <v>3777</v>
      </c>
      <c r="E46" s="3959">
        <f>ROUND(D6*G46,0)</f>
        <v>0</v>
      </c>
      <c r="F46" s="3597" t="s">
        <v>3766</v>
      </c>
      <c r="G46" s="3960">
        <v>0.05</v>
      </c>
      <c r="H46" s="2076"/>
      <c r="I46" s="2179"/>
    </row>
    <row r="47" spans="1:23" ht="13.15" customHeight="1">
      <c r="A47" s="2076"/>
      <c r="B47" s="2076"/>
      <c r="C47" s="3587" t="s">
        <v>3707</v>
      </c>
      <c r="D47" s="3588" t="s">
        <v>3708</v>
      </c>
      <c r="E47" s="4067" t="s">
        <v>3942</v>
      </c>
      <c r="F47" s="3598" t="s">
        <v>3709</v>
      </c>
      <c r="G47" s="3599" t="s">
        <v>3710</v>
      </c>
      <c r="H47" s="2066"/>
      <c r="I47" s="2179"/>
    </row>
    <row r="48" spans="1:23" ht="13.15" customHeight="1">
      <c r="C48" s="3589">
        <v>1</v>
      </c>
      <c r="D48" s="3588" t="s">
        <v>3711</v>
      </c>
      <c r="E48" s="3609">
        <f>E49-E54</f>
        <v>0</v>
      </c>
      <c r="F48" s="3588"/>
      <c r="G48" s="3599"/>
      <c r="H48" s="2066"/>
      <c r="I48" s="2179"/>
    </row>
    <row r="49" spans="1:9" ht="13.15" customHeight="1">
      <c r="C49" s="3589">
        <v>2</v>
      </c>
      <c r="D49" s="3588" t="s">
        <v>3712</v>
      </c>
      <c r="E49" s="3609">
        <f>SUM(E50:E53)</f>
        <v>0</v>
      </c>
      <c r="F49" s="3588"/>
      <c r="G49" s="3954"/>
      <c r="H49" s="2066"/>
      <c r="I49" s="2179"/>
    </row>
    <row r="50" spans="1:9" ht="13.15" customHeight="1">
      <c r="C50" s="3590" t="s">
        <v>3728</v>
      </c>
      <c r="D50" s="3591" t="s">
        <v>3713</v>
      </c>
      <c r="E50" s="3610">
        <f>R14*G50/(1+G50)</f>
        <v>0</v>
      </c>
      <c r="F50" s="3600" t="s">
        <v>3729</v>
      </c>
      <c r="G50" s="3955">
        <v>0.06</v>
      </c>
      <c r="H50" s="2066"/>
      <c r="I50" s="2179"/>
    </row>
    <row r="51" spans="1:9" ht="13.15" customHeight="1">
      <c r="C51" s="3590" t="s">
        <v>3730</v>
      </c>
      <c r="D51" s="3591" t="s">
        <v>3714</v>
      </c>
      <c r="E51" s="3610">
        <f>R19*G51/(1+G51)</f>
        <v>0</v>
      </c>
      <c r="F51" s="3600" t="s">
        <v>3731</v>
      </c>
      <c r="G51" s="3955">
        <v>0.06</v>
      </c>
      <c r="H51" s="2066"/>
      <c r="I51" s="2179"/>
    </row>
    <row r="52" spans="1:9" ht="13.15" customHeight="1">
      <c r="C52" s="3590" t="s">
        <v>3732</v>
      </c>
      <c r="D52" s="3591" t="s">
        <v>3715</v>
      </c>
      <c r="E52" s="3610">
        <f>R24*G52/(1+R24)</f>
        <v>0</v>
      </c>
      <c r="F52" s="3600" t="s">
        <v>3716</v>
      </c>
      <c r="G52" s="3955">
        <v>0.09</v>
      </c>
      <c r="H52" s="2066"/>
      <c r="I52" s="2179"/>
    </row>
    <row r="53" spans="1:9" ht="13.15" customHeight="1">
      <c r="C53" s="3590" t="s">
        <v>3733</v>
      </c>
      <c r="D53" s="3591" t="s">
        <v>3717</v>
      </c>
      <c r="E53" s="3610">
        <f>R27*G53/(1+G53)</f>
        <v>0</v>
      </c>
      <c r="F53" s="3600" t="s">
        <v>3716</v>
      </c>
      <c r="G53" s="3955">
        <v>0.09</v>
      </c>
      <c r="H53" s="2066"/>
      <c r="I53" s="2179"/>
    </row>
    <row r="54" spans="1:9" ht="13.15" customHeight="1">
      <c r="A54" s="2066" t="s">
        <v>3761</v>
      </c>
      <c r="B54" s="2179"/>
      <c r="C54" s="3589">
        <v>3</v>
      </c>
      <c r="D54" s="3588" t="s">
        <v>3718</v>
      </c>
      <c r="E54" s="3609">
        <f>E55+E56+E60</f>
        <v>0</v>
      </c>
      <c r="F54" s="3588"/>
      <c r="G54" s="3954"/>
      <c r="H54" s="2066"/>
      <c r="I54" s="2179"/>
    </row>
    <row r="55" spans="1:9" ht="13.15" customHeight="1">
      <c r="A55" s="3581">
        <v>0.05</v>
      </c>
      <c r="B55" s="3582" t="s">
        <v>3765</v>
      </c>
      <c r="C55" s="3590" t="s">
        <v>3728</v>
      </c>
      <c r="D55" s="3591" t="s">
        <v>3719</v>
      </c>
      <c r="E55" s="3610">
        <f>D9*G55/(1+G55)</f>
        <v>0</v>
      </c>
      <c r="F55" s="3602" t="s">
        <v>3767</v>
      </c>
      <c r="G55" s="3955">
        <v>0.13</v>
      </c>
      <c r="H55" s="2066"/>
      <c r="I55" s="2179"/>
    </row>
    <row r="56" spans="1:9" ht="13.15" customHeight="1">
      <c r="A56" s="3581">
        <f>SUM(A57:A59)</f>
        <v>0.39</v>
      </c>
      <c r="B56" s="3582"/>
      <c r="C56" s="3590" t="s">
        <v>3730</v>
      </c>
      <c r="D56" s="3591" t="s">
        <v>3720</v>
      </c>
      <c r="E56" s="3610">
        <f>SUM(E57:E59)</f>
        <v>0</v>
      </c>
      <c r="F56" s="3600"/>
      <c r="G56" s="3603"/>
      <c r="H56" s="2066" t="s">
        <v>3774</v>
      </c>
      <c r="I56" s="2066" t="s">
        <v>3775</v>
      </c>
    </row>
    <row r="57" spans="1:9" ht="13.15" customHeight="1">
      <c r="A57" s="3581">
        <v>0.25</v>
      </c>
      <c r="B57" s="3582" t="s">
        <v>3762</v>
      </c>
      <c r="C57" s="3592" t="s">
        <v>3721</v>
      </c>
      <c r="D57" s="3593" t="s">
        <v>3722</v>
      </c>
      <c r="E57" s="3611">
        <v>0</v>
      </c>
      <c r="F57" s="3604"/>
      <c r="G57" s="3605" t="s">
        <v>3723</v>
      </c>
      <c r="H57" s="3577">
        <v>0.65</v>
      </c>
      <c r="I57" s="3583">
        <f>A57/SUM(A57:A59)</f>
        <v>0.64102564102564097</v>
      </c>
    </row>
    <row r="58" spans="1:9" ht="13.15" customHeight="1">
      <c r="A58" s="3581">
        <v>0.06</v>
      </c>
      <c r="B58" s="3582" t="s">
        <v>3763</v>
      </c>
      <c r="C58" s="3592" t="s">
        <v>3724</v>
      </c>
      <c r="D58" s="3594" t="s">
        <v>3769</v>
      </c>
      <c r="E58" s="3611">
        <f>D10*H58*G58/(1+G58)</f>
        <v>0</v>
      </c>
      <c r="F58" s="3604" t="s">
        <v>3734</v>
      </c>
      <c r="G58" s="3956">
        <v>0.09</v>
      </c>
      <c r="H58" s="3577">
        <v>0.15</v>
      </c>
      <c r="I58" s="3583">
        <f>A58/SUM(A57:A59)</f>
        <v>0.15384615384615383</v>
      </c>
    </row>
    <row r="59" spans="1:9" ht="13.15" customHeight="1">
      <c r="A59" s="3581">
        <v>0.08</v>
      </c>
      <c r="B59" s="3582" t="s">
        <v>3764</v>
      </c>
      <c r="C59" s="3592" t="s">
        <v>3725</v>
      </c>
      <c r="D59" s="3593" t="s">
        <v>3735</v>
      </c>
      <c r="E59" s="3611">
        <f>D10*H59*G59/(1+G59)</f>
        <v>0</v>
      </c>
      <c r="F59" s="3604" t="s">
        <v>3736</v>
      </c>
      <c r="G59" s="3956">
        <v>0.06</v>
      </c>
      <c r="H59" s="3577">
        <v>0.2</v>
      </c>
      <c r="I59" s="3583">
        <f>1-I57-I58</f>
        <v>0.2051282051282052</v>
      </c>
    </row>
    <row r="60" spans="1:9" ht="13.15" customHeight="1">
      <c r="A60" s="3581">
        <f>SUM(A61:A62)</f>
        <v>0.1</v>
      </c>
      <c r="B60" s="3582"/>
      <c r="C60" s="3590" t="s">
        <v>3732</v>
      </c>
      <c r="D60" s="3591" t="s">
        <v>3737</v>
      </c>
      <c r="E60" s="3610">
        <f>SUM(E61:E62)</f>
        <v>0</v>
      </c>
      <c r="F60" s="3600"/>
      <c r="G60" s="3957"/>
      <c r="I60" s="2179"/>
    </row>
    <row r="61" spans="1:9" ht="13.15" customHeight="1">
      <c r="A61" s="3581">
        <v>0.05</v>
      </c>
      <c r="B61" s="3582" t="s">
        <v>3765</v>
      </c>
      <c r="C61" s="3592" t="s">
        <v>3738</v>
      </c>
      <c r="D61" s="3593" t="s">
        <v>3739</v>
      </c>
      <c r="E61" s="3611">
        <f>D17*H61*G61/(1+G61)</f>
        <v>0</v>
      </c>
      <c r="F61" s="3604" t="s">
        <v>3736</v>
      </c>
      <c r="G61" s="3956">
        <v>0.06</v>
      </c>
      <c r="H61" s="3577">
        <v>0.5</v>
      </c>
      <c r="I61" s="2179"/>
    </row>
    <row r="62" spans="1:9" ht="13.15" customHeight="1" thickBot="1">
      <c r="A62" s="3581">
        <v>0.05</v>
      </c>
      <c r="B62" s="3582" t="s">
        <v>3766</v>
      </c>
      <c r="C62" s="3595" t="s">
        <v>3724</v>
      </c>
      <c r="D62" s="3596" t="s">
        <v>3740</v>
      </c>
      <c r="E62" s="3612">
        <f>D17*H62*G62/(1+G62)</f>
        <v>0</v>
      </c>
      <c r="F62" s="3607" t="s">
        <v>3741</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3742</v>
      </c>
      <c r="D65" s="3586" t="s">
        <v>3777</v>
      </c>
      <c r="E65" s="3959">
        <f>ROUND(D6*G65,0)</f>
        <v>0</v>
      </c>
      <c r="F65" s="3597" t="s">
        <v>3778</v>
      </c>
      <c r="G65" s="3960">
        <v>0.03</v>
      </c>
      <c r="H65" s="2066"/>
      <c r="I65" s="2179"/>
    </row>
    <row r="66" spans="1:9" ht="12.75">
      <c r="C66" s="3587" t="s">
        <v>3743</v>
      </c>
      <c r="D66" s="3588" t="s">
        <v>3744</v>
      </c>
      <c r="E66" s="4067" t="s">
        <v>3942</v>
      </c>
      <c r="F66" s="3598" t="s">
        <v>3745</v>
      </c>
      <c r="G66" s="3599" t="s">
        <v>3746</v>
      </c>
      <c r="H66" s="2066"/>
      <c r="I66" s="2179"/>
    </row>
    <row r="67" spans="1:9" ht="12">
      <c r="C67" s="3589">
        <v>1</v>
      </c>
      <c r="D67" s="3588" t="s">
        <v>3747</v>
      </c>
      <c r="E67" s="3613">
        <f>E68-E73</f>
        <v>0</v>
      </c>
      <c r="F67" s="3588"/>
      <c r="G67" s="3599"/>
      <c r="H67" s="2066"/>
      <c r="I67" s="2179"/>
    </row>
    <row r="68" spans="1:9" ht="13.15" customHeight="1">
      <c r="C68" s="3614">
        <v>2</v>
      </c>
      <c r="D68" s="3588" t="s">
        <v>3748</v>
      </c>
      <c r="E68" s="3613">
        <f>SUM(E69:E70)</f>
        <v>0</v>
      </c>
      <c r="F68" s="3588"/>
      <c r="G68" s="3599"/>
      <c r="H68" s="2066"/>
      <c r="I68" s="2179"/>
    </row>
    <row r="69" spans="1:9" ht="13.15" customHeight="1">
      <c r="C69" s="3590" t="s">
        <v>3749</v>
      </c>
      <c r="D69" s="3591" t="s">
        <v>3750</v>
      </c>
      <c r="E69" s="3591"/>
      <c r="F69" s="3600" t="s">
        <v>3751</v>
      </c>
      <c r="G69" s="3601">
        <v>0.09</v>
      </c>
      <c r="H69" s="2066"/>
      <c r="I69" s="2179"/>
    </row>
    <row r="70" spans="1:9" ht="13.15" customHeight="1">
      <c r="C70" s="3590" t="s">
        <v>3730</v>
      </c>
      <c r="D70" s="3591" t="s">
        <v>3752</v>
      </c>
      <c r="E70" s="3591"/>
      <c r="F70" s="3600" t="s">
        <v>3753</v>
      </c>
      <c r="G70" s="3601">
        <v>0.06</v>
      </c>
      <c r="H70" s="2066"/>
      <c r="I70" s="2179"/>
    </row>
    <row r="71" spans="1:9" ht="13.15" customHeight="1">
      <c r="A71" s="2066" t="s">
        <v>3768</v>
      </c>
      <c r="C71" s="3614">
        <v>3</v>
      </c>
      <c r="D71" s="3588" t="s">
        <v>3754</v>
      </c>
      <c r="E71" s="3613">
        <f>E72+E77</f>
        <v>0</v>
      </c>
      <c r="F71" s="3588"/>
      <c r="G71" s="3599"/>
      <c r="H71" s="2066"/>
      <c r="I71" s="2179"/>
    </row>
    <row r="72" spans="1:9" ht="13.15" customHeight="1">
      <c r="A72" s="3581">
        <v>0.05</v>
      </c>
      <c r="B72" s="3584"/>
      <c r="C72" s="3590" t="s">
        <v>3749</v>
      </c>
      <c r="D72" s="3591" t="s">
        <v>3755</v>
      </c>
      <c r="E72" s="3591">
        <f>D9*G72/(1+G72)</f>
        <v>0</v>
      </c>
      <c r="F72" s="3602" t="s">
        <v>3767</v>
      </c>
      <c r="G72" s="3601">
        <v>0.13</v>
      </c>
      <c r="H72" s="2066"/>
      <c r="I72" s="2179"/>
    </row>
    <row r="73" spans="1:9" ht="13.15" customHeight="1">
      <c r="A73" s="3581">
        <f>SUM(A74:A76)</f>
        <v>0.2</v>
      </c>
      <c r="B73" s="3584"/>
      <c r="C73" s="3590" t="s">
        <v>3730</v>
      </c>
      <c r="D73" s="3591" t="s">
        <v>3756</v>
      </c>
      <c r="E73" s="3591">
        <f>SUM(E74:E76)</f>
        <v>0</v>
      </c>
      <c r="F73" s="3600"/>
      <c r="G73" s="3603"/>
      <c r="H73" s="2066" t="s">
        <v>3774</v>
      </c>
      <c r="I73" s="2066" t="s">
        <v>3775</v>
      </c>
    </row>
    <row r="74" spans="1:9" ht="13.15" customHeight="1">
      <c r="A74" s="3581">
        <v>0.05</v>
      </c>
      <c r="B74" s="3584" t="s">
        <v>3772</v>
      </c>
      <c r="C74" s="3615" t="s">
        <v>3757</v>
      </c>
      <c r="D74" s="3593" t="s">
        <v>3758</v>
      </c>
      <c r="E74" s="3593">
        <v>0</v>
      </c>
      <c r="F74" s="3604"/>
      <c r="G74" s="3605" t="s">
        <v>3759</v>
      </c>
      <c r="H74" s="3577">
        <v>0.25</v>
      </c>
      <c r="I74" s="3583">
        <f>A74/SUM(A74:A76)</f>
        <v>0.25</v>
      </c>
    </row>
    <row r="75" spans="1:9" ht="13.15" customHeight="1">
      <c r="A75" s="3581">
        <v>0.1</v>
      </c>
      <c r="B75" s="3584" t="s">
        <v>3770</v>
      </c>
      <c r="C75" s="3615" t="s">
        <v>3726</v>
      </c>
      <c r="D75" s="3594" t="s">
        <v>3769</v>
      </c>
      <c r="E75" s="3593">
        <f>D10*H75*G75/(1+G75)</f>
        <v>0</v>
      </c>
      <c r="F75" s="3604" t="s">
        <v>3760</v>
      </c>
      <c r="G75" s="3606">
        <v>0.09</v>
      </c>
      <c r="H75" s="3577">
        <v>0.5</v>
      </c>
      <c r="I75" s="3583">
        <f>A75/SUM(A74:A76)</f>
        <v>0.5</v>
      </c>
    </row>
    <row r="76" spans="1:9" ht="13.15" customHeight="1">
      <c r="A76" s="3581">
        <v>0.05</v>
      </c>
      <c r="B76" s="3584" t="s">
        <v>3773</v>
      </c>
      <c r="C76" s="3615" t="s">
        <v>3727</v>
      </c>
      <c r="D76" s="3593" t="s">
        <v>3735</v>
      </c>
      <c r="E76" s="3593">
        <f>D10*H76*G76/(1+G76)</f>
        <v>0</v>
      </c>
      <c r="F76" s="3604" t="s">
        <v>3736</v>
      </c>
      <c r="G76" s="3606">
        <v>0.06</v>
      </c>
      <c r="H76" s="3577">
        <v>0.25</v>
      </c>
      <c r="I76" s="3583">
        <f>1-I74-I75</f>
        <v>0.25</v>
      </c>
    </row>
    <row r="77" spans="1:9" ht="13.15" customHeight="1">
      <c r="A77" s="3581">
        <f>SUM(A78:A79)</f>
        <v>0.1</v>
      </c>
      <c r="B77" s="3584"/>
      <c r="C77" s="3590" t="s">
        <v>3732</v>
      </c>
      <c r="D77" s="3591" t="s">
        <v>3737</v>
      </c>
      <c r="E77" s="3591">
        <f>SUM(E78:E79)</f>
        <v>0</v>
      </c>
      <c r="F77" s="3600"/>
      <c r="G77" s="3603"/>
      <c r="I77" s="2179"/>
    </row>
    <row r="78" spans="1:9" ht="13.15" customHeight="1">
      <c r="A78" s="3581">
        <v>0.05</v>
      </c>
      <c r="B78" s="3584" t="s">
        <v>3763</v>
      </c>
      <c r="C78" s="3615" t="s">
        <v>3757</v>
      </c>
      <c r="D78" s="3593" t="s">
        <v>3739</v>
      </c>
      <c r="E78" s="3593">
        <f>D17*H78*G78/(1+G78)</f>
        <v>0</v>
      </c>
      <c r="F78" s="3604" t="s">
        <v>3736</v>
      </c>
      <c r="G78" s="3606">
        <v>0.06</v>
      </c>
      <c r="H78" s="3577">
        <v>0.5</v>
      </c>
      <c r="I78" s="2179"/>
    </row>
    <row r="79" spans="1:9" ht="13.15" customHeight="1" thickBot="1">
      <c r="A79" s="3581">
        <v>0.05</v>
      </c>
      <c r="B79" s="3584" t="s">
        <v>3771</v>
      </c>
      <c r="C79" s="3616" t="s">
        <v>3726</v>
      </c>
      <c r="D79" s="3596" t="s">
        <v>3740</v>
      </c>
      <c r="E79" s="3596">
        <f>D17*H79*G79/(1+G79)</f>
        <v>0</v>
      </c>
      <c r="F79" s="3607" t="s">
        <v>3741</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1563</v>
      </c>
      <c r="B1" s="1344"/>
      <c r="C1" s="1344"/>
      <c r="D1" s="1344"/>
      <c r="E1" s="1345"/>
      <c r="F1" s="1967"/>
      <c r="G1" s="1032"/>
      <c r="H1" s="1032"/>
      <c r="I1" s="1032"/>
      <c r="J1" s="1032"/>
      <c r="K1" s="1032"/>
      <c r="L1" s="1032"/>
      <c r="M1" s="1032"/>
      <c r="N1" s="1032"/>
      <c r="O1" s="1032"/>
      <c r="P1" s="1032"/>
      <c r="Q1" s="1032"/>
      <c r="R1" s="1032"/>
      <c r="S1" s="1032"/>
    </row>
    <row r="2" spans="1:22" ht="15.75">
      <c r="A2" s="1346" t="s">
        <v>1429</v>
      </c>
      <c r="B2" s="552">
        <f ca="1">SUMIF(B6:B13,"&lt;&gt;#ref!",B6:B13)</f>
        <v>12408</v>
      </c>
      <c r="C2" s="1347" t="s">
        <v>1556</v>
      </c>
      <c r="D2" s="1348" t="s">
        <v>1557</v>
      </c>
      <c r="E2" s="2878">
        <f>SUM(E6:E13)</f>
        <v>49687</v>
      </c>
      <c r="F2" s="1967"/>
      <c r="G2" s="1032"/>
      <c r="H2" s="1032"/>
      <c r="I2" s="1032"/>
      <c r="J2" s="1032"/>
      <c r="K2" s="1032"/>
      <c r="L2" s="1032"/>
      <c r="M2" s="1032"/>
      <c r="N2" s="1032"/>
      <c r="O2" s="1032"/>
      <c r="P2" s="1032"/>
      <c r="Q2" s="1032"/>
      <c r="R2" s="1032"/>
      <c r="S2" s="1032"/>
    </row>
    <row r="3" spans="1:22" ht="15.75">
      <c r="A3" s="1346" t="s">
        <v>670</v>
      </c>
      <c r="B3" s="2877">
        <f ca="1">ROUND(B2*10000/E2,0)</f>
        <v>2497</v>
      </c>
      <c r="C3" s="1347" t="s">
        <v>1564</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1558</v>
      </c>
      <c r="B5" s="4525" t="s">
        <v>1559</v>
      </c>
      <c r="C5" s="4526"/>
      <c r="D5" s="1968"/>
      <c r="E5" s="1349" t="s">
        <v>1560</v>
      </c>
      <c r="F5" s="51" t="s">
        <v>1561</v>
      </c>
      <c r="G5" s="1032"/>
      <c r="H5" s="1032"/>
      <c r="I5" s="1032"/>
      <c r="J5" s="1032"/>
      <c r="K5" s="1032"/>
      <c r="L5" s="1032"/>
      <c r="M5" s="1032"/>
      <c r="N5" s="1032"/>
      <c r="O5" s="1032"/>
      <c r="P5" s="1032"/>
      <c r="Q5" s="1032"/>
      <c r="R5" s="1032"/>
      <c r="S5" s="1032"/>
    </row>
    <row r="6" spans="1:22">
      <c r="A6" s="1883">
        <f>'数据-取费表'!AN6</f>
        <v>0</v>
      </c>
      <c r="B6" s="3628" t="e">
        <f ca="1">IF(F6="是",'数据-取费表'!AO6,0)</f>
        <v>#REF!</v>
      </c>
      <c r="C6" s="1347" t="s">
        <v>1556</v>
      </c>
      <c r="D6" s="1967"/>
      <c r="E6" s="2879">
        <f>IF(OR(A6=0,F6="否"),0,'数据-取费表'!K6+'数据-取费表'!S6)</f>
        <v>0</v>
      </c>
      <c r="F6" s="1350" t="s">
        <v>1562</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1556</v>
      </c>
      <c r="D7" s="1967"/>
      <c r="E7" s="2879">
        <f>IF(OR(A7=0,F7="否"),0,'数据-取费表'!K7+'数据-取费表'!S7)</f>
        <v>0</v>
      </c>
      <c r="F7" s="1350" t="s">
        <v>1562</v>
      </c>
      <c r="G7" s="1032"/>
      <c r="H7" s="1032"/>
      <c r="I7" s="1032"/>
      <c r="J7" s="1032"/>
      <c r="K7" s="1032"/>
      <c r="L7" s="1032"/>
      <c r="M7" s="1032"/>
      <c r="N7" s="1032"/>
      <c r="O7" s="1032"/>
      <c r="P7" s="1032"/>
      <c r="Q7" s="1032"/>
      <c r="R7" s="1032"/>
      <c r="S7" s="1032"/>
    </row>
    <row r="8" spans="1:22">
      <c r="A8" s="1883" t="str">
        <f>'数据-取费表'!AN8</f>
        <v>收益法-商业</v>
      </c>
      <c r="B8" s="3628">
        <f ca="1">IF(F8="是",'数据-取费表'!AO8,0)</f>
        <v>1164</v>
      </c>
      <c r="C8" s="1347" t="s">
        <v>1556</v>
      </c>
      <c r="D8" s="1967"/>
      <c r="E8" s="2879">
        <f>IF(OR(A8=0,F8="否"),0,'数据-取费表'!K8+'数据-取费表'!S8)</f>
        <v>1606</v>
      </c>
      <c r="F8" s="1350" t="s">
        <v>1562</v>
      </c>
      <c r="G8" s="1032"/>
      <c r="H8" s="1032"/>
      <c r="I8" s="1032"/>
      <c r="J8" s="1032"/>
      <c r="K8" s="1032"/>
      <c r="L8" s="1032"/>
      <c r="M8" s="1032"/>
      <c r="N8" s="1032"/>
      <c r="O8" s="1032"/>
      <c r="P8" s="1032"/>
      <c r="Q8" s="1032"/>
      <c r="R8" s="1032"/>
      <c r="S8" s="1032"/>
    </row>
    <row r="9" spans="1:22">
      <c r="A9" s="1883" t="str">
        <f>'数据-取费表'!AN9</f>
        <v>收益法-车库</v>
      </c>
      <c r="B9" s="3628">
        <f ca="1">IF(F9="是",'数据-取费表'!AO9,0)</f>
        <v>11244</v>
      </c>
      <c r="C9" s="1347" t="s">
        <v>1556</v>
      </c>
      <c r="D9" s="1967"/>
      <c r="E9" s="2879">
        <f>IF(OR(A9=0,F9="否"),0,'数据-取费表'!K9+'数据-取费表'!S9)</f>
        <v>48081</v>
      </c>
      <c r="F9" s="1350" t="s">
        <v>1562</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1556</v>
      </c>
      <c r="D10" s="1967"/>
      <c r="E10" s="2879">
        <f>IF(OR(A10=0,F10="否"),0,'数据-取费表'!K10+'数据-取费表'!S10)</f>
        <v>0</v>
      </c>
      <c r="F10" s="1350" t="s">
        <v>1562</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1556</v>
      </c>
      <c r="D11" s="1967"/>
      <c r="E11" s="2879">
        <f>IF(OR(A11=0,F11="否"),0,'数据-取费表'!K11+'数据-取费表'!S11)</f>
        <v>0</v>
      </c>
      <c r="F11" s="1350" t="s">
        <v>1562</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1556</v>
      </c>
      <c r="D12" s="1967"/>
      <c r="E12" s="2879">
        <f>IF(OR(A12=0,F12="否"),0,'数据-取费表'!K12+'数据-取费表'!S12)</f>
        <v>0</v>
      </c>
      <c r="F12" s="1350" t="s">
        <v>1562</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1556</v>
      </c>
      <c r="D13" s="1969"/>
      <c r="E13" s="2879">
        <f>IF(OR(A13=0,F13="否"),0,'数据-取费表'!K13+'数据-取费表'!S13)</f>
        <v>0</v>
      </c>
      <c r="F13" s="1350" t="s">
        <v>1562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30" t="s">
        <v>1989</v>
      </c>
      <c r="D1" s="4531"/>
      <c r="E1" s="4531"/>
      <c r="F1" s="4531"/>
      <c r="G1" s="4531"/>
      <c r="H1" s="4531"/>
      <c r="I1" s="4531"/>
      <c r="J1" s="4531"/>
      <c r="K1" s="4531"/>
      <c r="L1" s="4531"/>
      <c r="M1" s="4531"/>
      <c r="N1" s="4531"/>
      <c r="O1" s="4531"/>
      <c r="P1" s="4531"/>
      <c r="Q1" s="4531"/>
      <c r="R1" s="4531"/>
      <c r="S1" s="4532"/>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84" t="e">
        <f ca="1">IF(D20="——",S22,S22-F20)</f>
        <v>#REF!</v>
      </c>
      <c r="C20" s="60"/>
      <c r="D20" s="1579"/>
      <c r="E20" s="897"/>
      <c r="F20" s="3183"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84"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527" t="s">
        <v>25</v>
      </c>
      <c r="D22" s="4528"/>
      <c r="E22" s="4528"/>
      <c r="F22" s="4528"/>
      <c r="G22" s="4528"/>
      <c r="H22" s="4528"/>
      <c r="I22" s="4528"/>
      <c r="J22" s="4528"/>
      <c r="K22" s="4528"/>
      <c r="L22" s="4528"/>
      <c r="M22" s="4528"/>
      <c r="N22" s="4528"/>
      <c r="O22" s="4528"/>
      <c r="P22" s="4528"/>
      <c r="Q22" s="4529"/>
      <c r="R22" s="2665" t="e">
        <f>ROUND(S22*10000/B22,0)</f>
        <v>#DIV/0!</v>
      </c>
      <c r="S22" s="2665">
        <f>SUM(S24:S10000)</f>
        <v>0</v>
      </c>
    </row>
    <row r="23" spans="1:45" s="7" customFormat="1" ht="24">
      <c r="A23" s="6" t="s">
        <v>2005</v>
      </c>
      <c r="B23" s="3178"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2010</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880</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881</v>
      </c>
    </row>
    <row r="6" spans="1:1" ht="18.75">
      <c r="A6" s="1027" t="s">
        <v>882</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估价对象为北京市房地产，为所有。根据《国有土地使用证》[]，估价对象（分摊）出让国有建设用地使用权面积为21574平方米，建筑面积为153829平方米。</v>
      </c>
    </row>
    <row r="8" spans="1:1" ht="57.75">
      <c r="A8" s="1028" t="s">
        <v>883</v>
      </c>
    </row>
    <row r="9" spans="1:1" ht="18.75">
      <c r="A9" s="1027" t="s">
        <v>884</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估价对象为北京市房地产,属开发建设的，该项目尚在开发建设中。根据《国有土地使用证》[]，估价对象（分摊）出让国有建设用地使用权面积为21574平方米，规划建筑面积为153829平方米。</v>
      </c>
    </row>
    <row r="11" spans="1:1" ht="76.5">
      <c r="A11" s="1028" t="s">
        <v>885</v>
      </c>
    </row>
    <row r="12" spans="1:1" ht="18.75">
      <c r="A12" s="1026" t="s">
        <v>886</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887</v>
      </c>
    </row>
    <row r="15" spans="1:1" ht="18">
      <c r="A15" s="1029" t="str">
        <f>TEXT(项目基本情况!D3,"yyyy年m月d日;;")&amp;IF(项目基本情况!D3=项目基本情况!B3,"（评估专业人员实地查勘之日）","")</f>
        <v>2026年3月24日（评估专业人员实地查勘之日）</v>
      </c>
    </row>
    <row r="16" spans="1:1" ht="18.75">
      <c r="A16" s="1024" t="s">
        <v>888</v>
      </c>
    </row>
    <row r="17" spans="1:1" ht="75">
      <c r="A17" s="1025" t="s">
        <v>889</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878</v>
      </c>
    </row>
    <row r="24" spans="1:1" ht="18">
      <c r="A24" s="1030" t="str">
        <f>"本次评估采用的主估价方法为"&amp;结果表!K4&amp;"和"&amp;结果表!L4&amp;"。"</f>
        <v>本次评估采用的主估价方法为比较法和假设开发法。</v>
      </c>
    </row>
    <row r="25" spans="1:1" ht="18">
      <c r="A25" s="1030"/>
    </row>
    <row r="26" spans="1:1" ht="18.75">
      <c r="A26" s="1031" t="s">
        <v>879</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L27" sqref="L2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1773</v>
      </c>
      <c r="D1" s="469"/>
      <c r="E1" s="469"/>
      <c r="F1" s="468" t="s">
        <v>1672</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2525">
        <f>F67</f>
        <v>22768</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f>ROUND(IF(D3="",B2*10000/'数据-汇总表'!E3,B2*10000/D3),0)</f>
        <v>1480</v>
      </c>
      <c r="C3" s="98" t="s">
        <v>1774</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3619</v>
      </c>
      <c r="B4" s="3388">
        <f>IF(B48="单位面积地价",C50,ROUND(B2*10000/'数据-汇总表'!D3,0))</f>
        <v>10553</v>
      </c>
      <c r="C4" s="1336" t="s">
        <v>3621</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f>ROUND(B2/('数据-汇总表'!D3/666.67),0)</f>
        <v>704</v>
      </c>
      <c r="C5" s="3389" t="s">
        <v>3620</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1674</v>
      </c>
      <c r="B6" s="236"/>
      <c r="C6" s="4553" t="s">
        <v>1675</v>
      </c>
      <c r="D6" s="4554"/>
      <c r="E6" s="4555" t="s">
        <v>1676</v>
      </c>
      <c r="F6" s="4556"/>
      <c r="G6" s="4553" t="s">
        <v>1677</v>
      </c>
      <c r="H6" s="4554"/>
      <c r="I6" s="4553" t="s">
        <v>1678</v>
      </c>
      <c r="J6" s="4554"/>
      <c r="K6" s="2863" t="s">
        <v>1679</v>
      </c>
      <c r="L6" s="1974"/>
      <c r="M6" s="1975"/>
      <c r="N6" s="1975"/>
      <c r="O6" s="1975"/>
      <c r="P6" s="4557" t="s">
        <v>1680</v>
      </c>
      <c r="Q6" s="4558"/>
      <c r="R6" s="4538" t="s">
        <v>1676</v>
      </c>
      <c r="S6" s="4539"/>
      <c r="T6" s="4538" t="s">
        <v>1677</v>
      </c>
      <c r="U6" s="4539"/>
      <c r="V6" s="4565" t="s">
        <v>1678</v>
      </c>
      <c r="W6" s="4565"/>
      <c r="X6" s="909"/>
      <c r="Y6" s="4568" t="s">
        <v>1680</v>
      </c>
      <c r="Z6" s="4569"/>
      <c r="AA6" s="4533" t="s">
        <v>1676</v>
      </c>
      <c r="AB6" s="4534" t="s">
        <v>1677</v>
      </c>
      <c r="AC6" s="4533" t="s">
        <v>1678</v>
      </c>
    </row>
    <row r="7" spans="1:29" ht="15">
      <c r="A7" s="238"/>
      <c r="B7" s="239"/>
      <c r="C7" s="4544" t="s">
        <v>4101</v>
      </c>
      <c r="D7" s="4545"/>
      <c r="E7" s="4542" t="s">
        <v>4181</v>
      </c>
      <c r="F7" s="4543"/>
      <c r="G7" s="4548" t="s">
        <v>4182</v>
      </c>
      <c r="H7" s="4545"/>
      <c r="I7" s="4548" t="s">
        <v>4183</v>
      </c>
      <c r="J7" s="4545"/>
      <c r="K7" s="2863"/>
      <c r="L7" s="1974"/>
      <c r="M7" s="1975"/>
      <c r="N7" s="1975"/>
      <c r="O7" s="1975"/>
      <c r="P7" s="4559"/>
      <c r="Q7" s="4560"/>
      <c r="R7" s="4540"/>
      <c r="S7" s="4541"/>
      <c r="T7" s="4540"/>
      <c r="U7" s="4541"/>
      <c r="V7" s="4565"/>
      <c r="W7" s="4565"/>
      <c r="X7" s="909"/>
      <c r="Y7" s="4570"/>
      <c r="Z7" s="4571"/>
      <c r="AA7" s="4534"/>
      <c r="AB7" s="4534"/>
      <c r="AC7" s="4534"/>
    </row>
    <row r="8" spans="1:29" ht="15.75" thickBot="1">
      <c r="A8" s="240"/>
      <c r="B8" s="241"/>
      <c r="C8" s="4546"/>
      <c r="D8" s="4547"/>
      <c r="E8" s="4549"/>
      <c r="F8" s="4550"/>
      <c r="G8" s="4546"/>
      <c r="H8" s="4547"/>
      <c r="I8" s="4546"/>
      <c r="J8" s="4547"/>
      <c r="K8" s="2863" t="s">
        <v>1583</v>
      </c>
      <c r="L8" s="1974"/>
      <c r="M8" s="1975"/>
      <c r="N8" s="1975"/>
      <c r="O8" s="1975"/>
      <c r="P8" s="4561"/>
      <c r="Q8" s="4562"/>
      <c r="R8" s="4540"/>
      <c r="S8" s="4541"/>
      <c r="T8" s="4563"/>
      <c r="U8" s="4564"/>
      <c r="V8" s="4565"/>
      <c r="W8" s="4565"/>
      <c r="X8" s="909"/>
      <c r="Y8" s="4572"/>
      <c r="Z8" s="4573"/>
      <c r="AA8" s="4535"/>
      <c r="AB8" s="4535"/>
      <c r="AC8" s="4535"/>
    </row>
    <row r="9" spans="1:29" s="46" customFormat="1" ht="15.75" thickBot="1">
      <c r="A9" s="3089" t="s">
        <v>1584</v>
      </c>
      <c r="B9" s="3090"/>
      <c r="C9" s="2811">
        <f>'数据-取费表'!B2</f>
        <v>46105</v>
      </c>
      <c r="D9" s="2886">
        <v>100</v>
      </c>
      <c r="E9" s="2840">
        <v>46003</v>
      </c>
      <c r="F9" s="3717">
        <f>SUMIF(71:71,YEAR(E9)&amp;"-"&amp;INT((MONTH(E9)+2)/3),72:72)</f>
        <v>101</v>
      </c>
      <c r="G9" s="3120">
        <v>46003</v>
      </c>
      <c r="H9" s="3729">
        <f>SUMIF(71:71,YEAR(G9)&amp;"-"&amp;INT((MONTH(G9)+2)/3),72:72)</f>
        <v>101</v>
      </c>
      <c r="I9" s="3120">
        <v>46001</v>
      </c>
      <c r="J9" s="3729">
        <f>SUMIF(71:71,YEAR(I9)&amp;"-"&amp;INT((MONTH(I9)+2)/3),72:72)</f>
        <v>101</v>
      </c>
      <c r="K9" s="3124"/>
      <c r="L9" s="1976"/>
      <c r="M9" s="1929"/>
      <c r="N9" s="1929"/>
      <c r="O9" s="1929"/>
      <c r="P9" s="4566" t="s">
        <v>1585</v>
      </c>
      <c r="Q9" s="4574"/>
      <c r="R9" s="3759" t="s">
        <v>13</v>
      </c>
      <c r="S9" s="3542">
        <f t="shared" ref="S9:S17" si="0">F9</f>
        <v>101</v>
      </c>
      <c r="T9" s="3759" t="s">
        <v>13</v>
      </c>
      <c r="U9" s="3542">
        <f t="shared" ref="U9:U17" si="1">H9</f>
        <v>101</v>
      </c>
      <c r="V9" s="3759" t="s">
        <v>13</v>
      </c>
      <c r="W9" s="3542">
        <f t="shared" ref="W9:W17" si="2">J9</f>
        <v>101</v>
      </c>
      <c r="X9" s="482"/>
      <c r="Y9" s="4536" t="s">
        <v>1585</v>
      </c>
      <c r="Z9" s="4537"/>
      <c r="AA9" s="28">
        <f>D9/F9</f>
        <v>0.99009900990099009</v>
      </c>
      <c r="AB9" s="28">
        <f>D9/H9</f>
        <v>0.99009900990099009</v>
      </c>
      <c r="AC9" s="28">
        <f>D9/J9</f>
        <v>0.99009900990099009</v>
      </c>
    </row>
    <row r="10" spans="1:29" s="46" customFormat="1" ht="15.75" thickBot="1">
      <c r="A10" s="3089" t="s">
        <v>1586</v>
      </c>
      <c r="B10" s="3090"/>
      <c r="C10" s="2812" t="s">
        <v>4092</v>
      </c>
      <c r="D10" s="2886">
        <v>100</v>
      </c>
      <c r="E10" s="2812" t="s">
        <v>4092</v>
      </c>
      <c r="F10" s="3717">
        <f>SUMIF(74:74,E10,75:75)-SUMIF(74:74,C10,75:75)+100</f>
        <v>100</v>
      </c>
      <c r="G10" s="2812" t="s">
        <v>4092</v>
      </c>
      <c r="H10" s="3729">
        <f>SUMIF(74:74,G10,75:75)-SUMIF(74:74,C10,75:75)+100</f>
        <v>100</v>
      </c>
      <c r="I10" s="2812" t="s">
        <v>4092</v>
      </c>
      <c r="J10" s="3729">
        <f>SUMIF(74:74,I10,75:75)-SUMIF(74:74,C10,75:75)+100</f>
        <v>100</v>
      </c>
      <c r="K10" s="3124"/>
      <c r="L10" s="1976"/>
      <c r="M10" s="1929"/>
      <c r="N10" s="1929"/>
      <c r="O10" s="1929"/>
      <c r="P10" s="4566" t="s">
        <v>1588</v>
      </c>
      <c r="Q10" s="4567"/>
      <c r="R10" s="3759" t="s">
        <v>13</v>
      </c>
      <c r="S10" s="3542">
        <f t="shared" si="0"/>
        <v>100</v>
      </c>
      <c r="T10" s="3759" t="s">
        <v>13</v>
      </c>
      <c r="U10" s="3542">
        <f t="shared" si="1"/>
        <v>100</v>
      </c>
      <c r="V10" s="3759" t="s">
        <v>13</v>
      </c>
      <c r="W10" s="3542">
        <f t="shared" si="2"/>
        <v>100</v>
      </c>
      <c r="X10" s="482"/>
      <c r="Y10" s="4536" t="s">
        <v>1588</v>
      </c>
      <c r="Z10" s="4537"/>
      <c r="AA10" s="28">
        <f t="shared" ref="AA10:AA47" si="3">D10/F10</f>
        <v>1</v>
      </c>
      <c r="AB10" s="28">
        <f t="shared" ref="AB10:AB47" si="4">D10/H10</f>
        <v>1</v>
      </c>
      <c r="AC10" s="28">
        <f t="shared" ref="AC10:AC47" si="5">D10/J10</f>
        <v>1</v>
      </c>
    </row>
    <row r="11" spans="1:29" s="46" customFormat="1">
      <c r="A11" s="3029" t="s">
        <v>1589</v>
      </c>
      <c r="B11" s="2792" t="s">
        <v>1590</v>
      </c>
      <c r="C11" s="4259" t="s">
        <v>4093</v>
      </c>
      <c r="D11" s="2887">
        <v>100</v>
      </c>
      <c r="E11" s="3091" t="s">
        <v>3261</v>
      </c>
      <c r="F11" s="3730">
        <f>SUMIF(76:76,E11,77:77)-SUMIF(76:76,C11,77:77)+100</f>
        <v>100</v>
      </c>
      <c r="G11" s="3091" t="s">
        <v>3261</v>
      </c>
      <c r="H11" s="3730">
        <f>SUMIF(76:76,G11,77:77)-SUMIF(76:76,C11,77:77)+100</f>
        <v>100</v>
      </c>
      <c r="I11" s="3091" t="s">
        <v>3261</v>
      </c>
      <c r="J11" s="3730">
        <f>SUMIF(76:76,I11,77:77)-SUMIF(76:76,C11,77:77)+100</f>
        <v>100</v>
      </c>
      <c r="K11" s="3124"/>
      <c r="L11" s="1976"/>
      <c r="M11" s="1929"/>
      <c r="N11" s="1929"/>
      <c r="O11" s="2028"/>
      <c r="P11" s="4551" t="s">
        <v>1591</v>
      </c>
      <c r="Q11" s="1698" t="str">
        <f t="shared" ref="Q11:Q17" si="6">B11</f>
        <v>用途</v>
      </c>
      <c r="R11" s="3759" t="s">
        <v>13</v>
      </c>
      <c r="S11" s="3542">
        <f t="shared" si="0"/>
        <v>100</v>
      </c>
      <c r="T11" s="3759" t="s">
        <v>13</v>
      </c>
      <c r="U11" s="3542">
        <f t="shared" si="1"/>
        <v>100</v>
      </c>
      <c r="V11" s="3759" t="s">
        <v>13</v>
      </c>
      <c r="W11" s="3542">
        <f t="shared" si="2"/>
        <v>100</v>
      </c>
      <c r="X11" s="482"/>
      <c r="Y11" s="4552" t="s">
        <v>1592</v>
      </c>
      <c r="Z11" s="28" t="str">
        <f t="shared" ref="Z11:Z17" si="7">Q11</f>
        <v>用途</v>
      </c>
      <c r="AA11" s="28">
        <f t="shared" si="3"/>
        <v>1</v>
      </c>
      <c r="AB11" s="28">
        <f t="shared" si="4"/>
        <v>1</v>
      </c>
      <c r="AC11" s="28">
        <f t="shared" si="5"/>
        <v>1</v>
      </c>
    </row>
    <row r="12" spans="1:29" s="253" customFormat="1" ht="27">
      <c r="A12" s="3092"/>
      <c r="B12" s="2789" t="s">
        <v>1593</v>
      </c>
      <c r="C12" s="2816"/>
      <c r="D12" s="2888">
        <v>100</v>
      </c>
      <c r="E12" s="2866"/>
      <c r="F12" s="3731">
        <f>ROUND(100/'数据-取费表'!G16,1)</f>
        <v>102.7</v>
      </c>
      <c r="G12" s="2872"/>
      <c r="H12" s="3731">
        <f>ROUND(100/'数据-取费表'!G16,1)</f>
        <v>102.7</v>
      </c>
      <c r="I12" s="2872"/>
      <c r="J12" s="3731">
        <f>ROUND(100/'数据-取费表'!G16,1)</f>
        <v>102.7</v>
      </c>
      <c r="K12" s="3125"/>
      <c r="L12" s="1977"/>
      <c r="M12" s="1978"/>
      <c r="N12" s="1978"/>
      <c r="O12" s="2029"/>
      <c r="P12" s="4551"/>
      <c r="Q12" s="1698" t="str">
        <f t="shared" si="6"/>
        <v>土地使用年限（年）</v>
      </c>
      <c r="R12" s="3759" t="s">
        <v>13</v>
      </c>
      <c r="S12" s="3542">
        <f t="shared" si="0"/>
        <v>102.7</v>
      </c>
      <c r="T12" s="3759" t="s">
        <v>13</v>
      </c>
      <c r="U12" s="3542">
        <f t="shared" si="1"/>
        <v>102.7</v>
      </c>
      <c r="V12" s="3759" t="s">
        <v>13</v>
      </c>
      <c r="W12" s="3542">
        <f t="shared" si="2"/>
        <v>102.7</v>
      </c>
      <c r="X12" s="482"/>
      <c r="Y12" s="4552"/>
      <c r="Z12" s="28" t="str">
        <f t="shared" si="7"/>
        <v>土地使用年限（年）</v>
      </c>
      <c r="AA12" s="28">
        <f t="shared" si="3"/>
        <v>0.97370983446932813</v>
      </c>
      <c r="AB12" s="28">
        <f t="shared" si="4"/>
        <v>0.97370983446932813</v>
      </c>
      <c r="AC12" s="28">
        <f t="shared" si="5"/>
        <v>0.97370983446932813</v>
      </c>
    </row>
    <row r="13" spans="1:29" ht="15">
      <c r="A13" s="3093"/>
      <c r="B13" s="2789" t="s">
        <v>1594</v>
      </c>
      <c r="C13" s="2815">
        <v>3.5</v>
      </c>
      <c r="D13" s="2888">
        <v>100</v>
      </c>
      <c r="E13" s="2815">
        <v>2.5</v>
      </c>
      <c r="F13" s="3731">
        <f>LOOKUP(E13,81:81,82:82)-LOOKUP(C13,81:81,82:82)+100</f>
        <v>104</v>
      </c>
      <c r="G13" s="2843">
        <v>2.5</v>
      </c>
      <c r="H13" s="3731">
        <f>LOOKUP(G13,81:81,82:82)-LOOKUP(C13,81:81,82:82)+100</f>
        <v>104</v>
      </c>
      <c r="I13" s="2815">
        <v>3.5</v>
      </c>
      <c r="J13" s="3731">
        <f>LOOKUP(I13,81:81,82:82)-LOOKUP(C13,81:81,82:82)+100</f>
        <v>100</v>
      </c>
      <c r="K13" s="3149">
        <v>2</v>
      </c>
      <c r="L13" s="1979"/>
      <c r="M13" s="1975"/>
      <c r="N13" s="1975"/>
      <c r="O13" s="2030"/>
      <c r="P13" s="4551"/>
      <c r="Q13" s="1698" t="str">
        <f t="shared" si="6"/>
        <v>容积率</v>
      </c>
      <c r="R13" s="3759" t="s">
        <v>13</v>
      </c>
      <c r="S13" s="3542">
        <f t="shared" si="0"/>
        <v>104</v>
      </c>
      <c r="T13" s="3759" t="s">
        <v>13</v>
      </c>
      <c r="U13" s="3542">
        <f t="shared" si="1"/>
        <v>104</v>
      </c>
      <c r="V13" s="3759" t="s">
        <v>13</v>
      </c>
      <c r="W13" s="3542">
        <f t="shared" si="2"/>
        <v>100</v>
      </c>
      <c r="X13" s="482"/>
      <c r="Y13" s="4552"/>
      <c r="Z13" s="28" t="str">
        <f t="shared" si="7"/>
        <v>容积率</v>
      </c>
      <c r="AA13" s="28">
        <f t="shared" si="3"/>
        <v>0.96153846153846156</v>
      </c>
      <c r="AB13" s="28">
        <f t="shared" si="4"/>
        <v>0.96153846153846156</v>
      </c>
      <c r="AC13" s="28">
        <f t="shared" si="5"/>
        <v>1</v>
      </c>
    </row>
    <row r="14" spans="1:29" s="46" customFormat="1" ht="15">
      <c r="A14" s="3094"/>
      <c r="B14" s="2793" t="s">
        <v>1775</v>
      </c>
      <c r="C14" s="4260" t="s">
        <v>4095</v>
      </c>
      <c r="D14" s="2889">
        <v>100</v>
      </c>
      <c r="E14" s="4261" t="s">
        <v>4095</v>
      </c>
      <c r="F14" s="3731">
        <f>SUMIF(83:83,E14,84:84)-SUMIF(83:83,C14,84:84)+100</f>
        <v>100</v>
      </c>
      <c r="G14" s="2872" t="s">
        <v>4095</v>
      </c>
      <c r="H14" s="3731">
        <f>SUMIF(83:83,G14,84:84)-SUMIF(83:83,C14,84:84)+100</f>
        <v>100</v>
      </c>
      <c r="I14" s="2866" t="s">
        <v>4095</v>
      </c>
      <c r="J14" s="3731">
        <f>SUMIF(83:83,I14,84:84)-SUMIF(83:83,C14,84:84)+100</f>
        <v>100</v>
      </c>
      <c r="K14" s="3150"/>
      <c r="L14" s="1976"/>
      <c r="M14" s="1929"/>
      <c r="N14" s="1929"/>
      <c r="O14" s="2028"/>
      <c r="P14" s="4551"/>
      <c r="Q14" s="1698" t="str">
        <f t="shared" si="6"/>
        <v>配建</v>
      </c>
      <c r="R14" s="3759" t="s">
        <v>13</v>
      </c>
      <c r="S14" s="3542">
        <f t="shared" si="0"/>
        <v>100</v>
      </c>
      <c r="T14" s="3759" t="s">
        <v>13</v>
      </c>
      <c r="U14" s="3542">
        <f t="shared" si="1"/>
        <v>100</v>
      </c>
      <c r="V14" s="3759" t="s">
        <v>13</v>
      </c>
      <c r="W14" s="3542">
        <f t="shared" si="2"/>
        <v>100</v>
      </c>
      <c r="X14" s="482"/>
      <c r="Y14" s="4552"/>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51"/>
      <c r="Q15" s="1698">
        <f t="shared" si="6"/>
        <v>111</v>
      </c>
      <c r="R15" s="3759" t="s">
        <v>13</v>
      </c>
      <c r="S15" s="3542">
        <f t="shared" si="0"/>
        <v>100</v>
      </c>
      <c r="T15" s="3759" t="s">
        <v>13</v>
      </c>
      <c r="U15" s="3542">
        <f t="shared" si="1"/>
        <v>100</v>
      </c>
      <c r="V15" s="3759" t="s">
        <v>13</v>
      </c>
      <c r="W15" s="3542">
        <f t="shared" si="2"/>
        <v>100</v>
      </c>
      <c r="X15" s="482"/>
      <c r="Y15" s="4552"/>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51"/>
      <c r="Q16" s="1698">
        <f t="shared" si="6"/>
        <v>111</v>
      </c>
      <c r="R16" s="3759" t="s">
        <v>13</v>
      </c>
      <c r="S16" s="3542">
        <f t="shared" si="0"/>
        <v>100</v>
      </c>
      <c r="T16" s="3759" t="s">
        <v>13</v>
      </c>
      <c r="U16" s="3542">
        <f t="shared" si="1"/>
        <v>100</v>
      </c>
      <c r="V16" s="3759" t="s">
        <v>13</v>
      </c>
      <c r="W16" s="3542">
        <f t="shared" si="2"/>
        <v>100</v>
      </c>
      <c r="X16" s="482"/>
      <c r="Y16" s="4552"/>
      <c r="Z16" s="28">
        <f t="shared" si="7"/>
        <v>111</v>
      </c>
      <c r="AA16" s="28">
        <f>D16/F16</f>
        <v>1</v>
      </c>
      <c r="AB16" s="28">
        <f>D16/H16</f>
        <v>1</v>
      </c>
      <c r="AC16" s="28">
        <f>D16/J16</f>
        <v>1</v>
      </c>
    </row>
    <row r="17" spans="1:29" ht="15">
      <c r="A17" s="3096" t="s">
        <v>1595</v>
      </c>
      <c r="B17" s="2795" t="s">
        <v>1233</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v>3</v>
      </c>
      <c r="L17" s="1980"/>
      <c r="M17" s="1975"/>
      <c r="N17" s="1975"/>
      <c r="O17" s="2030"/>
      <c r="P17" s="4575" t="s">
        <v>1596</v>
      </c>
      <c r="Q17" s="1507" t="str">
        <f t="shared" si="6"/>
        <v>居住社区成熟度</v>
      </c>
      <c r="R17" s="3760" t="s">
        <v>13</v>
      </c>
      <c r="S17" s="3762">
        <f t="shared" si="0"/>
        <v>100</v>
      </c>
      <c r="T17" s="3760" t="s">
        <v>13</v>
      </c>
      <c r="U17" s="3762">
        <f t="shared" si="1"/>
        <v>100</v>
      </c>
      <c r="V17" s="3760" t="s">
        <v>13</v>
      </c>
      <c r="W17" s="3762">
        <f t="shared" si="2"/>
        <v>100</v>
      </c>
      <c r="X17" s="909"/>
      <c r="Y17" s="4577" t="s">
        <v>1596</v>
      </c>
      <c r="Z17" s="907" t="str">
        <f t="shared" si="7"/>
        <v>居住社区成熟度</v>
      </c>
      <c r="AA17" s="907">
        <f t="shared" si="3"/>
        <v>1</v>
      </c>
      <c r="AB17" s="907">
        <f t="shared" si="4"/>
        <v>1</v>
      </c>
      <c r="AC17" s="907">
        <f t="shared" si="5"/>
        <v>1</v>
      </c>
    </row>
    <row r="18" spans="1:29" ht="15">
      <c r="A18" s="3093"/>
      <c r="B18" s="2796"/>
      <c r="C18" s="2820" t="s">
        <v>3600</v>
      </c>
      <c r="D18" s="2893"/>
      <c r="E18" s="2848" t="s">
        <v>3600</v>
      </c>
      <c r="F18" s="3722"/>
      <c r="G18" s="2848" t="s">
        <v>3600</v>
      </c>
      <c r="H18" s="3723"/>
      <c r="I18" s="2854" t="s">
        <v>3600</v>
      </c>
      <c r="J18" s="3722"/>
      <c r="K18" s="3150"/>
      <c r="L18" s="1980"/>
      <c r="M18" s="1975"/>
      <c r="N18" s="1975"/>
      <c r="O18" s="2030"/>
      <c r="P18" s="4576"/>
      <c r="Q18" s="1507"/>
      <c r="R18" s="3760"/>
      <c r="S18" s="3762"/>
      <c r="T18" s="3760"/>
      <c r="U18" s="3762"/>
      <c r="V18" s="3760"/>
      <c r="W18" s="3762"/>
      <c r="X18" s="909"/>
      <c r="Y18" s="4578"/>
      <c r="Z18" s="907"/>
      <c r="AA18" s="907">
        <v>1</v>
      </c>
      <c r="AB18" s="907">
        <v>1</v>
      </c>
      <c r="AC18" s="907">
        <v>1</v>
      </c>
    </row>
    <row r="19" spans="1:29" ht="15">
      <c r="A19" s="3093"/>
      <c r="B19" s="2797" t="s">
        <v>1682</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v>3</v>
      </c>
      <c r="L19" s="1980"/>
      <c r="M19" s="1975"/>
      <c r="N19" s="1975"/>
      <c r="O19" s="2030"/>
      <c r="P19" s="4576"/>
      <c r="Q19" s="1507" t="str">
        <f>B19</f>
        <v>商业繁华度</v>
      </c>
      <c r="R19" s="3760" t="s">
        <v>13</v>
      </c>
      <c r="S19" s="3762">
        <f>F19</f>
        <v>100</v>
      </c>
      <c r="T19" s="3760" t="s">
        <v>13</v>
      </c>
      <c r="U19" s="3762">
        <f>H19</f>
        <v>100</v>
      </c>
      <c r="V19" s="3760" t="s">
        <v>13</v>
      </c>
      <c r="W19" s="3762">
        <f>J19</f>
        <v>100</v>
      </c>
      <c r="X19" s="909"/>
      <c r="Y19" s="4578"/>
      <c r="Z19" s="907" t="str">
        <f>Q19</f>
        <v>商业繁华度</v>
      </c>
      <c r="AA19" s="907">
        <f t="shared" si="3"/>
        <v>1</v>
      </c>
      <c r="AB19" s="907">
        <f t="shared" si="4"/>
        <v>1</v>
      </c>
      <c r="AC19" s="907">
        <f t="shared" si="5"/>
        <v>1</v>
      </c>
    </row>
    <row r="20" spans="1:29" ht="15">
      <c r="A20" s="3093"/>
      <c r="B20" s="2798"/>
      <c r="C20" s="2822" t="s">
        <v>3600</v>
      </c>
      <c r="D20" s="2894"/>
      <c r="E20" s="2846" t="s">
        <v>3600</v>
      </c>
      <c r="F20" s="3723"/>
      <c r="G20" s="2846" t="s">
        <v>3600</v>
      </c>
      <c r="H20" s="3722"/>
      <c r="I20" s="2852" t="s">
        <v>3600</v>
      </c>
      <c r="J20" s="3722"/>
      <c r="K20" s="3150"/>
      <c r="L20" s="1980"/>
      <c r="M20" s="1975"/>
      <c r="N20" s="1975"/>
      <c r="O20" s="2030"/>
      <c r="P20" s="4576"/>
      <c r="Q20" s="1507"/>
      <c r="R20" s="3760"/>
      <c r="S20" s="3762"/>
      <c r="T20" s="3760"/>
      <c r="U20" s="3762"/>
      <c r="V20" s="3760"/>
      <c r="W20" s="3762"/>
      <c r="X20" s="909"/>
      <c r="Y20" s="4578"/>
      <c r="Z20" s="907"/>
      <c r="AA20" s="907">
        <v>1</v>
      </c>
      <c r="AB20" s="907">
        <v>1</v>
      </c>
      <c r="AC20" s="907">
        <v>1</v>
      </c>
    </row>
    <row r="21" spans="1:29" ht="15">
      <c r="A21" s="3093"/>
      <c r="B21" s="2797" t="s">
        <v>1716</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v>0</v>
      </c>
      <c r="L21" s="1980"/>
      <c r="M21" s="1975"/>
      <c r="N21" s="1975"/>
      <c r="O21" s="2030"/>
      <c r="P21" s="4576"/>
      <c r="Q21" s="1507" t="str">
        <f>B21</f>
        <v>办公集聚程度</v>
      </c>
      <c r="R21" s="3760" t="s">
        <v>13</v>
      </c>
      <c r="S21" s="3762">
        <f>F21</f>
        <v>100</v>
      </c>
      <c r="T21" s="3760" t="s">
        <v>13</v>
      </c>
      <c r="U21" s="3762">
        <f>H21</f>
        <v>100</v>
      </c>
      <c r="V21" s="3760" t="s">
        <v>13</v>
      </c>
      <c r="W21" s="3762">
        <f>J21</f>
        <v>100</v>
      </c>
      <c r="X21" s="909"/>
      <c r="Y21" s="4578"/>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576"/>
      <c r="Q22" s="1507"/>
      <c r="R22" s="3760"/>
      <c r="S22" s="3762"/>
      <c r="T22" s="3760"/>
      <c r="U22" s="3762"/>
      <c r="V22" s="3760"/>
      <c r="W22" s="3762"/>
      <c r="X22" s="909"/>
      <c r="Y22" s="4578"/>
      <c r="Z22" s="907"/>
      <c r="AA22" s="907">
        <v>1</v>
      </c>
      <c r="AB22" s="907">
        <v>1</v>
      </c>
      <c r="AC22" s="907">
        <v>1</v>
      </c>
    </row>
    <row r="23" spans="1:29" ht="15">
      <c r="A23" s="3093"/>
      <c r="B23" s="2797" t="s">
        <v>1738</v>
      </c>
      <c r="C23" s="2821">
        <f>估价对象房地状况!C18</f>
        <v>0</v>
      </c>
      <c r="D23" s="2894">
        <v>100</v>
      </c>
      <c r="E23" s="2845"/>
      <c r="F23" s="3724">
        <f>SUMIF(95:95,E24,96:96)-SUMIF(95:95,C24,96:96)+100</f>
        <v>97</v>
      </c>
      <c r="G23" s="2845"/>
      <c r="H23" s="3723">
        <f>SUMIF(95:95,G24,96:96)-SUMIF(95:95,C24,96:96)+100</f>
        <v>97</v>
      </c>
      <c r="I23" s="2851"/>
      <c r="J23" s="3723">
        <f>SUMIF(95:95,I24,96:96)-SUMIF(95:95,C24,96:96)+100</f>
        <v>100</v>
      </c>
      <c r="K23" s="3149">
        <v>3</v>
      </c>
      <c r="L23" s="1980"/>
      <c r="M23" s="1975"/>
      <c r="N23" s="1975"/>
      <c r="O23" s="2030"/>
      <c r="P23" s="4576"/>
      <c r="Q23" s="1507" t="str">
        <f>B23</f>
        <v>交通便捷度</v>
      </c>
      <c r="R23" s="3760" t="s">
        <v>13</v>
      </c>
      <c r="S23" s="3762">
        <f>F23</f>
        <v>97</v>
      </c>
      <c r="T23" s="3760" t="s">
        <v>13</v>
      </c>
      <c r="U23" s="3762">
        <f>H23</f>
        <v>97</v>
      </c>
      <c r="V23" s="3760" t="s">
        <v>13</v>
      </c>
      <c r="W23" s="3762">
        <f>J23</f>
        <v>100</v>
      </c>
      <c r="X23" s="909"/>
      <c r="Y23" s="4578"/>
      <c r="Z23" s="907" t="str">
        <f>Q23</f>
        <v>交通便捷度</v>
      </c>
      <c r="AA23" s="907">
        <f t="shared" si="3"/>
        <v>1.0309278350515463</v>
      </c>
      <c r="AB23" s="907">
        <f t="shared" si="4"/>
        <v>1.0309278350515463</v>
      </c>
      <c r="AC23" s="907">
        <f t="shared" si="5"/>
        <v>1</v>
      </c>
    </row>
    <row r="24" spans="1:29" ht="15">
      <c r="A24" s="3093"/>
      <c r="B24" s="2799"/>
      <c r="C24" s="2820" t="s">
        <v>3601</v>
      </c>
      <c r="D24" s="2894"/>
      <c r="E24" s="2848" t="s">
        <v>3600</v>
      </c>
      <c r="F24" s="3722"/>
      <c r="G24" s="2848" t="s">
        <v>3600</v>
      </c>
      <c r="H24" s="3722"/>
      <c r="I24" s="2854" t="s">
        <v>3601</v>
      </c>
      <c r="J24" s="3722"/>
      <c r="K24" s="3150"/>
      <c r="L24" s="1980"/>
      <c r="M24" s="1975"/>
      <c r="N24" s="1975"/>
      <c r="O24" s="2030"/>
      <c r="P24" s="4576"/>
      <c r="Q24" s="1507"/>
      <c r="R24" s="3760"/>
      <c r="S24" s="3762"/>
      <c r="T24" s="3760"/>
      <c r="U24" s="3762"/>
      <c r="V24" s="3760"/>
      <c r="W24" s="3762"/>
      <c r="X24" s="909"/>
      <c r="Y24" s="4578"/>
      <c r="Z24" s="907"/>
      <c r="AA24" s="907">
        <v>1</v>
      </c>
      <c r="AB24" s="907">
        <v>1</v>
      </c>
      <c r="AC24" s="907">
        <v>1</v>
      </c>
    </row>
    <row r="25" spans="1:29" ht="15">
      <c r="A25" s="3097"/>
      <c r="B25" s="2797" t="s">
        <v>1776</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v>2</v>
      </c>
      <c r="L25" s="1980"/>
      <c r="M25" s="1975"/>
      <c r="N25" s="1975"/>
      <c r="O25" s="2030"/>
      <c r="P25" s="4576"/>
      <c r="Q25" s="1507" t="str">
        <f t="shared" ref="Q25:Q39" si="8">B25</f>
        <v>区域土地利用方向</v>
      </c>
      <c r="R25" s="3760" t="s">
        <v>13</v>
      </c>
      <c r="S25" s="3762">
        <f>F25</f>
        <v>100</v>
      </c>
      <c r="T25" s="3760" t="s">
        <v>13</v>
      </c>
      <c r="U25" s="3762">
        <f>H25</f>
        <v>100</v>
      </c>
      <c r="V25" s="3760" t="s">
        <v>13</v>
      </c>
      <c r="W25" s="3762">
        <f>J25</f>
        <v>100</v>
      </c>
      <c r="X25" s="909"/>
      <c r="Y25" s="4578"/>
      <c r="Z25" s="907" t="str">
        <f>Q25</f>
        <v>区域土地利用方向</v>
      </c>
      <c r="AA25" s="907">
        <f t="shared" si="3"/>
        <v>1</v>
      </c>
      <c r="AB25" s="907">
        <f t="shared" si="4"/>
        <v>1</v>
      </c>
      <c r="AC25" s="907">
        <f t="shared" si="5"/>
        <v>1</v>
      </c>
    </row>
    <row r="26" spans="1:29" ht="15">
      <c r="A26" s="3097"/>
      <c r="B26" s="2798"/>
      <c r="C26" s="2836" t="s">
        <v>3601</v>
      </c>
      <c r="D26" s="2893"/>
      <c r="E26" s="2848" t="s">
        <v>3601</v>
      </c>
      <c r="F26" s="3722"/>
      <c r="G26" s="2854" t="s">
        <v>3601</v>
      </c>
      <c r="H26" s="3722"/>
      <c r="I26" s="2854" t="s">
        <v>3601</v>
      </c>
      <c r="J26" s="3722"/>
      <c r="K26" s="3151"/>
      <c r="L26" s="1980"/>
      <c r="M26" s="1975"/>
      <c r="N26" s="1975"/>
      <c r="O26" s="2030"/>
      <c r="P26" s="4576"/>
      <c r="Q26" s="1507"/>
      <c r="R26" s="3760"/>
      <c r="S26" s="3762"/>
      <c r="T26" s="3760"/>
      <c r="U26" s="3762"/>
      <c r="V26" s="3760"/>
      <c r="W26" s="3762"/>
      <c r="X26" s="909"/>
      <c r="Y26" s="4578"/>
      <c r="Z26" s="907"/>
      <c r="AA26" s="907"/>
      <c r="AB26" s="907"/>
      <c r="AC26" s="907"/>
    </row>
    <row r="27" spans="1:29" ht="27">
      <c r="A27" s="3097"/>
      <c r="B27" s="2799" t="s">
        <v>1777</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v>3</v>
      </c>
      <c r="L27" s="1980"/>
      <c r="M27" s="1975"/>
      <c r="N27" s="1975"/>
      <c r="O27" s="2030"/>
      <c r="P27" s="4576"/>
      <c r="Q27" s="1507" t="str">
        <f t="shared" si="8"/>
        <v>自然及人文环境状况</v>
      </c>
      <c r="R27" s="3760" t="s">
        <v>13</v>
      </c>
      <c r="S27" s="3762">
        <f>F27</f>
        <v>100</v>
      </c>
      <c r="T27" s="3760" t="s">
        <v>13</v>
      </c>
      <c r="U27" s="3762">
        <f>H27</f>
        <v>100</v>
      </c>
      <c r="V27" s="3760" t="s">
        <v>13</v>
      </c>
      <c r="W27" s="3762">
        <f>J27</f>
        <v>100</v>
      </c>
      <c r="X27" s="909"/>
      <c r="Y27" s="4578"/>
      <c r="Z27" s="907" t="str">
        <f>Q27</f>
        <v>自然及人文环境状况</v>
      </c>
      <c r="AA27" s="907">
        <f t="shared" si="3"/>
        <v>1</v>
      </c>
      <c r="AB27" s="907">
        <f t="shared" si="4"/>
        <v>1</v>
      </c>
      <c r="AC27" s="907">
        <f t="shared" si="5"/>
        <v>1</v>
      </c>
    </row>
    <row r="28" spans="1:29" ht="15">
      <c r="A28" s="3097"/>
      <c r="B28" s="2798"/>
      <c r="C28" s="2820" t="s">
        <v>3600</v>
      </c>
      <c r="D28" s="2893"/>
      <c r="E28" s="2871" t="s">
        <v>3600</v>
      </c>
      <c r="F28" s="3722"/>
      <c r="G28" s="2871" t="s">
        <v>3600</v>
      </c>
      <c r="H28" s="3722"/>
      <c r="I28" s="2820" t="s">
        <v>3600</v>
      </c>
      <c r="J28" s="3722"/>
      <c r="K28" s="3150"/>
      <c r="L28" s="1980"/>
      <c r="M28" s="1975"/>
      <c r="N28" s="1975"/>
      <c r="O28" s="2030"/>
      <c r="P28" s="4576"/>
      <c r="Q28" s="1507"/>
      <c r="R28" s="3760"/>
      <c r="S28" s="3762"/>
      <c r="T28" s="3760"/>
      <c r="U28" s="3762"/>
      <c r="V28" s="3760"/>
      <c r="W28" s="3762"/>
      <c r="X28" s="909"/>
      <c r="Y28" s="4578"/>
      <c r="Z28" s="907"/>
      <c r="AA28" s="907">
        <v>1</v>
      </c>
      <c r="AB28" s="907">
        <v>1</v>
      </c>
      <c r="AC28" s="907">
        <v>1</v>
      </c>
    </row>
    <row r="29" spans="1:29" s="46" customFormat="1" ht="15">
      <c r="A29" s="3099"/>
      <c r="B29" s="2799" t="s">
        <v>1683</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v>3</v>
      </c>
      <c r="L29" s="1976"/>
      <c r="M29" s="1929"/>
      <c r="N29" s="1929"/>
      <c r="O29" s="2028"/>
      <c r="P29" s="4576"/>
      <c r="Q29" s="1698" t="str">
        <f t="shared" si="8"/>
        <v>公共配套设施</v>
      </c>
      <c r="R29" s="3759" t="s">
        <v>13</v>
      </c>
      <c r="S29" s="3542">
        <f>F29</f>
        <v>100</v>
      </c>
      <c r="T29" s="3759" t="s">
        <v>13</v>
      </c>
      <c r="U29" s="3542">
        <f>H29</f>
        <v>100</v>
      </c>
      <c r="V29" s="3759" t="s">
        <v>13</v>
      </c>
      <c r="W29" s="3542">
        <f>J29</f>
        <v>100</v>
      </c>
      <c r="X29" s="482"/>
      <c r="Y29" s="4578"/>
      <c r="Z29" s="28" t="str">
        <f>Q29</f>
        <v>公共配套设施</v>
      </c>
      <c r="AA29" s="907">
        <f>D29/F29</f>
        <v>1</v>
      </c>
      <c r="AB29" s="907">
        <f>D29/H29</f>
        <v>1</v>
      </c>
      <c r="AC29" s="907">
        <f>D29/J29</f>
        <v>1</v>
      </c>
    </row>
    <row r="30" spans="1:29" s="46" customFormat="1" ht="15">
      <c r="A30" s="3099"/>
      <c r="B30" s="2798"/>
      <c r="C30" s="3100" t="s">
        <v>3600</v>
      </c>
      <c r="D30" s="2893"/>
      <c r="E30" s="2871" t="s">
        <v>3600</v>
      </c>
      <c r="F30" s="3722"/>
      <c r="G30" s="2871" t="s">
        <v>3600</v>
      </c>
      <c r="H30" s="3722"/>
      <c r="I30" s="2820" t="s">
        <v>3600</v>
      </c>
      <c r="J30" s="3722"/>
      <c r="K30" s="3150"/>
      <c r="L30" s="1976"/>
      <c r="M30" s="1929"/>
      <c r="N30" s="1929"/>
      <c r="O30" s="2028"/>
      <c r="P30" s="4576"/>
      <c r="Q30" s="1698"/>
      <c r="R30" s="3759"/>
      <c r="S30" s="3542"/>
      <c r="T30" s="3759"/>
      <c r="U30" s="3542"/>
      <c r="V30" s="3759"/>
      <c r="W30" s="3542"/>
      <c r="X30" s="482"/>
      <c r="Y30" s="4578"/>
      <c r="Z30" s="28"/>
      <c r="AA30" s="907">
        <v>1</v>
      </c>
      <c r="AB30" s="907">
        <v>1</v>
      </c>
      <c r="AC30" s="907">
        <v>1</v>
      </c>
    </row>
    <row r="31" spans="1:29" s="46" customFormat="1" ht="15">
      <c r="A31" s="3099"/>
      <c r="B31" s="2799" t="s">
        <v>1684</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576"/>
      <c r="Q31" s="1698" t="str">
        <f t="shared" ref="Q31" si="9">B31</f>
        <v>基础设施水平</v>
      </c>
      <c r="R31" s="3759" t="s">
        <v>13</v>
      </c>
      <c r="S31" s="3542">
        <f>F31</f>
        <v>100</v>
      </c>
      <c r="T31" s="3759" t="s">
        <v>13</v>
      </c>
      <c r="U31" s="3542">
        <f>H31</f>
        <v>100</v>
      </c>
      <c r="V31" s="3759" t="s">
        <v>13</v>
      </c>
      <c r="W31" s="3542">
        <f>J31</f>
        <v>100</v>
      </c>
      <c r="X31" s="482"/>
      <c r="Y31" s="4578"/>
      <c r="Z31" s="28" t="str">
        <f>Q31</f>
        <v>基础设施水平</v>
      </c>
      <c r="AA31" s="907">
        <f>D31/F31</f>
        <v>1</v>
      </c>
      <c r="AB31" s="907">
        <f>D31/H31</f>
        <v>1</v>
      </c>
      <c r="AC31" s="907">
        <f>D31/J31</f>
        <v>1</v>
      </c>
    </row>
    <row r="32" spans="1:29" s="46" customFormat="1" ht="15">
      <c r="A32" s="3099"/>
      <c r="B32" s="2798"/>
      <c r="C32" s="3100" t="s">
        <v>3603</v>
      </c>
      <c r="D32" s="2893"/>
      <c r="E32" s="3116" t="s">
        <v>3603</v>
      </c>
      <c r="F32" s="3722"/>
      <c r="G32" s="3116" t="s">
        <v>3603</v>
      </c>
      <c r="H32" s="3722"/>
      <c r="I32" s="3116" t="s">
        <v>3603</v>
      </c>
      <c r="J32" s="3722"/>
      <c r="K32" s="3150"/>
      <c r="L32" s="1976"/>
      <c r="M32" s="1929"/>
      <c r="N32" s="1929"/>
      <c r="O32" s="2028"/>
      <c r="P32" s="4576"/>
      <c r="Q32" s="1698"/>
      <c r="R32" s="3759"/>
      <c r="S32" s="3542"/>
      <c r="T32" s="3759"/>
      <c r="U32" s="3542"/>
      <c r="V32" s="3759"/>
      <c r="W32" s="3542"/>
      <c r="X32" s="482"/>
      <c r="Y32" s="4578"/>
      <c r="Z32" s="28"/>
      <c r="AA32" s="907">
        <v>1</v>
      </c>
      <c r="AB32" s="907">
        <v>1</v>
      </c>
      <c r="AC32" s="907">
        <v>1</v>
      </c>
    </row>
    <row r="33" spans="1:29" ht="15">
      <c r="A33" s="3093"/>
      <c r="B33" s="2798" t="s">
        <v>1685</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576"/>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78"/>
      <c r="Z33" s="907" t="str">
        <f t="shared" ref="Z33:Z47" si="13">Q33</f>
        <v>临街状况</v>
      </c>
      <c r="AA33" s="907">
        <f t="shared" si="3"/>
        <v>1</v>
      </c>
      <c r="AB33" s="907">
        <f t="shared" si="4"/>
        <v>1</v>
      </c>
      <c r="AC33" s="907">
        <f t="shared" si="5"/>
        <v>1</v>
      </c>
    </row>
    <row r="34" spans="1:29" ht="27">
      <c r="A34" s="3093"/>
      <c r="B34" s="2799" t="s">
        <v>1720</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576"/>
      <c r="Q34" s="1507" t="str">
        <f t="shared" si="8"/>
        <v>毗邻道路的类型与等级</v>
      </c>
      <c r="R34" s="3760" t="s">
        <v>13</v>
      </c>
      <c r="S34" s="3762">
        <f t="shared" si="10"/>
        <v>100</v>
      </c>
      <c r="T34" s="3760" t="s">
        <v>13</v>
      </c>
      <c r="U34" s="3762">
        <f t="shared" si="11"/>
        <v>100</v>
      </c>
      <c r="V34" s="3760" t="s">
        <v>13</v>
      </c>
      <c r="W34" s="3762">
        <f t="shared" si="12"/>
        <v>100</v>
      </c>
      <c r="X34" s="909"/>
      <c r="Y34" s="4578"/>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576"/>
      <c r="Q35" s="1507"/>
      <c r="R35" s="3760"/>
      <c r="S35" s="3762"/>
      <c r="T35" s="3760"/>
      <c r="U35" s="3762"/>
      <c r="V35" s="3760"/>
      <c r="W35" s="3762"/>
      <c r="X35" s="909"/>
      <c r="Y35" s="4578"/>
      <c r="Z35" s="907"/>
      <c r="AA35" s="907">
        <v>1</v>
      </c>
      <c r="AB35" s="907">
        <v>1</v>
      </c>
      <c r="AC35" s="907">
        <v>1</v>
      </c>
    </row>
    <row r="36" spans="1:29" ht="15">
      <c r="A36" s="3093"/>
      <c r="B36" s="2789" t="s">
        <v>1778</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576"/>
      <c r="Q36" s="1507" t="str">
        <f t="shared" si="8"/>
        <v>土地级别</v>
      </c>
      <c r="R36" s="3760" t="s">
        <v>13</v>
      </c>
      <c r="S36" s="3762">
        <f t="shared" si="10"/>
        <v>100</v>
      </c>
      <c r="T36" s="3760" t="s">
        <v>13</v>
      </c>
      <c r="U36" s="3762">
        <f t="shared" si="11"/>
        <v>100</v>
      </c>
      <c r="V36" s="3760" t="s">
        <v>13</v>
      </c>
      <c r="W36" s="3762">
        <f t="shared" si="12"/>
        <v>100</v>
      </c>
      <c r="X36" s="909"/>
      <c r="Y36" s="4578"/>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576"/>
      <c r="Q37" s="1507">
        <f t="shared" si="8"/>
        <v>111</v>
      </c>
      <c r="R37" s="3760" t="s">
        <v>13</v>
      </c>
      <c r="S37" s="3762">
        <f t="shared" si="10"/>
        <v>100</v>
      </c>
      <c r="T37" s="3760" t="s">
        <v>13</v>
      </c>
      <c r="U37" s="3762">
        <f t="shared" si="11"/>
        <v>100</v>
      </c>
      <c r="V37" s="3760" t="s">
        <v>13</v>
      </c>
      <c r="W37" s="3762">
        <f t="shared" si="12"/>
        <v>100</v>
      </c>
      <c r="X37" s="909"/>
      <c r="Y37" s="4578"/>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579" t="s">
        <v>1601</v>
      </c>
      <c r="Q38" s="1507">
        <f t="shared" si="8"/>
        <v>111</v>
      </c>
      <c r="R38" s="3760" t="s">
        <v>13</v>
      </c>
      <c r="S38" s="3762">
        <f t="shared" si="10"/>
        <v>100</v>
      </c>
      <c r="T38" s="3760" t="s">
        <v>13</v>
      </c>
      <c r="U38" s="3762">
        <f t="shared" si="11"/>
        <v>100</v>
      </c>
      <c r="V38" s="3760" t="s">
        <v>13</v>
      </c>
      <c r="W38" s="3762">
        <f t="shared" si="12"/>
        <v>100</v>
      </c>
      <c r="X38" s="909"/>
      <c r="Y38" s="4581" t="s">
        <v>1601</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580"/>
      <c r="Q39" s="1507">
        <f t="shared" si="8"/>
        <v>111</v>
      </c>
      <c r="R39" s="3761" t="s">
        <v>13</v>
      </c>
      <c r="S39" s="3763">
        <f t="shared" si="10"/>
        <v>100</v>
      </c>
      <c r="T39" s="3761" t="s">
        <v>13</v>
      </c>
      <c r="U39" s="3763">
        <f t="shared" si="11"/>
        <v>100</v>
      </c>
      <c r="V39" s="3761" t="s">
        <v>13</v>
      </c>
      <c r="W39" s="3763">
        <f t="shared" si="12"/>
        <v>100</v>
      </c>
      <c r="X39" s="484"/>
      <c r="Y39" s="4581"/>
      <c r="Z39" s="485">
        <f t="shared" si="13"/>
        <v>111</v>
      </c>
      <c r="AA39" s="907">
        <f t="shared" si="3"/>
        <v>1</v>
      </c>
      <c r="AB39" s="907">
        <f t="shared" si="4"/>
        <v>1</v>
      </c>
      <c r="AC39" s="907">
        <f t="shared" si="5"/>
        <v>1</v>
      </c>
    </row>
    <row r="40" spans="1:29" ht="15">
      <c r="A40" s="3107" t="s">
        <v>1599</v>
      </c>
      <c r="B40" s="2798" t="s">
        <v>1779</v>
      </c>
      <c r="C40" s="3108">
        <f>'数据-汇总表'!D3</f>
        <v>21574</v>
      </c>
      <c r="D40" s="2897">
        <v>100</v>
      </c>
      <c r="E40" s="3108">
        <v>22274.85</v>
      </c>
      <c r="F40" s="3732">
        <f>LOOKUP(E40,118:118,119:119)-LOOKUP(C40,118:118,119:119)+100</f>
        <v>100</v>
      </c>
      <c r="G40" s="3108">
        <v>48923.69</v>
      </c>
      <c r="H40" s="3732">
        <f>LOOKUP(G40,118:118,119:119)-LOOKUP(C40,118:118,119:119)+100</f>
        <v>100</v>
      </c>
      <c r="I40" s="3121">
        <v>43187.88</v>
      </c>
      <c r="J40" s="3732">
        <f>LOOKUP(I40,118:118,119:119)-LOOKUP(C40,118:118,119:119)+100</f>
        <v>100</v>
      </c>
      <c r="K40" s="2858"/>
      <c r="L40" s="1980"/>
      <c r="M40" s="1975"/>
      <c r="N40" s="1975"/>
      <c r="O40" s="2030"/>
      <c r="P40" s="4580"/>
      <c r="Q40" s="1507" t="str">
        <f>B40</f>
        <v>宗地面积</v>
      </c>
      <c r="R40" s="3760" t="s">
        <v>13</v>
      </c>
      <c r="S40" s="3762">
        <f t="shared" si="10"/>
        <v>100</v>
      </c>
      <c r="T40" s="3760" t="s">
        <v>13</v>
      </c>
      <c r="U40" s="3762">
        <f t="shared" si="11"/>
        <v>100</v>
      </c>
      <c r="V40" s="3760" t="s">
        <v>13</v>
      </c>
      <c r="W40" s="3762">
        <f t="shared" si="12"/>
        <v>100</v>
      </c>
      <c r="X40" s="909"/>
      <c r="Y40" s="4581"/>
      <c r="Z40" s="907" t="str">
        <f t="shared" si="13"/>
        <v>宗地面积</v>
      </c>
      <c r="AA40" s="907">
        <f t="shared" si="3"/>
        <v>1</v>
      </c>
      <c r="AB40" s="907">
        <f t="shared" si="4"/>
        <v>1</v>
      </c>
      <c r="AC40" s="907">
        <f t="shared" si="5"/>
        <v>1</v>
      </c>
    </row>
    <row r="41" spans="1:29" ht="15">
      <c r="A41" s="3107"/>
      <c r="B41" s="2789" t="s">
        <v>1780</v>
      </c>
      <c r="C41" s="2826" t="s">
        <v>3608</v>
      </c>
      <c r="D41" s="2890">
        <v>100</v>
      </c>
      <c r="E41" s="2826" t="s">
        <v>3608</v>
      </c>
      <c r="F41" s="3725">
        <f>SUMIF(120:120,E41,121:121)-SUMIF(120:120,C41,121:121)+100</f>
        <v>100</v>
      </c>
      <c r="G41" s="2826" t="s">
        <v>3608</v>
      </c>
      <c r="H41" s="3725">
        <f>SUMIF(120:120,G41,121:121)-SUMIF(120:120,C41,121:121)+100</f>
        <v>100</v>
      </c>
      <c r="I41" s="2826" t="s">
        <v>3608</v>
      </c>
      <c r="J41" s="3725">
        <f>SUMIF(120:120,I41,121:121)-SUMIF(120:120,C41,121:121)+100</f>
        <v>100</v>
      </c>
      <c r="K41" s="2857">
        <v>1</v>
      </c>
      <c r="L41" s="1980"/>
      <c r="M41" s="1975"/>
      <c r="N41" s="1975"/>
      <c r="O41" s="2030"/>
      <c r="P41" s="4580"/>
      <c r="Q41" s="1507" t="str">
        <f t="shared" ref="Q41:Q47" si="14">B41</f>
        <v>宗地形状</v>
      </c>
      <c r="R41" s="3760" t="s">
        <v>13</v>
      </c>
      <c r="S41" s="3762">
        <f t="shared" si="10"/>
        <v>100</v>
      </c>
      <c r="T41" s="3760" t="s">
        <v>13</v>
      </c>
      <c r="U41" s="3762">
        <f t="shared" si="11"/>
        <v>100</v>
      </c>
      <c r="V41" s="3760" t="s">
        <v>13</v>
      </c>
      <c r="W41" s="3762">
        <f t="shared" si="12"/>
        <v>100</v>
      </c>
      <c r="X41" s="909"/>
      <c r="Y41" s="4581"/>
      <c r="Z41" s="907" t="str">
        <f t="shared" si="13"/>
        <v>宗地形状</v>
      </c>
      <c r="AA41" s="907">
        <f t="shared" si="3"/>
        <v>1</v>
      </c>
      <c r="AB41" s="907">
        <f t="shared" si="4"/>
        <v>1</v>
      </c>
      <c r="AC41" s="907">
        <f t="shared" si="5"/>
        <v>1</v>
      </c>
    </row>
    <row r="42" spans="1:29" ht="15">
      <c r="A42" s="3107"/>
      <c r="B42" s="2789" t="s">
        <v>1781</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580"/>
      <c r="Q42" s="1507" t="str">
        <f t="shared" si="14"/>
        <v>临街宽度及深度</v>
      </c>
      <c r="R42" s="3760" t="s">
        <v>13</v>
      </c>
      <c r="S42" s="3762">
        <f t="shared" si="10"/>
        <v>100</v>
      </c>
      <c r="T42" s="3760" t="s">
        <v>13</v>
      </c>
      <c r="U42" s="3762">
        <f t="shared" si="11"/>
        <v>100</v>
      </c>
      <c r="V42" s="3760" t="s">
        <v>13</v>
      </c>
      <c r="W42" s="3762">
        <f t="shared" si="12"/>
        <v>100</v>
      </c>
      <c r="X42" s="909"/>
      <c r="Y42" s="4581"/>
      <c r="Z42" s="907" t="str">
        <f t="shared" si="13"/>
        <v>临街宽度及深度</v>
      </c>
      <c r="AA42" s="907">
        <f t="shared" si="3"/>
        <v>1</v>
      </c>
      <c r="AB42" s="907">
        <f t="shared" si="4"/>
        <v>1</v>
      </c>
      <c r="AC42" s="907">
        <f t="shared" si="5"/>
        <v>1</v>
      </c>
    </row>
    <row r="43" spans="1:29" s="46" customFormat="1" ht="15">
      <c r="A43" s="3109"/>
      <c r="B43" s="2789" t="s">
        <v>1782</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580"/>
      <c r="Q43" s="1507" t="str">
        <f t="shared" si="14"/>
        <v>宗地开发程度</v>
      </c>
      <c r="R43" s="3759" t="s">
        <v>13</v>
      </c>
      <c r="S43" s="3542">
        <f t="shared" si="10"/>
        <v>100</v>
      </c>
      <c r="T43" s="3759" t="s">
        <v>13</v>
      </c>
      <c r="U43" s="3542">
        <f t="shared" si="11"/>
        <v>100</v>
      </c>
      <c r="V43" s="3759" t="s">
        <v>13</v>
      </c>
      <c r="W43" s="3542">
        <f t="shared" si="12"/>
        <v>100</v>
      </c>
      <c r="X43" s="482"/>
      <c r="Y43" s="4581"/>
      <c r="Z43" s="28" t="str">
        <f t="shared" si="13"/>
        <v>宗地开发程度</v>
      </c>
      <c r="AA43" s="28">
        <f t="shared" si="3"/>
        <v>1</v>
      </c>
      <c r="AB43" s="28">
        <f t="shared" si="4"/>
        <v>1</v>
      </c>
      <c r="AC43" s="28">
        <f t="shared" si="5"/>
        <v>1</v>
      </c>
    </row>
    <row r="44" spans="1:29" ht="15">
      <c r="A44" s="3107"/>
      <c r="B44" s="2789" t="s">
        <v>1783</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580" t="s">
        <v>1601</v>
      </c>
      <c r="Q44" s="1507" t="str">
        <f t="shared" si="14"/>
        <v>工程地质条件</v>
      </c>
      <c r="R44" s="3760" t="s">
        <v>13</v>
      </c>
      <c r="S44" s="3762">
        <f t="shared" si="10"/>
        <v>100</v>
      </c>
      <c r="T44" s="3760" t="s">
        <v>13</v>
      </c>
      <c r="U44" s="3762">
        <f t="shared" si="11"/>
        <v>100</v>
      </c>
      <c r="V44" s="3760" t="s">
        <v>13</v>
      </c>
      <c r="W44" s="3762">
        <f t="shared" si="12"/>
        <v>100</v>
      </c>
      <c r="X44" s="909"/>
      <c r="Y44" s="4581" t="s">
        <v>1601</v>
      </c>
      <c r="Z44" s="907" t="str">
        <f t="shared" si="13"/>
        <v>工程地质条件</v>
      </c>
      <c r="AA44" s="907">
        <f t="shared" si="3"/>
        <v>1</v>
      </c>
      <c r="AB44" s="907">
        <f t="shared" si="4"/>
        <v>1</v>
      </c>
      <c r="AC44" s="907">
        <f t="shared" si="5"/>
        <v>1</v>
      </c>
    </row>
    <row r="45" spans="1:29" ht="15">
      <c r="A45" s="3107"/>
      <c r="B45" s="3103"/>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580"/>
      <c r="Q45" s="1507">
        <f t="shared" si="14"/>
        <v>0</v>
      </c>
      <c r="R45" s="3760" t="s">
        <v>13</v>
      </c>
      <c r="S45" s="3762">
        <f t="shared" si="10"/>
        <v>100</v>
      </c>
      <c r="T45" s="3760" t="s">
        <v>13</v>
      </c>
      <c r="U45" s="3762">
        <f t="shared" si="11"/>
        <v>100</v>
      </c>
      <c r="V45" s="3760" t="s">
        <v>13</v>
      </c>
      <c r="W45" s="3762">
        <f t="shared" si="12"/>
        <v>100</v>
      </c>
      <c r="X45" s="909"/>
      <c r="Y45" s="4581"/>
      <c r="Z45" s="907">
        <f t="shared" si="13"/>
        <v>0</v>
      </c>
      <c r="AA45" s="907">
        <f t="shared" si="3"/>
        <v>1</v>
      </c>
      <c r="AB45" s="907">
        <f t="shared" si="4"/>
        <v>1</v>
      </c>
      <c r="AC45" s="907">
        <f t="shared" si="5"/>
        <v>1</v>
      </c>
    </row>
    <row r="46" spans="1:29" ht="15">
      <c r="A46" s="3107"/>
      <c r="B46" s="3103"/>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580"/>
      <c r="Q46" s="1507">
        <f t="shared" si="14"/>
        <v>0</v>
      </c>
      <c r="R46" s="3760" t="s">
        <v>13</v>
      </c>
      <c r="S46" s="3762">
        <f t="shared" si="10"/>
        <v>100</v>
      </c>
      <c r="T46" s="3760" t="s">
        <v>13</v>
      </c>
      <c r="U46" s="3762">
        <f t="shared" si="11"/>
        <v>100</v>
      </c>
      <c r="V46" s="3760" t="s">
        <v>13</v>
      </c>
      <c r="W46" s="3762">
        <f t="shared" si="12"/>
        <v>100</v>
      </c>
      <c r="X46" s="909"/>
      <c r="Y46" s="4581"/>
      <c r="Z46" s="907">
        <f t="shared" si="13"/>
        <v>0</v>
      </c>
      <c r="AA46" s="907">
        <f t="shared" si="3"/>
        <v>1</v>
      </c>
      <c r="AB46" s="907">
        <f t="shared" si="4"/>
        <v>1</v>
      </c>
      <c r="AC46" s="907">
        <f t="shared" si="5"/>
        <v>1</v>
      </c>
    </row>
    <row r="47" spans="1:29" s="279" customFormat="1" ht="15.75" thickBot="1">
      <c r="A47" s="3111"/>
      <c r="B47" s="3103"/>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580"/>
      <c r="Q47" s="1507">
        <f t="shared" si="14"/>
        <v>0</v>
      </c>
      <c r="R47" s="3761" t="s">
        <v>13</v>
      </c>
      <c r="S47" s="3763">
        <f t="shared" si="10"/>
        <v>100</v>
      </c>
      <c r="T47" s="3761" t="s">
        <v>13</v>
      </c>
      <c r="U47" s="3763">
        <f t="shared" si="11"/>
        <v>100</v>
      </c>
      <c r="V47" s="3761" t="s">
        <v>13</v>
      </c>
      <c r="W47" s="3763">
        <f t="shared" si="12"/>
        <v>100</v>
      </c>
      <c r="X47" s="484"/>
      <c r="Y47" s="4581"/>
      <c r="Z47" s="485">
        <f t="shared" si="13"/>
        <v>0</v>
      </c>
      <c r="AA47" s="907">
        <f t="shared" si="3"/>
        <v>1</v>
      </c>
      <c r="AB47" s="907">
        <f t="shared" si="4"/>
        <v>1</v>
      </c>
      <c r="AC47" s="907">
        <f t="shared" si="5"/>
        <v>1</v>
      </c>
    </row>
    <row r="48" spans="1:29" ht="15">
      <c r="A48" s="286" t="s">
        <v>1749</v>
      </c>
      <c r="B48" s="1430" t="s">
        <v>1784</v>
      </c>
      <c r="C48" s="439" t="s">
        <v>0</v>
      </c>
      <c r="D48" s="288"/>
      <c r="E48" s="3205">
        <v>2350</v>
      </c>
      <c r="F48" s="3153"/>
      <c r="G48" s="3206">
        <v>2350</v>
      </c>
      <c r="H48" s="3154"/>
      <c r="I48" s="3205">
        <v>2350</v>
      </c>
      <c r="J48" s="3154"/>
      <c r="K48" s="2862"/>
      <c r="L48" s="1982"/>
      <c r="M48" s="1975"/>
      <c r="N48" s="1975"/>
      <c r="O48" s="1975"/>
      <c r="P48" s="4551" t="str">
        <f>A48</f>
        <v>成交单价</v>
      </c>
      <c r="Q48" s="4551"/>
      <c r="R48" s="4582">
        <f>E48</f>
        <v>2350</v>
      </c>
      <c r="S48" s="4582"/>
      <c r="T48" s="4582">
        <f>G48</f>
        <v>2350</v>
      </c>
      <c r="U48" s="4582"/>
      <c r="V48" s="4582">
        <f>I48</f>
        <v>2350</v>
      </c>
      <c r="W48" s="4582"/>
      <c r="X48" s="265"/>
      <c r="Y48" s="486"/>
      <c r="Z48" s="265"/>
      <c r="AA48" s="265"/>
      <c r="AB48" s="265"/>
      <c r="AC48" s="265"/>
    </row>
    <row r="49" spans="1:29" ht="15.75" thickBot="1">
      <c r="A49" s="289" t="s">
        <v>1698</v>
      </c>
      <c r="B49" s="440"/>
      <c r="C49" s="3744">
        <f>R50</f>
        <v>2253</v>
      </c>
      <c r="D49" s="3846" t="s">
        <v>2040</v>
      </c>
      <c r="E49" s="3744">
        <f>R49</f>
        <v>2246</v>
      </c>
      <c r="F49" s="2801"/>
      <c r="G49" s="3733">
        <f>T49</f>
        <v>2246</v>
      </c>
      <c r="H49" s="2801"/>
      <c r="I49" s="3744">
        <f>V49</f>
        <v>2266</v>
      </c>
      <c r="J49" s="2801"/>
      <c r="K49" s="2855">
        <f>F49+H49+J49</f>
        <v>0</v>
      </c>
      <c r="L49" s="1982"/>
      <c r="M49" s="1975"/>
      <c r="N49" s="1975"/>
      <c r="O49" s="1975"/>
      <c r="P49" s="4551" t="str">
        <f>A49</f>
        <v>比较价值（元/平方米）</v>
      </c>
      <c r="Q49" s="4551"/>
      <c r="R49" s="4582">
        <f>ROUND(PRODUCT(R48,AA9:AA47),0)</f>
        <v>2246</v>
      </c>
      <c r="S49" s="4582"/>
      <c r="T49" s="4582">
        <f>ROUND(PRODUCT(T48,AB9:AB47),0)</f>
        <v>2246</v>
      </c>
      <c r="U49" s="4582"/>
      <c r="V49" s="4582">
        <f>ROUND(PRODUCT(V48,AC9:AC47),0)</f>
        <v>2266</v>
      </c>
      <c r="W49" s="4582"/>
      <c r="X49" s="265"/>
      <c r="Y49" s="265"/>
      <c r="Z49" s="265"/>
      <c r="AA49" s="265"/>
      <c r="AB49" s="265"/>
      <c r="AC49" s="265"/>
    </row>
    <row r="50" spans="1:29" ht="15.75" thickBot="1">
      <c r="A50" s="291" t="s">
        <v>1785</v>
      </c>
      <c r="B50" s="292"/>
      <c r="C50" s="3745">
        <f>R50</f>
        <v>2253</v>
      </c>
      <c r="D50" s="293"/>
      <c r="E50" s="293"/>
      <c r="F50" s="293"/>
      <c r="G50" s="293"/>
      <c r="H50" s="293"/>
      <c r="I50" s="293"/>
      <c r="J50" s="293"/>
      <c r="K50" s="3126"/>
      <c r="L50" s="1982"/>
      <c r="M50" s="1975"/>
      <c r="N50" s="1975"/>
      <c r="O50" s="1975"/>
      <c r="P50" s="4583" t="str">
        <f>A50</f>
        <v>估价对象XX用房的比较价值（楼面单价，元/平方米）</v>
      </c>
      <c r="Q50" s="4584"/>
      <c r="R50" s="4585">
        <f>ROUND(IF(D49="简单平均",AVERAGE(R49:W49),R49*F49+T49*H49+V49*J49),0)</f>
        <v>2253</v>
      </c>
      <c r="S50" s="4585"/>
      <c r="T50" s="4585"/>
      <c r="U50" s="4585"/>
      <c r="V50" s="4585"/>
      <c r="W50" s="4585"/>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f>IF(E48&lt;E49,E49/E48-1,E48/E49-1)</f>
        <v>4.6304541406945621E-2</v>
      </c>
      <c r="F53" s="299" t="str">
        <f>IF(OR(E53&gt;=0.3,E53&lt;=-0.3),"超过30%","")</f>
        <v/>
      </c>
      <c r="G53" s="298">
        <f>IF(G48&lt;G49,G49/G48-1,G48/G49-1)</f>
        <v>4.6304541406945621E-2</v>
      </c>
      <c r="H53" s="299" t="str">
        <f>IF(OR(G53&gt;=0.3,G53&lt;=-0.3),"超过30%","")</f>
        <v/>
      </c>
      <c r="I53" s="298">
        <f>IF(I48&lt;I49,I49/I48-1,I48/I49-1)</f>
        <v>3.7069726390114743E-2</v>
      </c>
      <c r="J53" s="299" t="str">
        <f>IF(OR(I53&gt;=0.3,I53&lt;=-0.3),"超过30%","")</f>
        <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f>IF(E49&lt;G49,G49/E49-1,E49/G49-1)</f>
        <v>0</v>
      </c>
      <c r="F54" s="299" t="str">
        <f>IF(OR(E54&gt;=0.2,E54&lt;=-0.2),"超过20%","")</f>
        <v/>
      </c>
      <c r="G54" s="298">
        <f>IF(G49&lt;I49,I49/G49-1,G49/I49-1)</f>
        <v>8.904719501335645E-3</v>
      </c>
      <c r="H54" s="299" t="str">
        <f>IF(OR(G54&gt;=0.2,G54&lt;=-0.2),"超过20%","")</f>
        <v/>
      </c>
      <c r="I54" s="298">
        <f>IF(I49&lt;E49,E49/I49-1,I49/E49-1)</f>
        <v>8.904719501335645E-3</v>
      </c>
      <c r="J54" s="299" t="str">
        <f>IF(OR(I54&gt;=0.2,I54&lt;=-0.2),"超过20%","")</f>
        <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f>IF(E48&lt;G48,G48/E48-1,E48/G48-1)</f>
        <v>0</v>
      </c>
      <c r="F55" s="299" t="str">
        <f>IF(OR(E55&gt;=0.3,E55&lt;=-0.3),"超过30%","")</f>
        <v/>
      </c>
      <c r="G55" s="298">
        <f>IF(G48&lt;I48,I48/G48-1,G48/I48-1)</f>
        <v>0</v>
      </c>
      <c r="H55" s="299" t="str">
        <f>IF(OR(G55&gt;=0.3,G55&lt;=-0.3),"超过30%","")</f>
        <v/>
      </c>
      <c r="I55" s="298">
        <f>IF(I48&lt;E48,E48/I48-1,I48/E48-1)</f>
        <v>0</v>
      </c>
      <c r="J55" s="299" t="str">
        <f>IF(OR(I55&gt;=0.3,I55&lt;=-0.3),"超过30%","")</f>
        <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1786</v>
      </c>
      <c r="B57" s="442" t="s">
        <v>1787</v>
      </c>
      <c r="C57" s="1431" t="s">
        <v>1788</v>
      </c>
      <c r="D57" s="1432" t="s">
        <v>1789</v>
      </c>
      <c r="E57" s="443" t="s">
        <v>1790</v>
      </c>
      <c r="F57" s="577" t="s">
        <v>1791</v>
      </c>
      <c r="G57" s="4586" t="s">
        <v>1792</v>
      </c>
      <c r="H57" s="4587"/>
      <c r="I57" s="50" t="s">
        <v>1793</v>
      </c>
      <c r="J57" s="1433">
        <f>项目基本情况!F35</f>
        <v>0</v>
      </c>
      <c r="K57" s="1434" t="s">
        <v>1794</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1795</v>
      </c>
      <c r="B58" s="3773">
        <f>C50</f>
        <v>2253</v>
      </c>
      <c r="C58" s="2831">
        <v>1</v>
      </c>
      <c r="D58" s="3065">
        <v>1</v>
      </c>
      <c r="E58" s="3064">
        <f>'数据-汇总表'!E8+'数据-汇总表'!E9</f>
        <v>101055</v>
      </c>
      <c r="F58" s="3086">
        <f t="shared" ref="F58:F66" si="15">ROUND(B58*E58/10000,0)</f>
        <v>22768</v>
      </c>
      <c r="G58" s="4588"/>
      <c r="H58" s="4589"/>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1796</v>
      </c>
      <c r="B59" s="3773">
        <f>ROUND($C$50*C59*D59,0)</f>
        <v>0</v>
      </c>
      <c r="C59" s="3063">
        <f t="shared" ref="C59:C66" si="16">IF($C$57="北京市系数",I59,J59)</f>
        <v>0</v>
      </c>
      <c r="D59" s="3066">
        <v>0.25</v>
      </c>
      <c r="E59" s="3068"/>
      <c r="F59" s="3086">
        <f t="shared" si="15"/>
        <v>0</v>
      </c>
      <c r="G59" s="2181" t="s">
        <v>1797</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1798</v>
      </c>
      <c r="B60" s="3773">
        <f t="shared" ref="B60:B66" si="17">ROUND($C$50*C60*D60,0)</f>
        <v>0</v>
      </c>
      <c r="C60" s="3063">
        <f t="shared" si="16"/>
        <v>0</v>
      </c>
      <c r="D60" s="3066">
        <v>0.25</v>
      </c>
      <c r="E60" s="3068"/>
      <c r="F60" s="3086">
        <f t="shared" si="15"/>
        <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1799</v>
      </c>
      <c r="B61" s="3773">
        <f t="shared" si="17"/>
        <v>0</v>
      </c>
      <c r="C61" s="3063">
        <f t="shared" si="16"/>
        <v>0</v>
      </c>
      <c r="D61" s="3066">
        <v>0.25</v>
      </c>
      <c r="E61" s="3068"/>
      <c r="F61" s="3086">
        <f t="shared" si="15"/>
        <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1800</v>
      </c>
      <c r="B62" s="3773">
        <f t="shared" si="17"/>
        <v>0</v>
      </c>
      <c r="C62" s="3063">
        <f t="shared" si="16"/>
        <v>0</v>
      </c>
      <c r="D62" s="3066">
        <v>0.25</v>
      </c>
      <c r="E62" s="3069">
        <f>'数据-汇总表'!E11</f>
        <v>0</v>
      </c>
      <c r="F62" s="3086">
        <f t="shared" si="15"/>
        <v>0</v>
      </c>
      <c r="G62" s="3078" t="s">
        <v>1801</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1802</v>
      </c>
      <c r="B63" s="3773">
        <f t="shared" si="17"/>
        <v>0</v>
      </c>
      <c r="C63" s="3063">
        <f t="shared" si="16"/>
        <v>0</v>
      </c>
      <c r="D63" s="3066">
        <v>0.25</v>
      </c>
      <c r="E63" s="3069">
        <f>'数据-汇总表'!E12</f>
        <v>0</v>
      </c>
      <c r="F63" s="3086">
        <f t="shared" si="15"/>
        <v>0</v>
      </c>
      <c r="G63" s="3079" t="s">
        <v>1803</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1804</v>
      </c>
      <c r="B64" s="3773">
        <f t="shared" si="17"/>
        <v>0</v>
      </c>
      <c r="C64" s="3063">
        <f t="shared" si="16"/>
        <v>0</v>
      </c>
      <c r="D64" s="3066">
        <v>0.25</v>
      </c>
      <c r="E64" s="3069">
        <f>'数据-汇总表'!E13</f>
        <v>48081</v>
      </c>
      <c r="F64" s="3086">
        <f t="shared" si="15"/>
        <v>0</v>
      </c>
      <c r="G64" s="3079" t="s">
        <v>1805</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1806</v>
      </c>
      <c r="B65" s="3773">
        <f t="shared" si="17"/>
        <v>0</v>
      </c>
      <c r="C65" s="3063">
        <f t="shared" si="16"/>
        <v>0</v>
      </c>
      <c r="D65" s="3066">
        <v>0.25</v>
      </c>
      <c r="E65" s="3069">
        <f>'数据-汇总表'!E14</f>
        <v>0</v>
      </c>
      <c r="F65" s="3086">
        <f t="shared" si="15"/>
        <v>0</v>
      </c>
      <c r="G65" s="3078" t="s">
        <v>1797</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1807</v>
      </c>
      <c r="B66" s="3773">
        <f t="shared" si="17"/>
        <v>0</v>
      </c>
      <c r="C66" s="3063">
        <f t="shared" si="16"/>
        <v>0</v>
      </c>
      <c r="D66" s="3066">
        <v>0.25</v>
      </c>
      <c r="E66" s="3069">
        <f>'数据-汇总表'!E15</f>
        <v>0</v>
      </c>
      <c r="F66" s="3086">
        <f t="shared" si="15"/>
        <v>0</v>
      </c>
      <c r="G66" s="3080" t="s">
        <v>1801</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1808</v>
      </c>
      <c r="B67" s="449" t="s">
        <v>20</v>
      </c>
      <c r="C67" s="449" t="s">
        <v>21</v>
      </c>
      <c r="D67" s="3087" t="s">
        <v>386</v>
      </c>
      <c r="E67" s="3070">
        <f>IF(B48="楼面地价",SUM(E58:E66),'数据-汇总表'!D3)</f>
        <v>149136</v>
      </c>
      <c r="F67" s="3071">
        <f>IF(B48="楼面地价",SUM(F58:F66),ROUND(C50*E67/10000,0))</f>
        <v>22768</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1703</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1809</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1810</v>
      </c>
      <c r="B72" s="175" t="str">
        <f>"北京市平均增长率"&amp;TEXT(SUMIF(基准地价修正!N25:N29,A72,基准地价修正!P25:P29),"0.00%")</f>
        <v>北京市平均增长率0.00%</v>
      </c>
      <c r="C72" s="389">
        <v>100</v>
      </c>
      <c r="D72" s="5">
        <v>101</v>
      </c>
      <c r="E72" s="5">
        <v>102</v>
      </c>
      <c r="F72" s="5">
        <v>103</v>
      </c>
      <c r="G72" s="5">
        <v>104</v>
      </c>
      <c r="H72" s="5">
        <v>105</v>
      </c>
      <c r="I72" s="5">
        <v>106</v>
      </c>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1621</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1586</v>
      </c>
      <c r="B74" s="307"/>
      <c r="C74" s="319" t="s">
        <v>1681</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1624</v>
      </c>
      <c r="B76" s="322" t="s">
        <v>1590</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1593</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1594</v>
      </c>
      <c r="C80" s="340" t="str">
        <f>C81&amp;"（含）"&amp;"-"&amp;D81</f>
        <v>0（含）-0.5</v>
      </c>
      <c r="D80" s="340" t="str">
        <f t="shared" ref="D80:L80" si="20">D81&amp;"（含）"&amp;"-"&amp;E81</f>
        <v>0.5（含）-1</v>
      </c>
      <c r="E80" s="340" t="str">
        <f t="shared" si="20"/>
        <v>1（含）-1.5</v>
      </c>
      <c r="F80" s="340" t="str">
        <f t="shared" si="20"/>
        <v>1.5（含）-2</v>
      </c>
      <c r="G80" s="340" t="str">
        <f t="shared" si="20"/>
        <v>2（含）-2.5</v>
      </c>
      <c r="H80" s="340" t="str">
        <f t="shared" si="20"/>
        <v>2.5（含）-3</v>
      </c>
      <c r="I80" s="340" t="str">
        <f t="shared" si="20"/>
        <v>3（含）-3.5</v>
      </c>
      <c r="J80" s="340" t="str">
        <f t="shared" si="20"/>
        <v>3.5（含）-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v>2.5</v>
      </c>
      <c r="I81" s="342">
        <v>3</v>
      </c>
      <c r="J81" s="342">
        <v>3.5</v>
      </c>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98</v>
      </c>
      <c r="E82" s="337">
        <f t="shared" si="21"/>
        <v>96</v>
      </c>
      <c r="F82" s="337">
        <f t="shared" si="21"/>
        <v>94</v>
      </c>
      <c r="G82" s="337">
        <f t="shared" si="21"/>
        <v>92</v>
      </c>
      <c r="H82" s="337">
        <f t="shared" si="21"/>
        <v>90</v>
      </c>
      <c r="I82" s="337">
        <f t="shared" si="21"/>
        <v>88</v>
      </c>
      <c r="J82" s="337">
        <f t="shared" si="21"/>
        <v>86</v>
      </c>
      <c r="K82" s="3139">
        <f t="shared" si="21"/>
        <v>84</v>
      </c>
      <c r="L82" s="337">
        <f t="shared" si="21"/>
        <v>82</v>
      </c>
      <c r="M82" s="337">
        <f t="shared" si="21"/>
        <v>80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4262" t="s">
        <v>4094</v>
      </c>
      <c r="D83" s="4262" t="s">
        <v>4095</v>
      </c>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v>100</v>
      </c>
      <c r="D84" s="329">
        <v>110</v>
      </c>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1595</v>
      </c>
      <c r="B89" s="322" t="s">
        <v>1625</v>
      </c>
      <c r="C89" s="364" t="s">
        <v>1626</v>
      </c>
      <c r="D89" s="364" t="s">
        <v>1627</v>
      </c>
      <c r="E89" s="364" t="s">
        <v>1628</v>
      </c>
      <c r="F89" s="364" t="s">
        <v>1629</v>
      </c>
      <c r="G89" s="364" t="s">
        <v>1630</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97</v>
      </c>
      <c r="E90" s="337">
        <f>D90-$K17</f>
        <v>94</v>
      </c>
      <c r="F90" s="337">
        <f>E90-$K17</f>
        <v>91</v>
      </c>
      <c r="G90" s="337">
        <f>F90-$K17</f>
        <v>88</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1811</v>
      </c>
      <c r="C91" s="368" t="s">
        <v>1626</v>
      </c>
      <c r="D91" s="368" t="s">
        <v>1627</v>
      </c>
      <c r="E91" s="368" t="s">
        <v>1628</v>
      </c>
      <c r="F91" s="368" t="s">
        <v>1629</v>
      </c>
      <c r="G91" s="368" t="s">
        <v>1630</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97</v>
      </c>
      <c r="E92" s="337">
        <f>D92-$K19</f>
        <v>94</v>
      </c>
      <c r="F92" s="337">
        <f>E92-$K19</f>
        <v>91</v>
      </c>
      <c r="G92" s="337">
        <f>F92-$K19</f>
        <v>88</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1726</v>
      </c>
      <c r="C93" s="368" t="s">
        <v>1626</v>
      </c>
      <c r="D93" s="368" t="s">
        <v>1627</v>
      </c>
      <c r="E93" s="368" t="s">
        <v>1628</v>
      </c>
      <c r="F93" s="368" t="s">
        <v>1629</v>
      </c>
      <c r="G93" s="368" t="s">
        <v>1630</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1631</v>
      </c>
      <c r="C95" s="368" t="s">
        <v>1626</v>
      </c>
      <c r="D95" s="368" t="s">
        <v>1627</v>
      </c>
      <c r="E95" s="368" t="s">
        <v>1628</v>
      </c>
      <c r="F95" s="368" t="s">
        <v>1629</v>
      </c>
      <c r="G95" s="368" t="s">
        <v>1630</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97</v>
      </c>
      <c r="E96" s="337">
        <f>D96-$K23</f>
        <v>94</v>
      </c>
      <c r="F96" s="337">
        <f>E96-$K23</f>
        <v>91</v>
      </c>
      <c r="G96" s="337">
        <f>F96-$K23</f>
        <v>88</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1812</v>
      </c>
      <c r="C97" s="368" t="s">
        <v>1626</v>
      </c>
      <c r="D97" s="368" t="s">
        <v>1627</v>
      </c>
      <c r="E97" s="368" t="s">
        <v>1628</v>
      </c>
      <c r="F97" s="368" t="s">
        <v>1629</v>
      </c>
      <c r="G97" s="368" t="s">
        <v>1630</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98</v>
      </c>
      <c r="E98" s="337">
        <f>D98-$K25</f>
        <v>96</v>
      </c>
      <c r="F98" s="337">
        <f>E98-$K25</f>
        <v>94</v>
      </c>
      <c r="G98" s="337">
        <f>F98-$K25</f>
        <v>92</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1813</v>
      </c>
      <c r="C99" s="364" t="s">
        <v>1626</v>
      </c>
      <c r="D99" s="364" t="s">
        <v>1627</v>
      </c>
      <c r="E99" s="364" t="s">
        <v>1628</v>
      </c>
      <c r="F99" s="364" t="s">
        <v>1629</v>
      </c>
      <c r="G99" s="364" t="s">
        <v>1630</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97</v>
      </c>
      <c r="E100" s="337">
        <f>D100-$K27</f>
        <v>94</v>
      </c>
      <c r="F100" s="337">
        <f>E100-$K27</f>
        <v>91</v>
      </c>
      <c r="G100" s="337">
        <f>F100-$K27</f>
        <v>88</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1683</v>
      </c>
      <c r="C101" s="364" t="s">
        <v>1626</v>
      </c>
      <c r="D101" s="364" t="s">
        <v>1627</v>
      </c>
      <c r="E101" s="364" t="s">
        <v>1628</v>
      </c>
      <c r="F101" s="364" t="s">
        <v>1629</v>
      </c>
      <c r="G101" s="364" t="s">
        <v>1630</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97</v>
      </c>
      <c r="E102" s="337">
        <f>D102-$K29</f>
        <v>94</v>
      </c>
      <c r="F102" s="337">
        <f>E102-$K29</f>
        <v>91</v>
      </c>
      <c r="G102" s="337">
        <f>F102-$K29</f>
        <v>88</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1684</v>
      </c>
      <c r="C103" s="428" t="s">
        <v>1704</v>
      </c>
      <c r="D103" s="428" t="s">
        <v>1705</v>
      </c>
      <c r="E103" s="428" t="s">
        <v>1706</v>
      </c>
      <c r="F103" s="428" t="s">
        <v>1707</v>
      </c>
      <c r="G103" s="428" t="s">
        <v>1708</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1720</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1778</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ht="28.5">
      <c r="A117" s="262" t="s">
        <v>1599</v>
      </c>
      <c r="B117" s="322" t="s">
        <v>1818</v>
      </c>
      <c r="C117" s="323" t="str">
        <f>C118&amp;"(含)"&amp;"-"&amp;D118</f>
        <v>0(含)-20000</v>
      </c>
      <c r="D117" s="323" t="str">
        <f t="shared" ref="D117:M117" si="25">D118&amp;"(含)"&amp;"-"&amp;E118</f>
        <v>20000(含)-50000</v>
      </c>
      <c r="E117" s="323" t="str">
        <f t="shared" si="25"/>
        <v>50000(含)-100000</v>
      </c>
      <c r="F117" s="323" t="str">
        <f t="shared" si="25"/>
        <v>100000(含)-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v>0</v>
      </c>
      <c r="D118" s="5">
        <v>20000</v>
      </c>
      <c r="E118" s="5">
        <v>50000</v>
      </c>
      <c r="F118" s="5">
        <v>100000</v>
      </c>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v>100</v>
      </c>
      <c r="D119" s="380">
        <v>101</v>
      </c>
      <c r="E119" s="380">
        <v>102</v>
      </c>
      <c r="F119" s="380">
        <v>103</v>
      </c>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1819</v>
      </c>
      <c r="C120" s="372" t="s">
        <v>3607</v>
      </c>
      <c r="D120" s="372" t="s">
        <v>3608</v>
      </c>
      <c r="E120" s="372" t="s">
        <v>3609</v>
      </c>
      <c r="F120" s="372" t="s">
        <v>3610</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99</v>
      </c>
      <c r="E121" s="337">
        <f t="shared" si="26"/>
        <v>98</v>
      </c>
      <c r="F121" s="337">
        <f t="shared" si="26"/>
        <v>97</v>
      </c>
      <c r="G121" s="337">
        <f t="shared" si="26"/>
        <v>96</v>
      </c>
      <c r="H121" s="337">
        <f t="shared" si="26"/>
        <v>95</v>
      </c>
      <c r="I121" s="337">
        <f t="shared" si="26"/>
        <v>94</v>
      </c>
      <c r="J121" s="337">
        <f t="shared" si="26"/>
        <v>93</v>
      </c>
      <c r="K121" s="3139">
        <f t="shared" si="26"/>
        <v>92</v>
      </c>
      <c r="L121" s="337">
        <f t="shared" si="26"/>
        <v>91</v>
      </c>
      <c r="M121" s="338">
        <f t="shared" si="26"/>
        <v>90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1820</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1821</v>
      </c>
      <c r="C124" s="347" t="s">
        <v>3602</v>
      </c>
      <c r="D124" s="347" t="s">
        <v>3603</v>
      </c>
      <c r="E124" s="347" t="s">
        <v>3604</v>
      </c>
      <c r="F124" s="347" t="s">
        <v>3605</v>
      </c>
      <c r="G124" s="347" t="s">
        <v>3606</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1822</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0</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0</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0</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130" priority="13" stopIfTrue="1">
      <formula>$F$53="超过30%"</formula>
    </cfRule>
  </conditionalFormatting>
  <conditionalFormatting sqref="E54">
    <cfRule type="expression" dxfId="129" priority="11" stopIfTrue="1">
      <formula>$F$54="超过20%"</formula>
    </cfRule>
  </conditionalFormatting>
  <conditionalFormatting sqref="E55">
    <cfRule type="expression" dxfId="128" priority="10" stopIfTrue="1">
      <formula>$F$55="超过30%"</formula>
    </cfRule>
  </conditionalFormatting>
  <conditionalFormatting sqref="F9:F47 H9:H47 J9:J47">
    <cfRule type="cellIs" dxfId="127" priority="1" operator="notEqual">
      <formula>100</formula>
    </cfRule>
  </conditionalFormatting>
  <conditionalFormatting sqref="F49">
    <cfRule type="expression" dxfId="126" priority="4">
      <formula>$D$49="简单平均"</formula>
    </cfRule>
  </conditionalFormatting>
  <conditionalFormatting sqref="F53:F55 H53:H55 J53:J55">
    <cfRule type="containsText" dxfId="125" priority="14" stopIfTrue="1" operator="containsText" text="超过">
      <formula>NOT(ISERROR(SEARCH("超过",F53)))</formula>
    </cfRule>
  </conditionalFormatting>
  <conditionalFormatting sqref="G53">
    <cfRule type="expression" dxfId="124" priority="9" stopIfTrue="1">
      <formula>$H$55+$H$53="超过30%"</formula>
    </cfRule>
  </conditionalFormatting>
  <conditionalFormatting sqref="G54">
    <cfRule type="expression" dxfId="123" priority="8" stopIfTrue="1">
      <formula>$H$54="超过20%"</formula>
    </cfRule>
  </conditionalFormatting>
  <conditionalFormatting sqref="G55">
    <cfRule type="expression" dxfId="122" priority="12"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2834" t="s">
        <v>1671</v>
      </c>
      <c r="C1" s="826" t="s">
        <v>1567</v>
      </c>
      <c r="D1" s="813"/>
      <c r="E1" s="2472"/>
      <c r="F1" s="1353"/>
      <c r="G1" s="823" t="s">
        <v>1672</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1429</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1431</v>
      </c>
      <c r="B3" s="2880">
        <f>IF(E2="——",C49,ROUND(B2*10000/D3,0))</f>
        <v>0</v>
      </c>
      <c r="C3" s="234" t="s">
        <v>1673</v>
      </c>
      <c r="D3" s="2880">
        <f>IF(D1="",'数据-汇总表'!E3,SUMIF('数据-汇总表'!$C19:$C33,D1,'数据-汇总表'!$E19:$E33))</f>
        <v>153829</v>
      </c>
      <c r="E3" s="3847" t="s">
        <v>3465</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1674</v>
      </c>
      <c r="B4" s="236"/>
      <c r="C4" s="4553" t="s">
        <v>1675</v>
      </c>
      <c r="D4" s="4554"/>
      <c r="E4" s="4555" t="s">
        <v>1676</v>
      </c>
      <c r="F4" s="4556"/>
      <c r="G4" s="4553" t="s">
        <v>1677</v>
      </c>
      <c r="H4" s="4554"/>
      <c r="I4" s="4553" t="s">
        <v>1678</v>
      </c>
      <c r="J4" s="4554"/>
      <c r="K4" s="2863" t="s">
        <v>1679</v>
      </c>
      <c r="L4" s="1974"/>
      <c r="M4" s="1975"/>
      <c r="N4" s="1975"/>
      <c r="O4" s="1975"/>
      <c r="P4" s="4557" t="s">
        <v>1680</v>
      </c>
      <c r="Q4" s="4558"/>
      <c r="R4" s="4538" t="s">
        <v>1676</v>
      </c>
      <c r="S4" s="4539"/>
      <c r="T4" s="4538" t="s">
        <v>1677</v>
      </c>
      <c r="U4" s="4539"/>
      <c r="V4" s="4565" t="s">
        <v>1678</v>
      </c>
      <c r="W4" s="4565"/>
      <c r="X4" s="909"/>
      <c r="Y4" s="4568" t="s">
        <v>1680</v>
      </c>
      <c r="Z4" s="4569"/>
      <c r="AA4" s="4533" t="s">
        <v>1676</v>
      </c>
      <c r="AB4" s="4590" t="s">
        <v>1677</v>
      </c>
      <c r="AC4" s="4533" t="s">
        <v>1678</v>
      </c>
    </row>
    <row r="5" spans="1:29" ht="15">
      <c r="A5" s="238"/>
      <c r="B5" s="239"/>
      <c r="C5" s="4592" t="s">
        <v>1578</v>
      </c>
      <c r="D5" s="4545"/>
      <c r="E5" s="4591" t="s">
        <v>1579</v>
      </c>
      <c r="F5" s="4543"/>
      <c r="G5" s="4592" t="s">
        <v>1580</v>
      </c>
      <c r="H5" s="4545"/>
      <c r="I5" s="4592" t="s">
        <v>1581</v>
      </c>
      <c r="J5" s="4545"/>
      <c r="K5" s="2863"/>
      <c r="L5" s="1974"/>
      <c r="M5" s="1975"/>
      <c r="N5" s="1975"/>
      <c r="O5" s="1975"/>
      <c r="P5" s="4559"/>
      <c r="Q5" s="4560"/>
      <c r="R5" s="4540"/>
      <c r="S5" s="4541"/>
      <c r="T5" s="4540"/>
      <c r="U5" s="4541"/>
      <c r="V5" s="4565"/>
      <c r="W5" s="4565"/>
      <c r="X5" s="909"/>
      <c r="Y5" s="4570"/>
      <c r="Z5" s="4571"/>
      <c r="AA5" s="4534"/>
      <c r="AB5" s="4590"/>
      <c r="AC5" s="4534"/>
    </row>
    <row r="6" spans="1:29" ht="15.75" thickBot="1">
      <c r="A6" s="240"/>
      <c r="B6" s="241"/>
      <c r="C6" s="4546" t="s">
        <v>1582</v>
      </c>
      <c r="D6" s="4547"/>
      <c r="E6" s="4549" t="s">
        <v>1582</v>
      </c>
      <c r="F6" s="4550"/>
      <c r="G6" s="4546" t="s">
        <v>1582</v>
      </c>
      <c r="H6" s="4547"/>
      <c r="I6" s="4546" t="s">
        <v>1582</v>
      </c>
      <c r="J6" s="4547"/>
      <c r="K6" s="2863" t="s">
        <v>1583</v>
      </c>
      <c r="L6" s="1974"/>
      <c r="M6" s="1975"/>
      <c r="N6" s="1975"/>
      <c r="O6" s="1975"/>
      <c r="P6" s="4561"/>
      <c r="Q6" s="4562"/>
      <c r="R6" s="4540"/>
      <c r="S6" s="4541"/>
      <c r="T6" s="4563"/>
      <c r="U6" s="4564"/>
      <c r="V6" s="4565"/>
      <c r="W6" s="4565"/>
      <c r="X6" s="909"/>
      <c r="Y6" s="4572"/>
      <c r="Z6" s="4573"/>
      <c r="AA6" s="4535"/>
      <c r="AB6" s="4590"/>
      <c r="AC6" s="4535"/>
    </row>
    <row r="7" spans="1:29" s="46" customFormat="1" ht="15.75" thickBot="1">
      <c r="A7" s="242" t="s">
        <v>1584</v>
      </c>
      <c r="B7" s="243"/>
      <c r="C7" s="244">
        <f>'数据-取费表'!B2</f>
        <v>46105</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566" t="s">
        <v>1585</v>
      </c>
      <c r="Q7" s="4574"/>
      <c r="R7" s="3633" t="s">
        <v>13</v>
      </c>
      <c r="S7" s="3156">
        <f t="shared" ref="S7:S15" si="0">F7</f>
        <v>0</v>
      </c>
      <c r="T7" s="3633" t="s">
        <v>13</v>
      </c>
      <c r="U7" s="3156">
        <f t="shared" ref="U7:U15" si="1">H7</f>
        <v>0</v>
      </c>
      <c r="V7" s="3633" t="s">
        <v>13</v>
      </c>
      <c r="W7" s="3156">
        <f t="shared" ref="W7:W15" si="2">J7</f>
        <v>0</v>
      </c>
      <c r="X7" s="482"/>
      <c r="Y7" s="4536" t="s">
        <v>1585</v>
      </c>
      <c r="Z7" s="4537"/>
      <c r="AA7" s="28" t="e">
        <f>D7/F7</f>
        <v>#DIV/0!</v>
      </c>
      <c r="AB7" s="28" t="e">
        <f>D7/H7</f>
        <v>#DIV/0!</v>
      </c>
      <c r="AC7" s="28" t="e">
        <f>D7/J7</f>
        <v>#DIV/0!</v>
      </c>
    </row>
    <row r="8" spans="1:29" s="46" customFormat="1" ht="15.75" thickBot="1">
      <c r="A8" s="242" t="s">
        <v>1586</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566" t="s">
        <v>1588</v>
      </c>
      <c r="Q8" s="4567"/>
      <c r="R8" s="3633" t="s">
        <v>13</v>
      </c>
      <c r="S8" s="3156">
        <f t="shared" si="0"/>
        <v>100</v>
      </c>
      <c r="T8" s="3633" t="s">
        <v>13</v>
      </c>
      <c r="U8" s="3156">
        <f t="shared" si="1"/>
        <v>100</v>
      </c>
      <c r="V8" s="3633" t="s">
        <v>13</v>
      </c>
      <c r="W8" s="3156">
        <f t="shared" si="2"/>
        <v>100</v>
      </c>
      <c r="X8" s="482"/>
      <c r="Y8" s="4536" t="s">
        <v>1588</v>
      </c>
      <c r="Z8" s="4537"/>
      <c r="AA8" s="28">
        <f t="shared" ref="AA8:AA46" si="3">D8/F8</f>
        <v>1</v>
      </c>
      <c r="AB8" s="28">
        <f t="shared" ref="AB8:AB46" si="4">D8/H8</f>
        <v>1</v>
      </c>
      <c r="AC8" s="28">
        <f t="shared" ref="AC8:AC46" si="5">D8/J8</f>
        <v>1</v>
      </c>
    </row>
    <row r="9" spans="1:29" s="46" customFormat="1">
      <c r="A9" s="247" t="s">
        <v>1589</v>
      </c>
      <c r="B9" s="2792" t="s">
        <v>1590</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593" t="s">
        <v>1591</v>
      </c>
      <c r="Q9" s="1698" t="str">
        <f t="shared" ref="Q9:Q15" si="6">B9</f>
        <v>用途</v>
      </c>
      <c r="R9" s="3633" t="s">
        <v>13</v>
      </c>
      <c r="S9" s="3156">
        <f t="shared" si="0"/>
        <v>100</v>
      </c>
      <c r="T9" s="3633" t="s">
        <v>13</v>
      </c>
      <c r="U9" s="3156">
        <f t="shared" si="1"/>
        <v>100</v>
      </c>
      <c r="V9" s="3633" t="s">
        <v>13</v>
      </c>
      <c r="W9" s="3156">
        <f t="shared" si="2"/>
        <v>100</v>
      </c>
      <c r="X9" s="482"/>
      <c r="Y9" s="4552"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93"/>
      <c r="Q10" s="1698" t="str">
        <f t="shared" si="6"/>
        <v>土地使用年限（年）</v>
      </c>
      <c r="R10" s="3633" t="s">
        <v>13</v>
      </c>
      <c r="S10" s="3156">
        <f t="shared" si="0"/>
        <v>100</v>
      </c>
      <c r="T10" s="3633" t="s">
        <v>13</v>
      </c>
      <c r="U10" s="3156">
        <f t="shared" si="1"/>
        <v>100</v>
      </c>
      <c r="V10" s="3633" t="s">
        <v>13</v>
      </c>
      <c r="W10" s="3156">
        <f t="shared" si="2"/>
        <v>100</v>
      </c>
      <c r="X10" s="482"/>
      <c r="Y10" s="4552"/>
      <c r="Z10" s="28" t="str">
        <f t="shared" si="7"/>
        <v>土地使用年限（年）</v>
      </c>
      <c r="AA10" s="28">
        <f t="shared" si="3"/>
        <v>1</v>
      </c>
      <c r="AB10" s="28">
        <f t="shared" si="4"/>
        <v>1</v>
      </c>
      <c r="AC10" s="28">
        <f t="shared" si="5"/>
        <v>1</v>
      </c>
    </row>
    <row r="11" spans="1:29" ht="15">
      <c r="A11" s="254"/>
      <c r="B11" s="2789" t="s">
        <v>1594</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93"/>
      <c r="Q11" s="1698" t="str">
        <f t="shared" si="6"/>
        <v>容积率</v>
      </c>
      <c r="R11" s="3633" t="s">
        <v>13</v>
      </c>
      <c r="S11" s="3156">
        <f t="shared" si="0"/>
        <v>100</v>
      </c>
      <c r="T11" s="3633" t="s">
        <v>13</v>
      </c>
      <c r="U11" s="3156">
        <f t="shared" si="1"/>
        <v>100</v>
      </c>
      <c r="V11" s="3633" t="s">
        <v>13</v>
      </c>
      <c r="W11" s="3156">
        <f t="shared" si="2"/>
        <v>100</v>
      </c>
      <c r="X11" s="482"/>
      <c r="Y11" s="4552"/>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93"/>
      <c r="Q12" s="1698">
        <f t="shared" si="6"/>
        <v>111</v>
      </c>
      <c r="R12" s="3633" t="s">
        <v>13</v>
      </c>
      <c r="S12" s="3156">
        <f t="shared" si="0"/>
        <v>100</v>
      </c>
      <c r="T12" s="3633" t="s">
        <v>13</v>
      </c>
      <c r="U12" s="3156">
        <f t="shared" si="1"/>
        <v>100</v>
      </c>
      <c r="V12" s="3633" t="s">
        <v>13</v>
      </c>
      <c r="W12" s="3156">
        <f t="shared" si="2"/>
        <v>100</v>
      </c>
      <c r="X12" s="482"/>
      <c r="Y12" s="4552"/>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93"/>
      <c r="Q13" s="1698">
        <f t="shared" si="6"/>
        <v>111</v>
      </c>
      <c r="R13" s="3633" t="s">
        <v>13</v>
      </c>
      <c r="S13" s="3156">
        <f t="shared" si="0"/>
        <v>100</v>
      </c>
      <c r="T13" s="3633" t="s">
        <v>13</v>
      </c>
      <c r="U13" s="3156">
        <f t="shared" si="1"/>
        <v>100</v>
      </c>
      <c r="V13" s="3633" t="s">
        <v>13</v>
      </c>
      <c r="W13" s="3156">
        <f t="shared" si="2"/>
        <v>100</v>
      </c>
      <c r="X13" s="482"/>
      <c r="Y13" s="4552"/>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93"/>
      <c r="Q14" s="1698">
        <f t="shared" si="6"/>
        <v>111</v>
      </c>
      <c r="R14" s="3633" t="s">
        <v>13</v>
      </c>
      <c r="S14" s="3156">
        <f t="shared" si="0"/>
        <v>100</v>
      </c>
      <c r="T14" s="3633" t="s">
        <v>13</v>
      </c>
      <c r="U14" s="3156">
        <f t="shared" si="1"/>
        <v>100</v>
      </c>
      <c r="V14" s="3633" t="s">
        <v>13</v>
      </c>
      <c r="W14" s="3156">
        <f t="shared" si="2"/>
        <v>100</v>
      </c>
      <c r="X14" s="482"/>
      <c r="Y14" s="4552"/>
      <c r="Z14" s="28">
        <f t="shared" si="7"/>
        <v>111</v>
      </c>
      <c r="AA14" s="28">
        <f t="shared" si="3"/>
        <v>1</v>
      </c>
      <c r="AB14" s="28">
        <f t="shared" si="4"/>
        <v>1</v>
      </c>
      <c r="AC14" s="28">
        <f t="shared" si="5"/>
        <v>1</v>
      </c>
    </row>
    <row r="15" spans="1:29" ht="15">
      <c r="A15" s="262" t="s">
        <v>1595</v>
      </c>
      <c r="B15" s="2795" t="s">
        <v>1682</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594" t="s">
        <v>1596</v>
      </c>
      <c r="Q15" s="1507" t="str">
        <f t="shared" si="6"/>
        <v>商业繁华度</v>
      </c>
      <c r="R15" s="3735" t="s">
        <v>13</v>
      </c>
      <c r="S15" s="3157">
        <f t="shared" si="0"/>
        <v>100</v>
      </c>
      <c r="T15" s="3735" t="s">
        <v>13</v>
      </c>
      <c r="U15" s="3157">
        <f t="shared" si="1"/>
        <v>100</v>
      </c>
      <c r="V15" s="3735" t="s">
        <v>13</v>
      </c>
      <c r="W15" s="3157">
        <f t="shared" si="2"/>
        <v>100</v>
      </c>
      <c r="X15" s="909"/>
      <c r="Y15" s="4577" t="s">
        <v>1596</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595"/>
      <c r="Q16" s="1507"/>
      <c r="R16" s="3735"/>
      <c r="S16" s="3157"/>
      <c r="T16" s="3735"/>
      <c r="U16" s="3157"/>
      <c r="V16" s="3735"/>
      <c r="W16" s="3157"/>
      <c r="X16" s="909"/>
      <c r="Y16" s="4578"/>
      <c r="Z16" s="907"/>
      <c r="AA16" s="907">
        <v>1</v>
      </c>
      <c r="AB16" s="907">
        <v>1</v>
      </c>
      <c r="AC16" s="907">
        <v>1</v>
      </c>
    </row>
    <row r="17" spans="1:29" ht="15">
      <c r="A17" s="254"/>
      <c r="B17" s="2797" t="s">
        <v>1235</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595"/>
      <c r="Q17" s="1507" t="str">
        <f>B17</f>
        <v>交通便捷度</v>
      </c>
      <c r="R17" s="3735" t="s">
        <v>13</v>
      </c>
      <c r="S17" s="3157">
        <f>F17</f>
        <v>100</v>
      </c>
      <c r="T17" s="3735" t="s">
        <v>13</v>
      </c>
      <c r="U17" s="3157">
        <f>H17</f>
        <v>100</v>
      </c>
      <c r="V17" s="3735" t="s">
        <v>13</v>
      </c>
      <c r="W17" s="3157">
        <f>J17</f>
        <v>100</v>
      </c>
      <c r="X17" s="909"/>
      <c r="Y17" s="4578"/>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595"/>
      <c r="Q18" s="1507"/>
      <c r="R18" s="3735"/>
      <c r="S18" s="3157"/>
      <c r="T18" s="3735"/>
      <c r="U18" s="3157"/>
      <c r="V18" s="3735"/>
      <c r="W18" s="3157"/>
      <c r="X18" s="909"/>
      <c r="Y18" s="4578"/>
      <c r="Z18" s="907"/>
      <c r="AA18" s="907">
        <v>1</v>
      </c>
      <c r="AB18" s="907">
        <v>1</v>
      </c>
      <c r="AC18" s="907">
        <v>1</v>
      </c>
    </row>
    <row r="19" spans="1:29" ht="15">
      <c r="A19" s="254"/>
      <c r="B19" s="2797" t="s">
        <v>1683</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595"/>
      <c r="Q19" s="1507" t="str">
        <f>B19</f>
        <v>公共配套设施</v>
      </c>
      <c r="R19" s="3735" t="s">
        <v>13</v>
      </c>
      <c r="S19" s="3157">
        <f>F19</f>
        <v>100</v>
      </c>
      <c r="T19" s="3735" t="s">
        <v>13</v>
      </c>
      <c r="U19" s="3157">
        <f>H19</f>
        <v>100</v>
      </c>
      <c r="V19" s="3735" t="s">
        <v>13</v>
      </c>
      <c r="W19" s="3157">
        <f>J19</f>
        <v>100</v>
      </c>
      <c r="X19" s="909"/>
      <c r="Y19" s="4578"/>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595"/>
      <c r="Q20" s="1507"/>
      <c r="R20" s="3735"/>
      <c r="S20" s="3157"/>
      <c r="T20" s="3735"/>
      <c r="U20" s="3157"/>
      <c r="V20" s="3735"/>
      <c r="W20" s="3157"/>
      <c r="X20" s="909"/>
      <c r="Y20" s="4578"/>
      <c r="Z20" s="907"/>
      <c r="AA20" s="907">
        <v>1</v>
      </c>
      <c r="AB20" s="907">
        <v>1</v>
      </c>
      <c r="AC20" s="907">
        <v>1</v>
      </c>
    </row>
    <row r="21" spans="1:29" ht="15">
      <c r="A21" s="254"/>
      <c r="B21" s="2799" t="s">
        <v>1684</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595"/>
      <c r="Q21" s="1507" t="str">
        <f>B21</f>
        <v>基础设施水平</v>
      </c>
      <c r="R21" s="3735" t="s">
        <v>13</v>
      </c>
      <c r="S21" s="3157">
        <f>F21</f>
        <v>100</v>
      </c>
      <c r="T21" s="3735" t="s">
        <v>13</v>
      </c>
      <c r="U21" s="3157">
        <f>H21</f>
        <v>100</v>
      </c>
      <c r="V21" s="3735" t="s">
        <v>13</v>
      </c>
      <c r="W21" s="3157">
        <f>J21</f>
        <v>100</v>
      </c>
      <c r="X21" s="909"/>
      <c r="Y21" s="4578"/>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595"/>
      <c r="Q22" s="1507"/>
      <c r="R22" s="3735"/>
      <c r="S22" s="3157"/>
      <c r="T22" s="3735"/>
      <c r="U22" s="3157"/>
      <c r="V22" s="3735"/>
      <c r="W22" s="3157"/>
      <c r="X22" s="909"/>
      <c r="Y22" s="4578"/>
      <c r="Z22" s="907"/>
      <c r="AA22" s="907">
        <v>1</v>
      </c>
      <c r="AB22" s="907">
        <v>1</v>
      </c>
      <c r="AC22" s="907">
        <v>1</v>
      </c>
    </row>
    <row r="23" spans="1:29" ht="15">
      <c r="A23" s="254"/>
      <c r="B23" s="2797" t="s">
        <v>1237</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595"/>
      <c r="Q23" s="1507" t="str">
        <f>B23</f>
        <v>自然及人文环境</v>
      </c>
      <c r="R23" s="3735" t="s">
        <v>13</v>
      </c>
      <c r="S23" s="3157">
        <f>F23</f>
        <v>100</v>
      </c>
      <c r="T23" s="3735" t="s">
        <v>13</v>
      </c>
      <c r="U23" s="3157">
        <f>H23</f>
        <v>100</v>
      </c>
      <c r="V23" s="3735" t="s">
        <v>13</v>
      </c>
      <c r="W23" s="3157">
        <f>J23</f>
        <v>100</v>
      </c>
      <c r="X23" s="909"/>
      <c r="Y23" s="4578"/>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595"/>
      <c r="Q24" s="1507"/>
      <c r="R24" s="3735"/>
      <c r="S24" s="3157"/>
      <c r="T24" s="3735"/>
      <c r="U24" s="3157"/>
      <c r="V24" s="3735"/>
      <c r="W24" s="3157"/>
      <c r="X24" s="909"/>
      <c r="Y24" s="4578"/>
      <c r="Z24" s="907"/>
      <c r="AA24" s="907">
        <v>1</v>
      </c>
      <c r="AB24" s="907">
        <v>1</v>
      </c>
      <c r="AC24" s="907">
        <v>1</v>
      </c>
    </row>
    <row r="25" spans="1:29" ht="15">
      <c r="A25" s="254"/>
      <c r="B25" s="2789" t="s">
        <v>1685</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595"/>
      <c r="Q25" s="1507" t="str">
        <f t="shared" ref="Q25:Q46" si="11">B25</f>
        <v>临街状况</v>
      </c>
      <c r="R25" s="3735" t="s">
        <v>13</v>
      </c>
      <c r="S25" s="3157">
        <f>F25</f>
        <v>100</v>
      </c>
      <c r="T25" s="3735" t="s">
        <v>13</v>
      </c>
      <c r="U25" s="3157">
        <f>H25</f>
        <v>100</v>
      </c>
      <c r="V25" s="3735" t="s">
        <v>13</v>
      </c>
      <c r="W25" s="3157">
        <f>J25</f>
        <v>100</v>
      </c>
      <c r="X25" s="909"/>
      <c r="Y25" s="4578"/>
      <c r="Z25" s="907" t="str">
        <f>Q25</f>
        <v>临街状况</v>
      </c>
      <c r="AA25" s="907">
        <f t="shared" si="3"/>
        <v>1</v>
      </c>
      <c r="AB25" s="907">
        <f t="shared" si="4"/>
        <v>1</v>
      </c>
      <c r="AC25" s="907">
        <f t="shared" si="5"/>
        <v>1</v>
      </c>
    </row>
    <row r="26" spans="1:29" ht="15">
      <c r="A26" s="254"/>
      <c r="B26" s="2800" t="s">
        <v>1686</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595"/>
      <c r="Q26" s="1507" t="str">
        <f t="shared" si="11"/>
        <v>平面位置/可视性</v>
      </c>
      <c r="R26" s="3735" t="s">
        <v>13</v>
      </c>
      <c r="S26" s="3157">
        <f>F26</f>
        <v>100</v>
      </c>
      <c r="T26" s="3735" t="s">
        <v>13</v>
      </c>
      <c r="U26" s="3157">
        <f>H26</f>
        <v>100</v>
      </c>
      <c r="V26" s="3735" t="s">
        <v>13</v>
      </c>
      <c r="W26" s="3157">
        <f>J26</f>
        <v>100</v>
      </c>
      <c r="X26" s="909"/>
      <c r="Y26" s="4578"/>
      <c r="Z26" s="907" t="str">
        <f>Q26</f>
        <v>平面位置/可视性</v>
      </c>
      <c r="AA26" s="907">
        <f t="shared" si="3"/>
        <v>1</v>
      </c>
      <c r="AB26" s="907">
        <f t="shared" si="4"/>
        <v>1</v>
      </c>
      <c r="AC26" s="907">
        <f t="shared" si="5"/>
        <v>1</v>
      </c>
    </row>
    <row r="27" spans="1:29" s="46" customFormat="1" ht="15">
      <c r="A27" s="257"/>
      <c r="B27" s="2797" t="s">
        <v>1687</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595"/>
      <c r="Q27" s="1698" t="str">
        <f t="shared" si="11"/>
        <v>人流量</v>
      </c>
      <c r="R27" s="3633" t="s">
        <v>13</v>
      </c>
      <c r="S27" s="3156">
        <f>F27</f>
        <v>100</v>
      </c>
      <c r="T27" s="3633" t="s">
        <v>13</v>
      </c>
      <c r="U27" s="3156">
        <f>H27</f>
        <v>100</v>
      </c>
      <c r="V27" s="3633" t="s">
        <v>13</v>
      </c>
      <c r="W27" s="3156">
        <f>J27</f>
        <v>100</v>
      </c>
      <c r="X27" s="482"/>
      <c r="Y27" s="4578"/>
      <c r="Z27" s="28" t="str">
        <f>Q27</f>
        <v>人流量</v>
      </c>
      <c r="AA27" s="907">
        <f>D27/F27</f>
        <v>1</v>
      </c>
      <c r="AB27" s="907">
        <f>D27/H27</f>
        <v>1</v>
      </c>
      <c r="AC27" s="907">
        <f>D27/J27</f>
        <v>1</v>
      </c>
    </row>
    <row r="28" spans="1:29" ht="15">
      <c r="A28" s="254"/>
      <c r="B28" s="2789" t="s">
        <v>1688</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595"/>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78"/>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95"/>
      <c r="Q29" s="1507">
        <f t="shared" si="11"/>
        <v>111</v>
      </c>
      <c r="R29" s="3735" t="s">
        <v>13</v>
      </c>
      <c r="S29" s="3157">
        <f t="shared" si="12"/>
        <v>100</v>
      </c>
      <c r="T29" s="3735" t="s">
        <v>13</v>
      </c>
      <c r="U29" s="3157">
        <f t="shared" si="13"/>
        <v>100</v>
      </c>
      <c r="V29" s="3735" t="s">
        <v>13</v>
      </c>
      <c r="W29" s="3157">
        <f t="shared" si="14"/>
        <v>100</v>
      </c>
      <c r="X29" s="909"/>
      <c r="Y29" s="4578"/>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95"/>
      <c r="Q30" s="1507">
        <f t="shared" si="11"/>
        <v>111</v>
      </c>
      <c r="R30" s="3735" t="s">
        <v>13</v>
      </c>
      <c r="S30" s="3157">
        <f t="shared" si="12"/>
        <v>100</v>
      </c>
      <c r="T30" s="3735" t="s">
        <v>13</v>
      </c>
      <c r="U30" s="3157">
        <f t="shared" si="13"/>
        <v>100</v>
      </c>
      <c r="V30" s="3735" t="s">
        <v>13</v>
      </c>
      <c r="W30" s="3157">
        <f t="shared" si="14"/>
        <v>100</v>
      </c>
      <c r="X30" s="909"/>
      <c r="Y30" s="4578"/>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95"/>
      <c r="Q31" s="1507">
        <f t="shared" si="11"/>
        <v>111</v>
      </c>
      <c r="R31" s="3735" t="s">
        <v>13</v>
      </c>
      <c r="S31" s="3157">
        <f t="shared" si="12"/>
        <v>100</v>
      </c>
      <c r="T31" s="3735" t="s">
        <v>13</v>
      </c>
      <c r="U31" s="3157">
        <f t="shared" si="13"/>
        <v>100</v>
      </c>
      <c r="V31" s="3735" t="s">
        <v>13</v>
      </c>
      <c r="W31" s="3157">
        <f t="shared" si="14"/>
        <v>100</v>
      </c>
      <c r="X31" s="909"/>
      <c r="Y31" s="4578"/>
      <c r="Z31" s="907">
        <f t="shared" si="15"/>
        <v>111</v>
      </c>
      <c r="AA31" s="907">
        <f t="shared" si="3"/>
        <v>1</v>
      </c>
      <c r="AB31" s="907">
        <f t="shared" si="4"/>
        <v>1</v>
      </c>
      <c r="AC31" s="907">
        <f t="shared" si="5"/>
        <v>1</v>
      </c>
    </row>
    <row r="32" spans="1:29" ht="15">
      <c r="A32" s="262" t="s">
        <v>1599</v>
      </c>
      <c r="B32" s="2792" t="s">
        <v>1689</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96" t="s">
        <v>1601</v>
      </c>
      <c r="Q32" s="1507" t="str">
        <f t="shared" si="11"/>
        <v>商业类型</v>
      </c>
      <c r="R32" s="3735" t="s">
        <v>13</v>
      </c>
      <c r="S32" s="3157">
        <f t="shared" si="12"/>
        <v>100</v>
      </c>
      <c r="T32" s="3735" t="s">
        <v>13</v>
      </c>
      <c r="U32" s="3157">
        <f t="shared" si="13"/>
        <v>100</v>
      </c>
      <c r="V32" s="3735" t="s">
        <v>13</v>
      </c>
      <c r="W32" s="3157">
        <f t="shared" si="14"/>
        <v>100</v>
      </c>
      <c r="X32" s="909"/>
      <c r="Y32" s="4581" t="s">
        <v>1601</v>
      </c>
      <c r="Z32" s="907" t="str">
        <f t="shared" si="15"/>
        <v>商业类型</v>
      </c>
      <c r="AA32" s="907">
        <f t="shared" si="3"/>
        <v>1</v>
      </c>
      <c r="AB32" s="907">
        <f t="shared" si="4"/>
        <v>1</v>
      </c>
      <c r="AC32" s="907">
        <f t="shared" si="5"/>
        <v>1</v>
      </c>
    </row>
    <row r="33" spans="1:29" s="279" customFormat="1" ht="15">
      <c r="A33" s="277"/>
      <c r="B33" s="2789" t="s">
        <v>1602</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97"/>
      <c r="Q33" s="2864" t="str">
        <f t="shared" si="11"/>
        <v>项目建筑规模</v>
      </c>
      <c r="R33" s="3736" t="s">
        <v>13</v>
      </c>
      <c r="S33" s="3158" t="e">
        <f t="shared" si="12"/>
        <v>#N/A</v>
      </c>
      <c r="T33" s="3736" t="s">
        <v>13</v>
      </c>
      <c r="U33" s="3158" t="e">
        <f t="shared" si="13"/>
        <v>#N/A</v>
      </c>
      <c r="V33" s="3736" t="s">
        <v>13</v>
      </c>
      <c r="W33" s="3158" t="e">
        <f t="shared" si="14"/>
        <v>#N/A</v>
      </c>
      <c r="X33" s="484"/>
      <c r="Y33" s="4581"/>
      <c r="Z33" s="485" t="str">
        <f t="shared" si="15"/>
        <v>项目建筑规模</v>
      </c>
      <c r="AA33" s="907" t="e">
        <f t="shared" si="3"/>
        <v>#N/A</v>
      </c>
      <c r="AB33" s="907" t="e">
        <f t="shared" si="4"/>
        <v>#N/A</v>
      </c>
      <c r="AC33" s="907" t="e">
        <f t="shared" si="5"/>
        <v>#N/A</v>
      </c>
    </row>
    <row r="34" spans="1:29" ht="15">
      <c r="A34" s="280"/>
      <c r="B34" s="2789" t="s">
        <v>1603</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97"/>
      <c r="Q34" s="1507" t="str">
        <f t="shared" si="11"/>
        <v>建筑结构</v>
      </c>
      <c r="R34" s="3735" t="s">
        <v>13</v>
      </c>
      <c r="S34" s="3157">
        <f t="shared" si="12"/>
        <v>100</v>
      </c>
      <c r="T34" s="3735" t="s">
        <v>13</v>
      </c>
      <c r="U34" s="3157">
        <f t="shared" si="13"/>
        <v>100</v>
      </c>
      <c r="V34" s="3735" t="s">
        <v>13</v>
      </c>
      <c r="W34" s="3157">
        <f t="shared" si="14"/>
        <v>100</v>
      </c>
      <c r="X34" s="909"/>
      <c r="Y34" s="4581"/>
      <c r="Z34" s="907" t="str">
        <f t="shared" si="15"/>
        <v>建筑结构</v>
      </c>
      <c r="AA34" s="907">
        <f t="shared" si="3"/>
        <v>1</v>
      </c>
      <c r="AB34" s="907">
        <f t="shared" si="4"/>
        <v>1</v>
      </c>
      <c r="AC34" s="907">
        <f t="shared" si="5"/>
        <v>1</v>
      </c>
    </row>
    <row r="35" spans="1:29" ht="15">
      <c r="A35" s="280"/>
      <c r="B35" s="2789" t="s">
        <v>1690</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97"/>
      <c r="Q35" s="1507" t="str">
        <f t="shared" si="11"/>
        <v>公共部分装修</v>
      </c>
      <c r="R35" s="3735" t="s">
        <v>13</v>
      </c>
      <c r="S35" s="3157">
        <f t="shared" si="12"/>
        <v>100</v>
      </c>
      <c r="T35" s="3735" t="s">
        <v>13</v>
      </c>
      <c r="U35" s="3157">
        <f t="shared" si="13"/>
        <v>100</v>
      </c>
      <c r="V35" s="3735" t="s">
        <v>13</v>
      </c>
      <c r="W35" s="3157">
        <f t="shared" si="14"/>
        <v>100</v>
      </c>
      <c r="X35" s="909"/>
      <c r="Y35" s="4581"/>
      <c r="Z35" s="907" t="str">
        <f t="shared" si="15"/>
        <v>公共部分装修</v>
      </c>
      <c r="AA35" s="907">
        <f t="shared" si="3"/>
        <v>1</v>
      </c>
      <c r="AB35" s="907">
        <f t="shared" si="4"/>
        <v>1</v>
      </c>
      <c r="AC35" s="907">
        <f t="shared" si="5"/>
        <v>1</v>
      </c>
    </row>
    <row r="36" spans="1:29" ht="15">
      <c r="A36" s="280"/>
      <c r="B36" s="2789" t="s">
        <v>1691</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97"/>
      <c r="Q36" s="1507" t="str">
        <f t="shared" si="11"/>
        <v>成新度</v>
      </c>
      <c r="R36" s="3735" t="s">
        <v>13</v>
      </c>
      <c r="S36" s="3157" t="e">
        <f t="shared" si="12"/>
        <v>#N/A</v>
      </c>
      <c r="T36" s="3735" t="s">
        <v>13</v>
      </c>
      <c r="U36" s="3157" t="e">
        <f t="shared" si="13"/>
        <v>#N/A</v>
      </c>
      <c r="V36" s="3735" t="s">
        <v>13</v>
      </c>
      <c r="W36" s="3157" t="e">
        <f t="shared" si="14"/>
        <v>#N/A</v>
      </c>
      <c r="X36" s="909"/>
      <c r="Y36" s="4581"/>
      <c r="Z36" s="907" t="str">
        <f t="shared" si="15"/>
        <v>成新度</v>
      </c>
      <c r="AA36" s="907" t="e">
        <f t="shared" si="3"/>
        <v>#N/A</v>
      </c>
      <c r="AB36" s="907" t="e">
        <f t="shared" si="4"/>
        <v>#N/A</v>
      </c>
      <c r="AC36" s="907" t="e">
        <f t="shared" si="5"/>
        <v>#N/A</v>
      </c>
    </row>
    <row r="37" spans="1:29" s="46" customFormat="1" ht="15">
      <c r="A37" s="281"/>
      <c r="B37" s="2789" t="s">
        <v>1692</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97"/>
      <c r="Q37" s="1698" t="str">
        <f t="shared" si="11"/>
        <v>市政基础设施</v>
      </c>
      <c r="R37" s="3633" t="s">
        <v>13</v>
      </c>
      <c r="S37" s="3156">
        <f t="shared" si="12"/>
        <v>100</v>
      </c>
      <c r="T37" s="3633" t="s">
        <v>13</v>
      </c>
      <c r="U37" s="3156">
        <f t="shared" si="13"/>
        <v>100</v>
      </c>
      <c r="V37" s="3633" t="s">
        <v>13</v>
      </c>
      <c r="W37" s="3156">
        <f t="shared" si="14"/>
        <v>100</v>
      </c>
      <c r="X37" s="482"/>
      <c r="Y37" s="4581"/>
      <c r="Z37" s="28" t="str">
        <f t="shared" si="15"/>
        <v>市政基础设施</v>
      </c>
      <c r="AA37" s="28">
        <f t="shared" si="3"/>
        <v>1</v>
      </c>
      <c r="AB37" s="28">
        <f t="shared" si="4"/>
        <v>1</v>
      </c>
      <c r="AC37" s="28">
        <f t="shared" si="5"/>
        <v>1</v>
      </c>
    </row>
    <row r="38" spans="1:29" ht="15">
      <c r="A38" s="280"/>
      <c r="B38" s="2789" t="s">
        <v>1693</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97" t="s">
        <v>1601</v>
      </c>
      <c r="Q38" s="1507" t="str">
        <f t="shared" si="11"/>
        <v>业态</v>
      </c>
      <c r="R38" s="3735" t="s">
        <v>13</v>
      </c>
      <c r="S38" s="3157">
        <f t="shared" si="12"/>
        <v>100</v>
      </c>
      <c r="T38" s="3735" t="s">
        <v>13</v>
      </c>
      <c r="U38" s="3157">
        <f t="shared" si="13"/>
        <v>100</v>
      </c>
      <c r="V38" s="3735" t="s">
        <v>13</v>
      </c>
      <c r="W38" s="3157">
        <f t="shared" si="14"/>
        <v>100</v>
      </c>
      <c r="X38" s="909"/>
      <c r="Y38" s="4581" t="s">
        <v>1601</v>
      </c>
      <c r="Z38" s="907" t="str">
        <f t="shared" si="15"/>
        <v>业态</v>
      </c>
      <c r="AA38" s="907">
        <f t="shared" si="3"/>
        <v>1</v>
      </c>
      <c r="AB38" s="907">
        <f t="shared" si="4"/>
        <v>1</v>
      </c>
      <c r="AC38" s="907">
        <f t="shared" si="5"/>
        <v>1</v>
      </c>
    </row>
    <row r="39" spans="1:29" ht="15">
      <c r="A39" s="280"/>
      <c r="B39" s="2789" t="s">
        <v>1694</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97"/>
      <c r="Q39" s="1507" t="str">
        <f t="shared" si="11"/>
        <v>层高</v>
      </c>
      <c r="R39" s="3735" t="s">
        <v>13</v>
      </c>
      <c r="S39" s="3157">
        <f t="shared" si="12"/>
        <v>100</v>
      </c>
      <c r="T39" s="3735" t="s">
        <v>13</v>
      </c>
      <c r="U39" s="3157">
        <f t="shared" si="13"/>
        <v>100</v>
      </c>
      <c r="V39" s="3735" t="s">
        <v>13</v>
      </c>
      <c r="W39" s="3157">
        <f t="shared" si="14"/>
        <v>100</v>
      </c>
      <c r="X39" s="909"/>
      <c r="Y39" s="4581"/>
      <c r="Z39" s="907" t="str">
        <f t="shared" si="15"/>
        <v>层高</v>
      </c>
      <c r="AA39" s="907">
        <f t="shared" si="3"/>
        <v>1</v>
      </c>
      <c r="AB39" s="907">
        <f t="shared" si="4"/>
        <v>1</v>
      </c>
      <c r="AC39" s="907">
        <f t="shared" si="5"/>
        <v>1</v>
      </c>
    </row>
    <row r="40" spans="1:29" ht="15">
      <c r="A40" s="280"/>
      <c r="B40" s="2789" t="s">
        <v>1695</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97"/>
      <c r="Q40" s="1507" t="str">
        <f t="shared" si="11"/>
        <v>单套建筑面积</v>
      </c>
      <c r="R40" s="3735" t="s">
        <v>13</v>
      </c>
      <c r="S40" s="3157">
        <f t="shared" si="12"/>
        <v>100</v>
      </c>
      <c r="T40" s="3735" t="s">
        <v>13</v>
      </c>
      <c r="U40" s="3157">
        <f t="shared" si="13"/>
        <v>100</v>
      </c>
      <c r="V40" s="3735" t="s">
        <v>13</v>
      </c>
      <c r="W40" s="3157">
        <f t="shared" si="14"/>
        <v>100</v>
      </c>
      <c r="X40" s="909"/>
      <c r="Y40" s="4581"/>
      <c r="Z40" s="907" t="str">
        <f t="shared" si="15"/>
        <v>单套建筑面积</v>
      </c>
      <c r="AA40" s="907">
        <f t="shared" si="3"/>
        <v>1</v>
      </c>
      <c r="AB40" s="907">
        <f t="shared" si="4"/>
        <v>1</v>
      </c>
      <c r="AC40" s="907">
        <f t="shared" si="5"/>
        <v>1</v>
      </c>
    </row>
    <row r="41" spans="1:29" s="279" customFormat="1" ht="15">
      <c r="A41" s="277"/>
      <c r="B41" s="2839" t="s">
        <v>1696</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97"/>
      <c r="Q41" s="2864" t="str">
        <f t="shared" si="11"/>
        <v>进深比</v>
      </c>
      <c r="R41" s="3736" t="s">
        <v>13</v>
      </c>
      <c r="S41" s="3158">
        <f t="shared" si="12"/>
        <v>100</v>
      </c>
      <c r="T41" s="3736" t="s">
        <v>13</v>
      </c>
      <c r="U41" s="3158">
        <f t="shared" si="13"/>
        <v>100</v>
      </c>
      <c r="V41" s="3736" t="s">
        <v>13</v>
      </c>
      <c r="W41" s="3158">
        <f t="shared" si="14"/>
        <v>100</v>
      </c>
      <c r="X41" s="484"/>
      <c r="Y41" s="4581"/>
      <c r="Z41" s="485" t="str">
        <f t="shared" si="15"/>
        <v>进深比</v>
      </c>
      <c r="AA41" s="907">
        <f t="shared" si="3"/>
        <v>1</v>
      </c>
      <c r="AB41" s="907">
        <f t="shared" si="4"/>
        <v>1</v>
      </c>
      <c r="AC41" s="907">
        <f t="shared" si="5"/>
        <v>1</v>
      </c>
    </row>
    <row r="42" spans="1:29" ht="15">
      <c r="A42" s="280"/>
      <c r="B42" s="2789" t="s">
        <v>1697</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97"/>
      <c r="Q42" s="1507" t="str">
        <f t="shared" si="11"/>
        <v>内部装修</v>
      </c>
      <c r="R42" s="3735" t="s">
        <v>13</v>
      </c>
      <c r="S42" s="3157">
        <f t="shared" si="12"/>
        <v>100</v>
      </c>
      <c r="T42" s="3735" t="s">
        <v>13</v>
      </c>
      <c r="U42" s="3157">
        <f t="shared" si="13"/>
        <v>100</v>
      </c>
      <c r="V42" s="3735" t="s">
        <v>13</v>
      </c>
      <c r="W42" s="3157">
        <f t="shared" si="14"/>
        <v>100</v>
      </c>
      <c r="X42" s="909"/>
      <c r="Y42" s="4581"/>
      <c r="Z42" s="907" t="str">
        <f t="shared" si="15"/>
        <v>内部装修</v>
      </c>
      <c r="AA42" s="907">
        <f t="shared" si="3"/>
        <v>1</v>
      </c>
      <c r="AB42" s="907">
        <f t="shared" si="4"/>
        <v>1</v>
      </c>
      <c r="AC42" s="907">
        <f t="shared" si="5"/>
        <v>1</v>
      </c>
    </row>
    <row r="43" spans="1:29" ht="15">
      <c r="A43" s="280"/>
      <c r="B43" s="2789" t="s">
        <v>1612</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97"/>
      <c r="Q43" s="1507" t="str">
        <f t="shared" si="11"/>
        <v>内部装修维护情况</v>
      </c>
      <c r="R43" s="3735" t="s">
        <v>13</v>
      </c>
      <c r="S43" s="3157">
        <f t="shared" si="12"/>
        <v>100</v>
      </c>
      <c r="T43" s="3735" t="s">
        <v>13</v>
      </c>
      <c r="U43" s="3157">
        <f t="shared" si="13"/>
        <v>100</v>
      </c>
      <c r="V43" s="3735" t="s">
        <v>13</v>
      </c>
      <c r="W43" s="3157">
        <f t="shared" si="14"/>
        <v>100</v>
      </c>
      <c r="X43" s="909"/>
      <c r="Y43" s="4581"/>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97"/>
      <c r="Q44" s="1698">
        <f t="shared" si="11"/>
        <v>111</v>
      </c>
      <c r="R44" s="3633" t="s">
        <v>13</v>
      </c>
      <c r="S44" s="3156">
        <f t="shared" si="12"/>
        <v>100</v>
      </c>
      <c r="T44" s="3633" t="s">
        <v>13</v>
      </c>
      <c r="U44" s="3156">
        <f t="shared" si="13"/>
        <v>100</v>
      </c>
      <c r="V44" s="3633" t="s">
        <v>13</v>
      </c>
      <c r="W44" s="3156">
        <f t="shared" si="14"/>
        <v>100</v>
      </c>
      <c r="X44" s="482"/>
      <c r="Y44" s="4581"/>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97"/>
      <c r="Q45" s="1507">
        <f t="shared" si="11"/>
        <v>111</v>
      </c>
      <c r="R45" s="3735" t="s">
        <v>13</v>
      </c>
      <c r="S45" s="3157">
        <f t="shared" si="12"/>
        <v>100</v>
      </c>
      <c r="T45" s="3735" t="s">
        <v>13</v>
      </c>
      <c r="U45" s="3157">
        <f t="shared" si="13"/>
        <v>100</v>
      </c>
      <c r="V45" s="3735" t="s">
        <v>13</v>
      </c>
      <c r="W45" s="3157">
        <f t="shared" si="14"/>
        <v>100</v>
      </c>
      <c r="X45" s="909"/>
      <c r="Y45" s="4581"/>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98"/>
      <c r="Q46" s="1507">
        <f t="shared" si="11"/>
        <v>111</v>
      </c>
      <c r="R46" s="3735" t="s">
        <v>13</v>
      </c>
      <c r="S46" s="3157">
        <f t="shared" si="12"/>
        <v>100</v>
      </c>
      <c r="T46" s="3735" t="s">
        <v>13</v>
      </c>
      <c r="U46" s="3157">
        <f t="shared" si="13"/>
        <v>100</v>
      </c>
      <c r="V46" s="3735" t="s">
        <v>13</v>
      </c>
      <c r="W46" s="3157">
        <f t="shared" si="14"/>
        <v>100</v>
      </c>
      <c r="X46" s="909"/>
      <c r="Y46" s="4599"/>
      <c r="Z46" s="907">
        <f t="shared" si="15"/>
        <v>111</v>
      </c>
      <c r="AA46" s="907">
        <f t="shared" si="3"/>
        <v>1</v>
      </c>
      <c r="AB46" s="907">
        <f t="shared" si="4"/>
        <v>1</v>
      </c>
      <c r="AC46" s="907">
        <f t="shared" si="5"/>
        <v>1</v>
      </c>
    </row>
    <row r="47" spans="1:29" ht="15">
      <c r="A47" s="286" t="s">
        <v>1613</v>
      </c>
      <c r="B47" s="287"/>
      <c r="C47" s="765" t="s">
        <v>0</v>
      </c>
      <c r="D47" s="288"/>
      <c r="E47" s="3205"/>
      <c r="F47" s="3153"/>
      <c r="G47" s="3206"/>
      <c r="H47" s="3154"/>
      <c r="I47" s="3205"/>
      <c r="J47" s="3154"/>
      <c r="K47" s="2862"/>
      <c r="L47" s="1982"/>
      <c r="M47" s="1975"/>
      <c r="N47" s="1975"/>
      <c r="O47" s="1975"/>
      <c r="P47" s="4551" t="str">
        <f>A47</f>
        <v>成交单价（元/平方米）</v>
      </c>
      <c r="Q47" s="4551"/>
      <c r="R47" s="4582">
        <f>E47</f>
        <v>0</v>
      </c>
      <c r="S47" s="4582"/>
      <c r="T47" s="4582">
        <f>G47</f>
        <v>0</v>
      </c>
      <c r="U47" s="4582"/>
      <c r="V47" s="4582">
        <f>I47</f>
        <v>0</v>
      </c>
      <c r="W47" s="4582"/>
      <c r="X47" s="265"/>
      <c r="Y47" s="486"/>
      <c r="Z47" s="265"/>
      <c r="AA47" s="265"/>
      <c r="AB47" s="265"/>
      <c r="AC47" s="265"/>
    </row>
    <row r="48" spans="1:29" ht="15.75" thickBot="1">
      <c r="A48" s="289" t="s">
        <v>1698</v>
      </c>
      <c r="B48" s="290"/>
      <c r="C48" s="3733" t="e">
        <f>R49</f>
        <v>#DIV/0!</v>
      </c>
      <c r="D48" s="3846" t="s">
        <v>2040</v>
      </c>
      <c r="E48" s="3744" t="e">
        <f>R48</f>
        <v>#DIV/0!</v>
      </c>
      <c r="F48" s="2801"/>
      <c r="G48" s="3733" t="e">
        <f>T48</f>
        <v>#DIV/0!</v>
      </c>
      <c r="H48" s="2801"/>
      <c r="I48" s="3744" t="e">
        <f>V48</f>
        <v>#DIV/0!</v>
      </c>
      <c r="J48" s="2801"/>
      <c r="K48" s="2855">
        <f>F48+H48+J48</f>
        <v>0</v>
      </c>
      <c r="L48" s="1982"/>
      <c r="M48" s="1975"/>
      <c r="N48" s="1975"/>
      <c r="O48" s="1975"/>
      <c r="P48" s="4551" t="str">
        <f>A48</f>
        <v>比较价值（元/平方米）</v>
      </c>
      <c r="Q48" s="4551"/>
      <c r="R48" s="4582" t="e">
        <f>IF(F1="售价",ROUND(PRODUCT(R47,AA7:AA46),0),ROUND(PRODUCT(R47,AA7:AA46),1))</f>
        <v>#DIV/0!</v>
      </c>
      <c r="S48" s="4582"/>
      <c r="T48" s="4582" t="e">
        <f>IF(F1="售价",ROUND(PRODUCT(T47,AB7:AB46),0),ROUND(PRODUCT(T47,AB7:AB46),1))</f>
        <v>#DIV/0!</v>
      </c>
      <c r="U48" s="4582"/>
      <c r="V48" s="4582" t="e">
        <f>IF(F1="售价",ROUND(PRODUCT(V47,AC7:AC46),0),ROUND(PRODUCT(V47,AC7:AC46),1))</f>
        <v>#DIV/0!</v>
      </c>
      <c r="W48" s="4582"/>
      <c r="X48" s="265"/>
      <c r="Y48" s="265"/>
      <c r="Z48" s="265"/>
      <c r="AA48" s="265"/>
      <c r="AB48" s="265"/>
      <c r="AC48" s="265"/>
    </row>
    <row r="49" spans="1:29" ht="15.75" thickBot="1">
      <c r="A49" s="291" t="s">
        <v>1699</v>
      </c>
      <c r="B49" s="292"/>
      <c r="C49" s="3745" t="e">
        <f>R49</f>
        <v>#DIV/0!</v>
      </c>
      <c r="D49" s="241"/>
      <c r="E49" s="241"/>
      <c r="F49" s="241"/>
      <c r="G49" s="241"/>
      <c r="H49" s="241"/>
      <c r="I49" s="241"/>
      <c r="J49" s="241"/>
      <c r="K49" s="487"/>
      <c r="L49" s="1982"/>
      <c r="M49" s="1975"/>
      <c r="N49" s="1975"/>
      <c r="O49" s="1975"/>
      <c r="P49" s="4583" t="str">
        <f>A49</f>
        <v>估价对象XX用房的比较价值（楼面单价，元/平方米）</v>
      </c>
      <c r="Q49" s="4584"/>
      <c r="R49" s="4585" t="e">
        <f>IF(F1="售价",ROUND(IF(D48="简单平均",AVERAGE(R48:V48),R48*F48+T48*H48+V48*J48),0),ROUND(IF(D48="简单平均",AVERAGE(R48:V48),R48*F48+T48*H48+V48*J48),1))</f>
        <v>#DIV/0!</v>
      </c>
      <c r="S49" s="4585"/>
      <c r="T49" s="4585"/>
      <c r="U49" s="4585"/>
      <c r="V49" s="4585"/>
      <c r="W49" s="458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1700</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1701</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1702</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1703</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1584</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1621</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1586</v>
      </c>
      <c r="B61" s="307"/>
      <c r="C61" s="319" t="s">
        <v>1681</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1624</v>
      </c>
      <c r="B63" s="322" t="s">
        <v>1590</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1593</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3863</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1594</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1595</v>
      </c>
      <c r="B76" s="322" t="s">
        <v>1625</v>
      </c>
      <c r="C76" s="364" t="s">
        <v>1626</v>
      </c>
      <c r="D76" s="364" t="s">
        <v>1627</v>
      </c>
      <c r="E76" s="364" t="s">
        <v>1628</v>
      </c>
      <c r="F76" s="364" t="s">
        <v>1629</v>
      </c>
      <c r="G76" s="364" t="s">
        <v>1630</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1631</v>
      </c>
      <c r="C78" s="368" t="s">
        <v>1626</v>
      </c>
      <c r="D78" s="368" t="s">
        <v>1627</v>
      </c>
      <c r="E78" s="368" t="s">
        <v>1628</v>
      </c>
      <c r="F78" s="368" t="s">
        <v>1629</v>
      </c>
      <c r="G78" s="368" t="s">
        <v>1630</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1632</v>
      </c>
      <c r="C80" s="368" t="s">
        <v>1626</v>
      </c>
      <c r="D80" s="368" t="s">
        <v>1627</v>
      </c>
      <c r="E80" s="368" t="s">
        <v>1628</v>
      </c>
      <c r="F80" s="368" t="s">
        <v>1629</v>
      </c>
      <c r="G80" s="368" t="s">
        <v>1630</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1684</v>
      </c>
      <c r="C82" s="428" t="s">
        <v>1704</v>
      </c>
      <c r="D82" s="428" t="s">
        <v>1705</v>
      </c>
      <c r="E82" s="428" t="s">
        <v>1706</v>
      </c>
      <c r="F82" s="428" t="s">
        <v>1707</v>
      </c>
      <c r="G82" s="428" t="s">
        <v>1708</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1638</v>
      </c>
      <c r="C84" s="368" t="s">
        <v>1626</v>
      </c>
      <c r="D84" s="368" t="s">
        <v>1627</v>
      </c>
      <c r="E84" s="368" t="s">
        <v>1628</v>
      </c>
      <c r="F84" s="368" t="s">
        <v>1629</v>
      </c>
      <c r="G84" s="368" t="s">
        <v>1630</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1709</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1599</v>
      </c>
      <c r="B100" s="322" t="s">
        <v>1710</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1642</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1643</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1645</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1171</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1647</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1711</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1712</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1713</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1714</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1649</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1650</v>
      </c>
      <c r="C124" s="368" t="s">
        <v>1626</v>
      </c>
      <c r="D124" s="368" t="s">
        <v>1627</v>
      </c>
      <c r="E124" s="368" t="s">
        <v>1628</v>
      </c>
      <c r="F124" s="368" t="s">
        <v>1629</v>
      </c>
      <c r="G124" s="368" t="s">
        <v>1630</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1715</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f>IF(E2="——",C50,ROUND(B2*10000/D3,0))</f>
        <v>0</v>
      </c>
      <c r="C3" s="234" t="s">
        <v>1673</v>
      </c>
      <c r="D3" s="2880">
        <f>IF(D1="",'数据-汇总表'!E3,SUMIF('数据-汇总表'!$C19:$C33,D1,'数据-汇总表'!$E19:$E33))</f>
        <v>153829</v>
      </c>
      <c r="E3" s="3847" t="s">
        <v>3465</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1674</v>
      </c>
      <c r="B4" s="236"/>
      <c r="C4" s="4586" t="s">
        <v>1675</v>
      </c>
      <c r="D4" s="4614"/>
      <c r="E4" s="4615" t="s">
        <v>1676</v>
      </c>
      <c r="F4" s="4616"/>
      <c r="G4" s="4586" t="s">
        <v>1677</v>
      </c>
      <c r="H4" s="4614"/>
      <c r="I4" s="4586" t="s">
        <v>1678</v>
      </c>
      <c r="J4" s="4614"/>
      <c r="K4" s="393" t="s">
        <v>1679</v>
      </c>
      <c r="L4" s="1974"/>
      <c r="M4" s="1975"/>
      <c r="N4" s="1975"/>
      <c r="O4" s="1975"/>
      <c r="P4" s="4617" t="s">
        <v>1680</v>
      </c>
      <c r="Q4" s="4618"/>
      <c r="R4" s="4601" t="s">
        <v>1676</v>
      </c>
      <c r="S4" s="4602"/>
      <c r="T4" s="4601" t="s">
        <v>1677</v>
      </c>
      <c r="U4" s="4602"/>
      <c r="V4" s="4621" t="s">
        <v>1678</v>
      </c>
      <c r="W4" s="4621"/>
      <c r="X4" s="1413"/>
      <c r="Y4" s="4623" t="s">
        <v>1680</v>
      </c>
      <c r="Z4" s="4624"/>
      <c r="AA4" s="4600" t="s">
        <v>1676</v>
      </c>
      <c r="AB4" s="4600" t="s">
        <v>1677</v>
      </c>
      <c r="AC4" s="4611" t="s">
        <v>1678</v>
      </c>
    </row>
    <row r="5" spans="1:29" ht="15">
      <c r="A5" s="238"/>
      <c r="B5" s="239"/>
      <c r="C5" s="4605" t="s">
        <v>1578</v>
      </c>
      <c r="D5" s="4606"/>
      <c r="E5" s="4603" t="s">
        <v>1579</v>
      </c>
      <c r="F5" s="4604"/>
      <c r="G5" s="4605" t="s">
        <v>1580</v>
      </c>
      <c r="H5" s="4606"/>
      <c r="I5" s="4605" t="s">
        <v>1581</v>
      </c>
      <c r="J5" s="4606"/>
      <c r="K5" s="393"/>
      <c r="L5" s="1974"/>
      <c r="M5" s="1975"/>
      <c r="N5" s="1975"/>
      <c r="O5" s="1975"/>
      <c r="P5" s="4619"/>
      <c r="Q5" s="4560"/>
      <c r="R5" s="4540"/>
      <c r="S5" s="4541"/>
      <c r="T5" s="4540"/>
      <c r="U5" s="4541"/>
      <c r="V5" s="4565"/>
      <c r="W5" s="4565"/>
      <c r="X5" s="909"/>
      <c r="Y5" s="4570"/>
      <c r="Z5" s="4571"/>
      <c r="AA5" s="4534"/>
      <c r="AB5" s="4534"/>
      <c r="AC5" s="4612"/>
    </row>
    <row r="6" spans="1:29" ht="15.75" thickBot="1">
      <c r="A6" s="240"/>
      <c r="B6" s="241"/>
      <c r="C6" s="4607" t="s">
        <v>1582</v>
      </c>
      <c r="D6" s="4608"/>
      <c r="E6" s="4609" t="s">
        <v>1582</v>
      </c>
      <c r="F6" s="4610"/>
      <c r="G6" s="4607" t="s">
        <v>1582</v>
      </c>
      <c r="H6" s="4608"/>
      <c r="I6" s="4607" t="s">
        <v>1582</v>
      </c>
      <c r="J6" s="4608"/>
      <c r="K6" s="393" t="s">
        <v>1583</v>
      </c>
      <c r="L6" s="1974"/>
      <c r="M6" s="1975"/>
      <c r="N6" s="1975"/>
      <c r="O6" s="1975"/>
      <c r="P6" s="4620"/>
      <c r="Q6" s="4562"/>
      <c r="R6" s="4540"/>
      <c r="S6" s="4541"/>
      <c r="T6" s="4563"/>
      <c r="U6" s="4564"/>
      <c r="V6" s="4565"/>
      <c r="W6" s="4565"/>
      <c r="X6" s="909"/>
      <c r="Y6" s="4572"/>
      <c r="Z6" s="4573"/>
      <c r="AA6" s="4535"/>
      <c r="AB6" s="4535"/>
      <c r="AC6" s="4613"/>
    </row>
    <row r="7" spans="1:29" s="46" customFormat="1" ht="15.75" thickBot="1">
      <c r="A7" s="242" t="s">
        <v>1584</v>
      </c>
      <c r="B7" s="243"/>
      <c r="C7" s="244">
        <f>'数据-取费表'!B2</f>
        <v>46105</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22" t="s">
        <v>1585</v>
      </c>
      <c r="Q7" s="4574"/>
      <c r="R7" s="3633" t="s">
        <v>13</v>
      </c>
      <c r="S7" s="3156">
        <f t="shared" ref="S7:S15" si="0">F7</f>
        <v>0</v>
      </c>
      <c r="T7" s="3633" t="s">
        <v>13</v>
      </c>
      <c r="U7" s="3156">
        <f t="shared" ref="U7:U15" si="1">H7</f>
        <v>0</v>
      </c>
      <c r="V7" s="3633" t="s">
        <v>13</v>
      </c>
      <c r="W7" s="3156">
        <f t="shared" ref="W7:W15" si="2">J7</f>
        <v>0</v>
      </c>
      <c r="X7" s="482"/>
      <c r="Y7" s="4536" t="s">
        <v>1585</v>
      </c>
      <c r="Z7" s="4537"/>
      <c r="AA7" s="28" t="e">
        <f>D7/F7</f>
        <v>#DIV/0!</v>
      </c>
      <c r="AB7" s="28" t="e">
        <f>D7/H7</f>
        <v>#DIV/0!</v>
      </c>
      <c r="AC7" s="545" t="e">
        <f>D7/J7</f>
        <v>#DIV/0!</v>
      </c>
    </row>
    <row r="8" spans="1:29" s="46" customFormat="1" ht="15.75" thickBot="1">
      <c r="A8" s="242" t="s">
        <v>1586</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22" t="s">
        <v>1588</v>
      </c>
      <c r="Q8" s="4567"/>
      <c r="R8" s="3633" t="s">
        <v>13</v>
      </c>
      <c r="S8" s="3156">
        <f t="shared" si="0"/>
        <v>100</v>
      </c>
      <c r="T8" s="3633" t="s">
        <v>13</v>
      </c>
      <c r="U8" s="3156">
        <f t="shared" si="1"/>
        <v>100</v>
      </c>
      <c r="V8" s="3633" t="s">
        <v>13</v>
      </c>
      <c r="W8" s="3156">
        <f t="shared" si="2"/>
        <v>100</v>
      </c>
      <c r="X8" s="482"/>
      <c r="Y8" s="4536" t="s">
        <v>1588</v>
      </c>
      <c r="Z8" s="4537"/>
      <c r="AA8" s="28">
        <f t="shared" ref="AA8:AA47" si="3">D8/F8</f>
        <v>1</v>
      </c>
      <c r="AB8" s="28">
        <f t="shared" ref="AB8:AB47" si="4">D8/H8</f>
        <v>1</v>
      </c>
      <c r="AC8" s="545">
        <f t="shared" ref="AC8:AC47" si="5">D8/J8</f>
        <v>1</v>
      </c>
    </row>
    <row r="9" spans="1:29" s="46" customFormat="1">
      <c r="A9" s="247" t="s">
        <v>1589</v>
      </c>
      <c r="B9" s="34" t="s">
        <v>1590</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93" t="s">
        <v>1591</v>
      </c>
      <c r="Q9" s="1698" t="str">
        <f t="shared" ref="Q9:Q15" si="6">B9</f>
        <v>用途</v>
      </c>
      <c r="R9" s="3633" t="s">
        <v>13</v>
      </c>
      <c r="S9" s="3156">
        <f t="shared" si="0"/>
        <v>100</v>
      </c>
      <c r="T9" s="3633" t="s">
        <v>13</v>
      </c>
      <c r="U9" s="3156">
        <f t="shared" si="1"/>
        <v>100</v>
      </c>
      <c r="V9" s="3633" t="s">
        <v>13</v>
      </c>
      <c r="W9" s="3156">
        <f t="shared" si="2"/>
        <v>100</v>
      </c>
      <c r="X9" s="482"/>
      <c r="Y9" s="4552" t="s">
        <v>1592</v>
      </c>
      <c r="Z9" s="28" t="str">
        <f t="shared" ref="Z9:Z15" si="7">Q9</f>
        <v>用途</v>
      </c>
      <c r="AA9" s="28">
        <f t="shared" si="3"/>
        <v>1</v>
      </c>
      <c r="AB9" s="28">
        <f t="shared" si="4"/>
        <v>1</v>
      </c>
      <c r="AC9" s="545">
        <f t="shared" si="5"/>
        <v>1</v>
      </c>
    </row>
    <row r="10" spans="1:29" s="253" customFormat="1" ht="27">
      <c r="A10" s="251"/>
      <c r="B10" s="252" t="s">
        <v>1593</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93"/>
      <c r="Q10" s="1698" t="str">
        <f t="shared" si="6"/>
        <v>土地使用年限（年）</v>
      </c>
      <c r="R10" s="3633" t="s">
        <v>13</v>
      </c>
      <c r="S10" s="3156">
        <f t="shared" si="0"/>
        <v>100</v>
      </c>
      <c r="T10" s="3633" t="s">
        <v>13</v>
      </c>
      <c r="U10" s="3156">
        <f t="shared" si="1"/>
        <v>100</v>
      </c>
      <c r="V10" s="3633" t="s">
        <v>13</v>
      </c>
      <c r="W10" s="3156">
        <f t="shared" si="2"/>
        <v>100</v>
      </c>
      <c r="X10" s="482"/>
      <c r="Y10" s="4552"/>
      <c r="Z10" s="28" t="str">
        <f t="shared" si="7"/>
        <v>土地使用年限（年）</v>
      </c>
      <c r="AA10" s="28">
        <f t="shared" si="3"/>
        <v>1</v>
      </c>
      <c r="AB10" s="28">
        <f t="shared" si="4"/>
        <v>1</v>
      </c>
      <c r="AC10" s="545">
        <f t="shared" si="5"/>
        <v>1</v>
      </c>
    </row>
    <row r="11" spans="1:29" ht="15">
      <c r="A11" s="254"/>
      <c r="B11" s="252" t="s">
        <v>1594</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93"/>
      <c r="Q11" s="1698" t="str">
        <f t="shared" si="6"/>
        <v>容积率</v>
      </c>
      <c r="R11" s="3633" t="s">
        <v>13</v>
      </c>
      <c r="S11" s="3156">
        <f t="shared" si="0"/>
        <v>100</v>
      </c>
      <c r="T11" s="3633" t="s">
        <v>13</v>
      </c>
      <c r="U11" s="3156">
        <f t="shared" si="1"/>
        <v>100</v>
      </c>
      <c r="V11" s="3633" t="s">
        <v>13</v>
      </c>
      <c r="W11" s="3156">
        <f t="shared" si="2"/>
        <v>100</v>
      </c>
      <c r="X11" s="482"/>
      <c r="Y11" s="4552"/>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93"/>
      <c r="Q12" s="1698">
        <f t="shared" si="6"/>
        <v>111</v>
      </c>
      <c r="R12" s="3633" t="s">
        <v>13</v>
      </c>
      <c r="S12" s="3156">
        <f t="shared" si="0"/>
        <v>100</v>
      </c>
      <c r="T12" s="3633" t="s">
        <v>13</v>
      </c>
      <c r="U12" s="3156">
        <f t="shared" si="1"/>
        <v>100</v>
      </c>
      <c r="V12" s="3633" t="s">
        <v>13</v>
      </c>
      <c r="W12" s="3156">
        <f t="shared" si="2"/>
        <v>100</v>
      </c>
      <c r="X12" s="482"/>
      <c r="Y12" s="4552"/>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93"/>
      <c r="Q13" s="1698">
        <f t="shared" si="6"/>
        <v>111</v>
      </c>
      <c r="R13" s="3633" t="s">
        <v>13</v>
      </c>
      <c r="S13" s="3156">
        <f t="shared" si="0"/>
        <v>100</v>
      </c>
      <c r="T13" s="3633" t="s">
        <v>13</v>
      </c>
      <c r="U13" s="3156">
        <f t="shared" si="1"/>
        <v>100</v>
      </c>
      <c r="V13" s="3633" t="s">
        <v>13</v>
      </c>
      <c r="W13" s="3156">
        <f t="shared" si="2"/>
        <v>100</v>
      </c>
      <c r="X13" s="482"/>
      <c r="Y13" s="4552"/>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93"/>
      <c r="Q14" s="1698">
        <f t="shared" si="6"/>
        <v>111</v>
      </c>
      <c r="R14" s="3633" t="s">
        <v>13</v>
      </c>
      <c r="S14" s="3156">
        <f t="shared" si="0"/>
        <v>100</v>
      </c>
      <c r="T14" s="3633" t="s">
        <v>13</v>
      </c>
      <c r="U14" s="3156">
        <f t="shared" si="1"/>
        <v>100</v>
      </c>
      <c r="V14" s="3633" t="s">
        <v>13</v>
      </c>
      <c r="W14" s="3156">
        <f t="shared" si="2"/>
        <v>100</v>
      </c>
      <c r="X14" s="482"/>
      <c r="Y14" s="4552"/>
      <c r="Z14" s="28">
        <f t="shared" si="7"/>
        <v>111</v>
      </c>
      <c r="AA14" s="28">
        <f t="shared" si="3"/>
        <v>1</v>
      </c>
      <c r="AB14" s="28">
        <f t="shared" si="4"/>
        <v>1</v>
      </c>
      <c r="AC14" s="545">
        <f t="shared" si="5"/>
        <v>1</v>
      </c>
    </row>
    <row r="15" spans="1:29" ht="15">
      <c r="A15" s="262" t="s">
        <v>1595</v>
      </c>
      <c r="B15" s="403" t="s">
        <v>1716</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94" t="s">
        <v>1596</v>
      </c>
      <c r="Q15" s="1507" t="str">
        <f t="shared" si="6"/>
        <v>办公集聚程度</v>
      </c>
      <c r="R15" s="3735" t="s">
        <v>13</v>
      </c>
      <c r="S15" s="3157">
        <f t="shared" si="0"/>
        <v>100</v>
      </c>
      <c r="T15" s="3735" t="s">
        <v>13</v>
      </c>
      <c r="U15" s="3157">
        <f t="shared" si="1"/>
        <v>100</v>
      </c>
      <c r="V15" s="3735" t="s">
        <v>13</v>
      </c>
      <c r="W15" s="3157">
        <f t="shared" si="2"/>
        <v>100</v>
      </c>
      <c r="X15" s="909"/>
      <c r="Y15" s="4577" t="s">
        <v>1596</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95"/>
      <c r="Q16" s="1507"/>
      <c r="R16" s="3735"/>
      <c r="S16" s="3157"/>
      <c r="T16" s="3735"/>
      <c r="U16" s="3157"/>
      <c r="V16" s="3735"/>
      <c r="W16" s="3157"/>
      <c r="X16" s="909"/>
      <c r="Y16" s="4578"/>
      <c r="Z16" s="907"/>
      <c r="AA16" s="907">
        <v>1</v>
      </c>
      <c r="AB16" s="907">
        <v>1</v>
      </c>
      <c r="AC16" s="1416">
        <v>1</v>
      </c>
    </row>
    <row r="17" spans="1:29" ht="15">
      <c r="A17" s="254"/>
      <c r="B17" s="405" t="s">
        <v>1235</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95"/>
      <c r="Q17" s="1507" t="str">
        <f>B17</f>
        <v>交通便捷度</v>
      </c>
      <c r="R17" s="3735" t="s">
        <v>13</v>
      </c>
      <c r="S17" s="3157">
        <f>F17</f>
        <v>100</v>
      </c>
      <c r="T17" s="3735" t="s">
        <v>13</v>
      </c>
      <c r="U17" s="3157">
        <f>H17</f>
        <v>100</v>
      </c>
      <c r="V17" s="3735" t="s">
        <v>13</v>
      </c>
      <c r="W17" s="3157">
        <f>J17</f>
        <v>100</v>
      </c>
      <c r="X17" s="909"/>
      <c r="Y17" s="4578"/>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95"/>
      <c r="Q18" s="1507"/>
      <c r="R18" s="3735"/>
      <c r="S18" s="3157"/>
      <c r="T18" s="3735"/>
      <c r="U18" s="3157"/>
      <c r="V18" s="3735"/>
      <c r="W18" s="3157"/>
      <c r="X18" s="909"/>
      <c r="Y18" s="4578"/>
      <c r="Z18" s="907"/>
      <c r="AA18" s="907">
        <v>1</v>
      </c>
      <c r="AB18" s="907">
        <v>1</v>
      </c>
      <c r="AC18" s="1416">
        <v>1</v>
      </c>
    </row>
    <row r="19" spans="1:29" ht="15">
      <c r="A19" s="254"/>
      <c r="B19" s="405" t="s">
        <v>1717</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95"/>
      <c r="Q19" s="1507" t="str">
        <f>B19</f>
        <v>公共配套设施</v>
      </c>
      <c r="R19" s="3735" t="s">
        <v>13</v>
      </c>
      <c r="S19" s="3157">
        <f>F19</f>
        <v>100</v>
      </c>
      <c r="T19" s="3735" t="s">
        <v>13</v>
      </c>
      <c r="U19" s="3157">
        <f>H19</f>
        <v>100</v>
      </c>
      <c r="V19" s="3735" t="s">
        <v>13</v>
      </c>
      <c r="W19" s="3157">
        <f>J19</f>
        <v>100</v>
      </c>
      <c r="X19" s="909"/>
      <c r="Y19" s="4578"/>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95"/>
      <c r="Q20" s="1507"/>
      <c r="R20" s="3735"/>
      <c r="S20" s="3157"/>
      <c r="T20" s="3735"/>
      <c r="U20" s="3157"/>
      <c r="V20" s="3735"/>
      <c r="W20" s="3157"/>
      <c r="X20" s="909"/>
      <c r="Y20" s="4578"/>
      <c r="Z20" s="907"/>
      <c r="AA20" s="907">
        <v>1</v>
      </c>
      <c r="AB20" s="907">
        <v>1</v>
      </c>
      <c r="AC20" s="1416">
        <v>1</v>
      </c>
    </row>
    <row r="21" spans="1:29" ht="15">
      <c r="A21" s="254"/>
      <c r="B21" s="407" t="s">
        <v>1718</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95"/>
      <c r="Q21" s="1507" t="str">
        <f>B21</f>
        <v>基础设施水平</v>
      </c>
      <c r="R21" s="3735" t="s">
        <v>13</v>
      </c>
      <c r="S21" s="3157">
        <f>F21</f>
        <v>100</v>
      </c>
      <c r="T21" s="3735" t="s">
        <v>13</v>
      </c>
      <c r="U21" s="3157">
        <f>H21</f>
        <v>100</v>
      </c>
      <c r="V21" s="3735" t="s">
        <v>13</v>
      </c>
      <c r="W21" s="3157">
        <f>J21</f>
        <v>100</v>
      </c>
      <c r="X21" s="909"/>
      <c r="Y21" s="4578"/>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95"/>
      <c r="Q22" s="1507"/>
      <c r="R22" s="3735"/>
      <c r="S22" s="3157"/>
      <c r="T22" s="3735"/>
      <c r="U22" s="3157"/>
      <c r="V22" s="3735"/>
      <c r="W22" s="3157"/>
      <c r="X22" s="909"/>
      <c r="Y22" s="4578"/>
      <c r="Z22" s="907"/>
      <c r="AA22" s="907">
        <v>1</v>
      </c>
      <c r="AB22" s="907">
        <v>1</v>
      </c>
      <c r="AC22" s="1416">
        <v>1</v>
      </c>
    </row>
    <row r="23" spans="1:29" ht="15">
      <c r="A23" s="254"/>
      <c r="B23" s="405" t="s">
        <v>1719</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95"/>
      <c r="Q23" s="1507" t="str">
        <f>B23</f>
        <v>环境质量</v>
      </c>
      <c r="R23" s="3735" t="s">
        <v>13</v>
      </c>
      <c r="S23" s="3157">
        <f>F23</f>
        <v>100</v>
      </c>
      <c r="T23" s="3735" t="s">
        <v>13</v>
      </c>
      <c r="U23" s="3157">
        <f>H23</f>
        <v>100</v>
      </c>
      <c r="V23" s="3735" t="s">
        <v>13</v>
      </c>
      <c r="W23" s="3157">
        <f>J23</f>
        <v>100</v>
      </c>
      <c r="X23" s="909"/>
      <c r="Y23" s="4578"/>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95"/>
      <c r="Q24" s="1507"/>
      <c r="R24" s="3735"/>
      <c r="S24" s="3157"/>
      <c r="T24" s="3735"/>
      <c r="U24" s="3157"/>
      <c r="V24" s="3735"/>
      <c r="W24" s="3157"/>
      <c r="X24" s="909"/>
      <c r="Y24" s="4578"/>
      <c r="Z24" s="907"/>
      <c r="AA24" s="907">
        <v>1</v>
      </c>
      <c r="AB24" s="907">
        <v>1</v>
      </c>
      <c r="AC24" s="1416">
        <v>1</v>
      </c>
    </row>
    <row r="25" spans="1:29" ht="27">
      <c r="A25" s="238"/>
      <c r="B25" s="405" t="s">
        <v>1720</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95"/>
      <c r="Q25" s="1507" t="str">
        <f>B25</f>
        <v>毗邻道路的类型与等级</v>
      </c>
      <c r="R25" s="3735" t="s">
        <v>13</v>
      </c>
      <c r="S25" s="3157">
        <f>F25</f>
        <v>100</v>
      </c>
      <c r="T25" s="3735" t="s">
        <v>13</v>
      </c>
      <c r="U25" s="3157">
        <f>H25</f>
        <v>100</v>
      </c>
      <c r="V25" s="3735" t="s">
        <v>13</v>
      </c>
      <c r="W25" s="3157">
        <f>J25</f>
        <v>100</v>
      </c>
      <c r="X25" s="909"/>
      <c r="Y25" s="4578"/>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95"/>
      <c r="Q26" s="1507"/>
      <c r="R26" s="3735"/>
      <c r="S26" s="3157"/>
      <c r="T26" s="3735"/>
      <c r="U26" s="3157"/>
      <c r="V26" s="3735"/>
      <c r="W26" s="3157"/>
      <c r="X26" s="909"/>
      <c r="Y26" s="4578"/>
      <c r="Z26" s="907"/>
      <c r="AA26" s="907">
        <v>1</v>
      </c>
      <c r="AB26" s="907">
        <v>1</v>
      </c>
      <c r="AC26" s="1416">
        <v>1</v>
      </c>
    </row>
    <row r="27" spans="1:29" ht="15">
      <c r="A27" s="254"/>
      <c r="B27" s="406" t="s">
        <v>1688</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95"/>
      <c r="Q27" s="1507" t="str">
        <f t="shared" ref="Q27:Q47" si="11">B27</f>
        <v>楼层</v>
      </c>
      <c r="R27" s="3735" t="s">
        <v>13</v>
      </c>
      <c r="S27" s="3157">
        <f>F27</f>
        <v>100</v>
      </c>
      <c r="T27" s="3735" t="s">
        <v>13</v>
      </c>
      <c r="U27" s="3157">
        <f>H27</f>
        <v>100</v>
      </c>
      <c r="V27" s="3735" t="s">
        <v>13</v>
      </c>
      <c r="W27" s="3157">
        <f>J27</f>
        <v>100</v>
      </c>
      <c r="X27" s="909"/>
      <c r="Y27" s="4578"/>
      <c r="Z27" s="907" t="str">
        <f>Q27</f>
        <v>楼层</v>
      </c>
      <c r="AA27" s="907">
        <f t="shared" si="3"/>
        <v>1</v>
      </c>
      <c r="AB27" s="907">
        <f t="shared" si="4"/>
        <v>1</v>
      </c>
      <c r="AC27" s="1416">
        <f t="shared" si="5"/>
        <v>1</v>
      </c>
    </row>
    <row r="28" spans="1:29" s="46" customFormat="1" ht="15">
      <c r="A28" s="257"/>
      <c r="B28" s="405" t="s">
        <v>1721</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95"/>
      <c r="Q28" s="1698" t="str">
        <f t="shared" si="11"/>
        <v>朝向</v>
      </c>
      <c r="R28" s="3633" t="s">
        <v>13</v>
      </c>
      <c r="S28" s="3156">
        <f>F28</f>
        <v>100</v>
      </c>
      <c r="T28" s="3633" t="s">
        <v>13</v>
      </c>
      <c r="U28" s="3156">
        <f>H28</f>
        <v>100</v>
      </c>
      <c r="V28" s="3633" t="s">
        <v>13</v>
      </c>
      <c r="W28" s="3156">
        <f>J28</f>
        <v>100</v>
      </c>
      <c r="X28" s="482"/>
      <c r="Y28" s="4578"/>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95"/>
      <c r="Q29" s="1507">
        <f t="shared" si="11"/>
        <v>111</v>
      </c>
      <c r="R29" s="3735" t="s">
        <v>13</v>
      </c>
      <c r="S29" s="3157">
        <f t="shared" ref="S29:S47" si="12">F29</f>
        <v>100</v>
      </c>
      <c r="T29" s="3735" t="s">
        <v>13</v>
      </c>
      <c r="U29" s="3157">
        <f t="shared" ref="U29:U47" si="13">H29</f>
        <v>100</v>
      </c>
      <c r="V29" s="3735" t="s">
        <v>13</v>
      </c>
      <c r="W29" s="3157">
        <f t="shared" ref="W29:W47" si="14">J29</f>
        <v>100</v>
      </c>
      <c r="X29" s="909"/>
      <c r="Y29" s="4578"/>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95"/>
      <c r="Q30" s="1507">
        <f t="shared" si="11"/>
        <v>111</v>
      </c>
      <c r="R30" s="3735" t="s">
        <v>13</v>
      </c>
      <c r="S30" s="3157">
        <f t="shared" si="12"/>
        <v>100</v>
      </c>
      <c r="T30" s="3735" t="s">
        <v>13</v>
      </c>
      <c r="U30" s="3157">
        <f t="shared" si="13"/>
        <v>100</v>
      </c>
      <c r="V30" s="3735" t="s">
        <v>13</v>
      </c>
      <c r="W30" s="3157">
        <f t="shared" si="14"/>
        <v>100</v>
      </c>
      <c r="X30" s="909"/>
      <c r="Y30" s="4578"/>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95"/>
      <c r="Q31" s="1507">
        <f t="shared" si="11"/>
        <v>111</v>
      </c>
      <c r="R31" s="3735" t="s">
        <v>13</v>
      </c>
      <c r="S31" s="3157">
        <f t="shared" si="12"/>
        <v>100</v>
      </c>
      <c r="T31" s="3735" t="s">
        <v>13</v>
      </c>
      <c r="U31" s="3157">
        <f t="shared" si="13"/>
        <v>100</v>
      </c>
      <c r="V31" s="3735" t="s">
        <v>13</v>
      </c>
      <c r="W31" s="3157">
        <f t="shared" si="14"/>
        <v>100</v>
      </c>
      <c r="X31" s="909"/>
      <c r="Y31" s="4578"/>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95"/>
      <c r="Q32" s="1507">
        <f t="shared" si="11"/>
        <v>111</v>
      </c>
      <c r="R32" s="3735" t="s">
        <v>13</v>
      </c>
      <c r="S32" s="3157">
        <f t="shared" si="12"/>
        <v>100</v>
      </c>
      <c r="T32" s="3735" t="s">
        <v>13</v>
      </c>
      <c r="U32" s="3157">
        <f t="shared" si="13"/>
        <v>100</v>
      </c>
      <c r="V32" s="3735" t="s">
        <v>13</v>
      </c>
      <c r="W32" s="3157">
        <f t="shared" si="14"/>
        <v>100</v>
      </c>
      <c r="X32" s="909"/>
      <c r="Y32" s="4578"/>
      <c r="Z32" s="907">
        <f t="shared" si="15"/>
        <v>111</v>
      </c>
      <c r="AA32" s="907">
        <f t="shared" si="3"/>
        <v>1</v>
      </c>
      <c r="AB32" s="907">
        <f t="shared" si="4"/>
        <v>1</v>
      </c>
      <c r="AC32" s="1416">
        <f t="shared" si="5"/>
        <v>1</v>
      </c>
    </row>
    <row r="33" spans="1:29" ht="15">
      <c r="A33" s="262" t="s">
        <v>1599</v>
      </c>
      <c r="B33" s="34" t="s">
        <v>1722</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96" t="s">
        <v>1601</v>
      </c>
      <c r="Q33" s="1507" t="str">
        <f t="shared" si="11"/>
        <v>建筑类型</v>
      </c>
      <c r="R33" s="3735" t="s">
        <v>13</v>
      </c>
      <c r="S33" s="3157">
        <f t="shared" si="12"/>
        <v>100</v>
      </c>
      <c r="T33" s="3735" t="s">
        <v>13</v>
      </c>
      <c r="U33" s="3157">
        <f t="shared" si="13"/>
        <v>100</v>
      </c>
      <c r="V33" s="3735" t="s">
        <v>13</v>
      </c>
      <c r="W33" s="3157">
        <f t="shared" si="14"/>
        <v>100</v>
      </c>
      <c r="X33" s="909"/>
      <c r="Y33" s="4581" t="s">
        <v>1601</v>
      </c>
      <c r="Z33" s="907" t="str">
        <f t="shared" si="15"/>
        <v>建筑类型</v>
      </c>
      <c r="AA33" s="907">
        <f t="shared" si="3"/>
        <v>1</v>
      </c>
      <c r="AB33" s="907">
        <f t="shared" si="4"/>
        <v>1</v>
      </c>
      <c r="AC33" s="1416">
        <f t="shared" si="5"/>
        <v>1</v>
      </c>
    </row>
    <row r="34" spans="1:29" s="279" customFormat="1" ht="15">
      <c r="A34" s="277"/>
      <c r="B34" s="252" t="s">
        <v>1602</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97"/>
      <c r="Q34" s="2864" t="str">
        <f t="shared" si="11"/>
        <v>项目建筑规模</v>
      </c>
      <c r="R34" s="3736" t="s">
        <v>13</v>
      </c>
      <c r="S34" s="3158" t="e">
        <f t="shared" si="12"/>
        <v>#N/A</v>
      </c>
      <c r="T34" s="3736" t="s">
        <v>13</v>
      </c>
      <c r="U34" s="3158" t="e">
        <f t="shared" si="13"/>
        <v>#N/A</v>
      </c>
      <c r="V34" s="3736" t="s">
        <v>13</v>
      </c>
      <c r="W34" s="3158" t="e">
        <f t="shared" si="14"/>
        <v>#N/A</v>
      </c>
      <c r="X34" s="484"/>
      <c r="Y34" s="4581"/>
      <c r="Z34" s="485" t="str">
        <f t="shared" si="15"/>
        <v>项目建筑规模</v>
      </c>
      <c r="AA34" s="907" t="e">
        <f t="shared" si="3"/>
        <v>#N/A</v>
      </c>
      <c r="AB34" s="907" t="e">
        <f t="shared" si="4"/>
        <v>#N/A</v>
      </c>
      <c r="AC34" s="1416" t="e">
        <f t="shared" si="5"/>
        <v>#N/A</v>
      </c>
    </row>
    <row r="35" spans="1:29" ht="15">
      <c r="A35" s="280"/>
      <c r="B35" s="252" t="s">
        <v>1603</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97"/>
      <c r="Q35" s="1507" t="str">
        <f t="shared" si="11"/>
        <v>建筑结构</v>
      </c>
      <c r="R35" s="3735" t="s">
        <v>13</v>
      </c>
      <c r="S35" s="3157">
        <f t="shared" si="12"/>
        <v>100</v>
      </c>
      <c r="T35" s="3735" t="s">
        <v>13</v>
      </c>
      <c r="U35" s="3157">
        <f t="shared" si="13"/>
        <v>100</v>
      </c>
      <c r="V35" s="3735" t="s">
        <v>13</v>
      </c>
      <c r="W35" s="3157">
        <f t="shared" si="14"/>
        <v>100</v>
      </c>
      <c r="X35" s="909"/>
      <c r="Y35" s="4581"/>
      <c r="Z35" s="907" t="str">
        <f t="shared" si="15"/>
        <v>建筑结构</v>
      </c>
      <c r="AA35" s="907">
        <f t="shared" si="3"/>
        <v>1</v>
      </c>
      <c r="AB35" s="907">
        <f t="shared" si="4"/>
        <v>1</v>
      </c>
      <c r="AC35" s="1416">
        <f t="shared" si="5"/>
        <v>1</v>
      </c>
    </row>
    <row r="36" spans="1:29" ht="15">
      <c r="A36" s="280"/>
      <c r="B36" s="252" t="s">
        <v>1690</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97"/>
      <c r="Q36" s="1507" t="str">
        <f t="shared" si="11"/>
        <v>公共部分装修</v>
      </c>
      <c r="R36" s="3735" t="s">
        <v>13</v>
      </c>
      <c r="S36" s="3157">
        <f t="shared" si="12"/>
        <v>100</v>
      </c>
      <c r="T36" s="3735" t="s">
        <v>13</v>
      </c>
      <c r="U36" s="3157">
        <f t="shared" si="13"/>
        <v>100</v>
      </c>
      <c r="V36" s="3735" t="s">
        <v>13</v>
      </c>
      <c r="W36" s="3157">
        <f t="shared" si="14"/>
        <v>100</v>
      </c>
      <c r="X36" s="909"/>
      <c r="Y36" s="4581"/>
      <c r="Z36" s="907" t="str">
        <f t="shared" si="15"/>
        <v>公共部分装修</v>
      </c>
      <c r="AA36" s="907">
        <f t="shared" si="3"/>
        <v>1</v>
      </c>
      <c r="AB36" s="907">
        <f t="shared" si="4"/>
        <v>1</v>
      </c>
      <c r="AC36" s="1416">
        <f t="shared" si="5"/>
        <v>1</v>
      </c>
    </row>
    <row r="37" spans="1:29" ht="15">
      <c r="A37" s="280"/>
      <c r="B37" s="252" t="s">
        <v>1691</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97"/>
      <c r="Q37" s="1507" t="str">
        <f t="shared" si="11"/>
        <v>成新度</v>
      </c>
      <c r="R37" s="3735" t="s">
        <v>13</v>
      </c>
      <c r="S37" s="3157" t="e">
        <f t="shared" si="12"/>
        <v>#N/A</v>
      </c>
      <c r="T37" s="3735" t="s">
        <v>13</v>
      </c>
      <c r="U37" s="3157" t="e">
        <f t="shared" si="13"/>
        <v>#N/A</v>
      </c>
      <c r="V37" s="3735" t="s">
        <v>13</v>
      </c>
      <c r="W37" s="3157" t="e">
        <f t="shared" si="14"/>
        <v>#N/A</v>
      </c>
      <c r="X37" s="909"/>
      <c r="Y37" s="4581"/>
      <c r="Z37" s="907" t="str">
        <f t="shared" si="15"/>
        <v>成新度</v>
      </c>
      <c r="AA37" s="907" t="e">
        <f t="shared" si="3"/>
        <v>#N/A</v>
      </c>
      <c r="AB37" s="907" t="e">
        <f t="shared" si="4"/>
        <v>#N/A</v>
      </c>
      <c r="AC37" s="1416" t="e">
        <f t="shared" si="5"/>
        <v>#N/A</v>
      </c>
    </row>
    <row r="38" spans="1:29" s="46" customFormat="1" ht="15">
      <c r="A38" s="281"/>
      <c r="B38" s="252" t="s">
        <v>1723</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97"/>
      <c r="Q38" s="1698" t="str">
        <f t="shared" si="11"/>
        <v>写字楼等级</v>
      </c>
      <c r="R38" s="3633" t="s">
        <v>13</v>
      </c>
      <c r="S38" s="3156">
        <f t="shared" si="12"/>
        <v>100</v>
      </c>
      <c r="T38" s="3633" t="s">
        <v>13</v>
      </c>
      <c r="U38" s="3156">
        <f t="shared" si="13"/>
        <v>100</v>
      </c>
      <c r="V38" s="3633" t="s">
        <v>13</v>
      </c>
      <c r="W38" s="3156">
        <f t="shared" si="14"/>
        <v>100</v>
      </c>
      <c r="X38" s="482"/>
      <c r="Y38" s="4581"/>
      <c r="Z38" s="28" t="str">
        <f t="shared" si="15"/>
        <v>写字楼等级</v>
      </c>
      <c r="AA38" s="28">
        <f t="shared" si="3"/>
        <v>1</v>
      </c>
      <c r="AB38" s="28">
        <f t="shared" si="4"/>
        <v>1</v>
      </c>
      <c r="AC38" s="545">
        <f t="shared" si="5"/>
        <v>1</v>
      </c>
    </row>
    <row r="39" spans="1:29" ht="15">
      <c r="A39" s="280"/>
      <c r="B39" s="252" t="s">
        <v>1724</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97" t="s">
        <v>1601</v>
      </c>
      <c r="Q39" s="1507" t="str">
        <f t="shared" si="11"/>
        <v>物业管理</v>
      </c>
      <c r="R39" s="3735" t="s">
        <v>13</v>
      </c>
      <c r="S39" s="3157">
        <f t="shared" si="12"/>
        <v>100</v>
      </c>
      <c r="T39" s="3735" t="s">
        <v>13</v>
      </c>
      <c r="U39" s="3157">
        <f t="shared" si="13"/>
        <v>100</v>
      </c>
      <c r="V39" s="3735" t="s">
        <v>13</v>
      </c>
      <c r="W39" s="3157">
        <f t="shared" si="14"/>
        <v>100</v>
      </c>
      <c r="X39" s="909"/>
      <c r="Y39" s="4581" t="s">
        <v>1601</v>
      </c>
      <c r="Z39" s="907" t="str">
        <f t="shared" si="15"/>
        <v>物业管理</v>
      </c>
      <c r="AA39" s="907">
        <f t="shared" si="3"/>
        <v>1</v>
      </c>
      <c r="AB39" s="907">
        <f t="shared" si="4"/>
        <v>1</v>
      </c>
      <c r="AC39" s="1416">
        <f t="shared" si="5"/>
        <v>1</v>
      </c>
    </row>
    <row r="40" spans="1:29" ht="15">
      <c r="A40" s="280"/>
      <c r="B40" s="252" t="s">
        <v>1692</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97"/>
      <c r="Q40" s="1507" t="str">
        <f t="shared" si="11"/>
        <v>市政基础设施</v>
      </c>
      <c r="R40" s="3735" t="s">
        <v>13</v>
      </c>
      <c r="S40" s="3157">
        <f t="shared" si="12"/>
        <v>100</v>
      </c>
      <c r="T40" s="3735" t="s">
        <v>13</v>
      </c>
      <c r="U40" s="3157">
        <f t="shared" si="13"/>
        <v>100</v>
      </c>
      <c r="V40" s="3735" t="s">
        <v>13</v>
      </c>
      <c r="W40" s="3157">
        <f t="shared" si="14"/>
        <v>100</v>
      </c>
      <c r="X40" s="909"/>
      <c r="Y40" s="4581"/>
      <c r="Z40" s="907" t="str">
        <f t="shared" si="15"/>
        <v>市政基础设施</v>
      </c>
      <c r="AA40" s="907">
        <f t="shared" si="3"/>
        <v>1</v>
      </c>
      <c r="AB40" s="907">
        <f t="shared" si="4"/>
        <v>1</v>
      </c>
      <c r="AC40" s="1416">
        <f t="shared" si="5"/>
        <v>1</v>
      </c>
    </row>
    <row r="41" spans="1:29" ht="15">
      <c r="A41" s="280"/>
      <c r="B41" s="252" t="s">
        <v>1694</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97"/>
      <c r="Q41" s="1507" t="str">
        <f t="shared" si="11"/>
        <v>层高</v>
      </c>
      <c r="R41" s="3735" t="s">
        <v>13</v>
      </c>
      <c r="S41" s="3157">
        <f t="shared" si="12"/>
        <v>100</v>
      </c>
      <c r="T41" s="3735" t="s">
        <v>13</v>
      </c>
      <c r="U41" s="3157">
        <f t="shared" si="13"/>
        <v>100</v>
      </c>
      <c r="V41" s="3735" t="s">
        <v>13</v>
      </c>
      <c r="W41" s="3157">
        <f t="shared" si="14"/>
        <v>100</v>
      </c>
      <c r="X41" s="909"/>
      <c r="Y41" s="4581"/>
      <c r="Z41" s="907" t="str">
        <f t="shared" si="15"/>
        <v>层高</v>
      </c>
      <c r="AA41" s="907">
        <f t="shared" si="3"/>
        <v>1</v>
      </c>
      <c r="AB41" s="907">
        <f t="shared" si="4"/>
        <v>1</v>
      </c>
      <c r="AC41" s="1416">
        <f t="shared" si="5"/>
        <v>1</v>
      </c>
    </row>
    <row r="42" spans="1:29" s="279" customFormat="1" ht="15">
      <c r="A42" s="277"/>
      <c r="B42" s="908" t="s">
        <v>1725</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97"/>
      <c r="Q42" s="2864" t="str">
        <f t="shared" si="11"/>
        <v>单套建筑面积</v>
      </c>
      <c r="R42" s="3736" t="s">
        <v>13</v>
      </c>
      <c r="S42" s="3158">
        <f t="shared" si="12"/>
        <v>100</v>
      </c>
      <c r="T42" s="3736" t="s">
        <v>13</v>
      </c>
      <c r="U42" s="3158">
        <f t="shared" si="13"/>
        <v>100</v>
      </c>
      <c r="V42" s="3736" t="s">
        <v>13</v>
      </c>
      <c r="W42" s="3158">
        <f t="shared" si="14"/>
        <v>100</v>
      </c>
      <c r="X42" s="484"/>
      <c r="Y42" s="4581"/>
      <c r="Z42" s="485" t="str">
        <f t="shared" si="15"/>
        <v>单套建筑面积</v>
      </c>
      <c r="AA42" s="907">
        <f t="shared" si="3"/>
        <v>1</v>
      </c>
      <c r="AB42" s="907">
        <f t="shared" si="4"/>
        <v>1</v>
      </c>
      <c r="AC42" s="1416">
        <f t="shared" si="5"/>
        <v>1</v>
      </c>
    </row>
    <row r="43" spans="1:29" ht="15">
      <c r="A43" s="280"/>
      <c r="B43" s="252" t="s">
        <v>1697</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97"/>
      <c r="Q43" s="1507" t="str">
        <f t="shared" si="11"/>
        <v>内部装修</v>
      </c>
      <c r="R43" s="3735" t="s">
        <v>13</v>
      </c>
      <c r="S43" s="3157">
        <f t="shared" si="12"/>
        <v>100</v>
      </c>
      <c r="T43" s="3735" t="s">
        <v>13</v>
      </c>
      <c r="U43" s="3157">
        <f t="shared" si="13"/>
        <v>100</v>
      </c>
      <c r="V43" s="3735" t="s">
        <v>13</v>
      </c>
      <c r="W43" s="3157">
        <f t="shared" si="14"/>
        <v>100</v>
      </c>
      <c r="X43" s="909"/>
      <c r="Y43" s="4581"/>
      <c r="Z43" s="907" t="str">
        <f t="shared" si="15"/>
        <v>内部装修</v>
      </c>
      <c r="AA43" s="907">
        <f t="shared" si="3"/>
        <v>1</v>
      </c>
      <c r="AB43" s="907">
        <f t="shared" si="4"/>
        <v>1</v>
      </c>
      <c r="AC43" s="1416">
        <f t="shared" si="5"/>
        <v>1</v>
      </c>
    </row>
    <row r="44" spans="1:29" ht="15">
      <c r="A44" s="280"/>
      <c r="B44" s="252" t="s">
        <v>1612</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97"/>
      <c r="Q44" s="1507" t="str">
        <f t="shared" si="11"/>
        <v>内部装修维护情况</v>
      </c>
      <c r="R44" s="3735" t="s">
        <v>13</v>
      </c>
      <c r="S44" s="3157">
        <f t="shared" si="12"/>
        <v>100</v>
      </c>
      <c r="T44" s="3735" t="s">
        <v>13</v>
      </c>
      <c r="U44" s="3157">
        <f t="shared" si="13"/>
        <v>100</v>
      </c>
      <c r="V44" s="3735" t="s">
        <v>13</v>
      </c>
      <c r="W44" s="3157">
        <f t="shared" si="14"/>
        <v>100</v>
      </c>
      <c r="X44" s="909"/>
      <c r="Y44" s="4581"/>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97"/>
      <c r="Q45" s="1698">
        <f t="shared" si="11"/>
        <v>111</v>
      </c>
      <c r="R45" s="3633" t="s">
        <v>13</v>
      </c>
      <c r="S45" s="3156">
        <f t="shared" si="12"/>
        <v>100</v>
      </c>
      <c r="T45" s="3633" t="s">
        <v>13</v>
      </c>
      <c r="U45" s="3156">
        <f t="shared" si="13"/>
        <v>100</v>
      </c>
      <c r="V45" s="3633" t="s">
        <v>13</v>
      </c>
      <c r="W45" s="3156">
        <f t="shared" si="14"/>
        <v>100</v>
      </c>
      <c r="X45" s="482"/>
      <c r="Y45" s="4581"/>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97"/>
      <c r="Q46" s="1507">
        <f t="shared" si="11"/>
        <v>111</v>
      </c>
      <c r="R46" s="3735" t="s">
        <v>13</v>
      </c>
      <c r="S46" s="3157">
        <f t="shared" si="12"/>
        <v>100</v>
      </c>
      <c r="T46" s="3735" t="s">
        <v>13</v>
      </c>
      <c r="U46" s="3157">
        <f t="shared" si="13"/>
        <v>100</v>
      </c>
      <c r="V46" s="3735" t="s">
        <v>13</v>
      </c>
      <c r="W46" s="3157">
        <f t="shared" si="14"/>
        <v>100</v>
      </c>
      <c r="X46" s="909"/>
      <c r="Y46" s="4581"/>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98"/>
      <c r="Q47" s="1507">
        <f t="shared" si="11"/>
        <v>111</v>
      </c>
      <c r="R47" s="3735" t="s">
        <v>13</v>
      </c>
      <c r="S47" s="3157">
        <f t="shared" si="12"/>
        <v>100</v>
      </c>
      <c r="T47" s="3735" t="s">
        <v>13</v>
      </c>
      <c r="U47" s="3157">
        <f t="shared" si="13"/>
        <v>100</v>
      </c>
      <c r="V47" s="3735" t="s">
        <v>13</v>
      </c>
      <c r="W47" s="3157">
        <f t="shared" si="14"/>
        <v>100</v>
      </c>
      <c r="X47" s="909"/>
      <c r="Y47" s="4599"/>
      <c r="Z47" s="907">
        <f t="shared" si="15"/>
        <v>111</v>
      </c>
      <c r="AA47" s="907">
        <f t="shared" si="3"/>
        <v>1</v>
      </c>
      <c r="AB47" s="907">
        <f t="shared" si="4"/>
        <v>1</v>
      </c>
      <c r="AC47" s="1416">
        <f t="shared" si="5"/>
        <v>1</v>
      </c>
    </row>
    <row r="48" spans="1:29" ht="15">
      <c r="A48" s="286" t="s">
        <v>1613</v>
      </c>
      <c r="B48" s="287"/>
      <c r="C48" s="765" t="s">
        <v>0</v>
      </c>
      <c r="D48" s="288"/>
      <c r="E48" s="3205"/>
      <c r="F48" s="3153"/>
      <c r="G48" s="3206"/>
      <c r="H48" s="3154"/>
      <c r="I48" s="3205"/>
      <c r="J48" s="3154"/>
      <c r="K48" s="2862"/>
      <c r="L48" s="1982"/>
      <c r="M48" s="1975"/>
      <c r="N48" s="1975"/>
      <c r="O48" s="1975"/>
      <c r="P48" s="4593" t="str">
        <f>A48</f>
        <v>成交单价（元/平方米）</v>
      </c>
      <c r="Q48" s="4551"/>
      <c r="R48" s="4582">
        <f>E48</f>
        <v>0</v>
      </c>
      <c r="S48" s="4582"/>
      <c r="T48" s="4582">
        <f>G48</f>
        <v>0</v>
      </c>
      <c r="U48" s="4582"/>
      <c r="V48" s="4582">
        <f>I48</f>
        <v>0</v>
      </c>
      <c r="W48" s="4582"/>
      <c r="X48" s="265"/>
      <c r="Y48" s="486"/>
      <c r="Z48" s="265"/>
      <c r="AA48" s="265"/>
      <c r="AB48" s="265"/>
      <c r="AC48" s="404"/>
    </row>
    <row r="49" spans="1:29" ht="15.75" thickBot="1">
      <c r="A49" s="289" t="s">
        <v>1698</v>
      </c>
      <c r="B49" s="290"/>
      <c r="C49" s="3733" t="e">
        <f>R50</f>
        <v>#DIV/0!</v>
      </c>
      <c r="D49" s="3846" t="s">
        <v>2040</v>
      </c>
      <c r="E49" s="3744" t="e">
        <f>R49</f>
        <v>#DIV/0!</v>
      </c>
      <c r="F49" s="2801"/>
      <c r="G49" s="3733" t="e">
        <f>T49</f>
        <v>#DIV/0!</v>
      </c>
      <c r="H49" s="2801"/>
      <c r="I49" s="3744" t="e">
        <f>V49</f>
        <v>#DIV/0!</v>
      </c>
      <c r="J49" s="2801"/>
      <c r="K49" s="2855">
        <f>F49+H49+J49</f>
        <v>0</v>
      </c>
      <c r="L49" s="1982"/>
      <c r="M49" s="1975"/>
      <c r="N49" s="1975"/>
      <c r="O49" s="1975"/>
      <c r="P49" s="4593" t="str">
        <f>A49</f>
        <v>比较价值（元/平方米）</v>
      </c>
      <c r="Q49" s="4551"/>
      <c r="R49" s="4582" t="e">
        <f>IF(F1="售价",ROUND(PRODUCT(R48,AA7:AA47),0),ROUND(PRODUCT(R48,AA7:AA47),1))</f>
        <v>#DIV/0!</v>
      </c>
      <c r="S49" s="4582"/>
      <c r="T49" s="4582" t="e">
        <f>IF(F1="售价",ROUND(PRODUCT(T48,AB7:AB47),0),ROUND(PRODUCT(T48,AB7:AB47),1))</f>
        <v>#DIV/0!</v>
      </c>
      <c r="U49" s="4582"/>
      <c r="V49" s="4582" t="e">
        <f>IF(F1="售价",ROUND(PRODUCT(V48,AC7:AC47),0),ROUND(PRODUCT(V48,AC7:AC47),1))</f>
        <v>#DIV/0!</v>
      </c>
      <c r="W49" s="4582"/>
      <c r="X49" s="265"/>
      <c r="Y49" s="265"/>
      <c r="Z49" s="265"/>
      <c r="AA49" s="265"/>
      <c r="AB49" s="265"/>
      <c r="AC49" s="404"/>
    </row>
    <row r="50" spans="1:29" ht="15.75" thickBot="1">
      <c r="A50" s="291" t="s">
        <v>1699</v>
      </c>
      <c r="B50" s="292"/>
      <c r="C50" s="3745" t="e">
        <f>R50</f>
        <v>#DIV/0!</v>
      </c>
      <c r="D50" s="241"/>
      <c r="E50" s="241"/>
      <c r="F50" s="241"/>
      <c r="G50" s="241"/>
      <c r="H50" s="241"/>
      <c r="I50" s="241"/>
      <c r="J50" s="293"/>
      <c r="K50" s="487"/>
      <c r="L50" s="1982"/>
      <c r="M50" s="1975"/>
      <c r="N50" s="1975"/>
      <c r="O50" s="1975"/>
      <c r="P50" s="4625" t="str">
        <f>A50</f>
        <v>估价对象XX用房的比较价值（楼面单价，元/平方米）</v>
      </c>
      <c r="Q50" s="4626"/>
      <c r="R50" s="4627" t="e">
        <f>IF(F1="售价",ROUND(IF(D49="简单平均",AVERAGE(R49:V49),R49*F49+T49*H49+V49*J49),0),ROUND(IF(D49="简单平均",AVERAGE(R49:V49),R49*F49+T49*H49+V49*J49),1))</f>
        <v>#DIV/0!</v>
      </c>
      <c r="S50" s="4627"/>
      <c r="T50" s="4627"/>
      <c r="U50" s="4627"/>
      <c r="V50" s="4627"/>
      <c r="W50" s="4627"/>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1703</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1584</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1621</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1586</v>
      </c>
      <c r="B62" s="307"/>
      <c r="C62" s="319" t="s">
        <v>1681</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1624</v>
      </c>
      <c r="B64" s="322" t="s">
        <v>1590</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1593</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3864</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1594</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1595</v>
      </c>
      <c r="B77" s="322" t="s">
        <v>1726</v>
      </c>
      <c r="C77" s="364" t="s">
        <v>1626</v>
      </c>
      <c r="D77" s="364" t="s">
        <v>1627</v>
      </c>
      <c r="E77" s="364" t="s">
        <v>1628</v>
      </c>
      <c r="F77" s="364" t="s">
        <v>1629</v>
      </c>
      <c r="G77" s="364" t="s">
        <v>1630</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1631</v>
      </c>
      <c r="C79" s="368" t="s">
        <v>1626</v>
      </c>
      <c r="D79" s="368" t="s">
        <v>1627</v>
      </c>
      <c r="E79" s="368" t="s">
        <v>1628</v>
      </c>
      <c r="F79" s="368" t="s">
        <v>1629</v>
      </c>
      <c r="G79" s="368" t="s">
        <v>1630</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1632</v>
      </c>
      <c r="C81" s="368" t="s">
        <v>1626</v>
      </c>
      <c r="D81" s="368" t="s">
        <v>1627</v>
      </c>
      <c r="E81" s="368" t="s">
        <v>1628</v>
      </c>
      <c r="F81" s="368" t="s">
        <v>1629</v>
      </c>
      <c r="G81" s="368" t="s">
        <v>1630</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1718</v>
      </c>
      <c r="C83" s="428" t="s">
        <v>1704</v>
      </c>
      <c r="D83" s="428" t="s">
        <v>1705</v>
      </c>
      <c r="E83" s="428" t="s">
        <v>1706</v>
      </c>
      <c r="F83" s="428" t="s">
        <v>1707</v>
      </c>
      <c r="G83" s="428" t="s">
        <v>1708</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1727</v>
      </c>
      <c r="C85" s="368" t="s">
        <v>1626</v>
      </c>
      <c r="D85" s="368" t="s">
        <v>1627</v>
      </c>
      <c r="E85" s="368" t="s">
        <v>1628</v>
      </c>
      <c r="F85" s="368" t="s">
        <v>1629</v>
      </c>
      <c r="G85" s="368" t="s">
        <v>1630</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1728</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1599</v>
      </c>
      <c r="B101" s="322" t="s">
        <v>1641</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1642</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1643</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1645</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1171</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1729</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1646</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1647</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1730</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1713</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1649</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1650</v>
      </c>
      <c r="C125" s="368" t="s">
        <v>1626</v>
      </c>
      <c r="D125" s="368" t="s">
        <v>1627</v>
      </c>
      <c r="E125" s="368" t="s">
        <v>1628</v>
      </c>
      <c r="F125" s="368" t="s">
        <v>1629</v>
      </c>
      <c r="G125" s="368" t="s">
        <v>1630</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1731</v>
      </c>
      <c r="C1" s="812" t="s">
        <v>1567</v>
      </c>
      <c r="D1" s="813"/>
      <c r="E1" s="2475"/>
      <c r="F1" s="1353"/>
      <c r="G1" s="823" t="s">
        <v>1672</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1429</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1431</v>
      </c>
      <c r="B3" s="2880">
        <f>IF(E2="——",C43,ROUND(B2*10000/D3,0))</f>
        <v>0</v>
      </c>
      <c r="C3" s="234" t="s">
        <v>1673</v>
      </c>
      <c r="D3" s="2880">
        <f>IF(D1="",'数据-汇总表'!E3,SUMIF('数据-汇总表'!$C19:$C33,D1,'数据-汇总表'!$E19:$E33))</f>
        <v>153829</v>
      </c>
      <c r="E3" s="3847" t="s">
        <v>3465</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1674</v>
      </c>
      <c r="B4" s="236"/>
      <c r="C4" s="4586" t="s">
        <v>1675</v>
      </c>
      <c r="D4" s="4614"/>
      <c r="E4" s="4615" t="s">
        <v>1676</v>
      </c>
      <c r="F4" s="4616"/>
      <c r="G4" s="4586" t="s">
        <v>1677</v>
      </c>
      <c r="H4" s="4614"/>
      <c r="I4" s="4586" t="s">
        <v>1678</v>
      </c>
      <c r="J4" s="4614"/>
      <c r="K4" s="393" t="s">
        <v>1679</v>
      </c>
      <c r="L4" s="592"/>
      <c r="M4" s="593"/>
      <c r="N4" s="593"/>
      <c r="O4" s="593"/>
      <c r="P4" s="4557" t="s">
        <v>1680</v>
      </c>
      <c r="Q4" s="4558"/>
      <c r="R4" s="4538" t="s">
        <v>1676</v>
      </c>
      <c r="S4" s="4539"/>
      <c r="T4" s="4538" t="s">
        <v>1677</v>
      </c>
      <c r="U4" s="4539"/>
      <c r="V4" s="4565" t="s">
        <v>1678</v>
      </c>
      <c r="W4" s="4565"/>
      <c r="X4" s="909"/>
      <c r="Y4" s="4568" t="s">
        <v>1680</v>
      </c>
      <c r="Z4" s="4569"/>
      <c r="AA4" s="4533" t="s">
        <v>1676</v>
      </c>
      <c r="AB4" s="4534" t="s">
        <v>1677</v>
      </c>
      <c r="AC4" s="4533" t="s">
        <v>1678</v>
      </c>
    </row>
    <row r="5" spans="1:29" ht="15">
      <c r="A5" s="238"/>
      <c r="B5" s="239"/>
      <c r="C5" s="4605" t="s">
        <v>1578</v>
      </c>
      <c r="D5" s="4606"/>
      <c r="E5" s="4603" t="s">
        <v>1579</v>
      </c>
      <c r="F5" s="4604"/>
      <c r="G5" s="4605" t="s">
        <v>1580</v>
      </c>
      <c r="H5" s="4606"/>
      <c r="I5" s="4605" t="s">
        <v>1581</v>
      </c>
      <c r="J5" s="4606"/>
      <c r="K5" s="393"/>
      <c r="L5" s="592"/>
      <c r="M5" s="593"/>
      <c r="N5" s="593"/>
      <c r="O5" s="593"/>
      <c r="P5" s="4559"/>
      <c r="Q5" s="4560"/>
      <c r="R5" s="4540"/>
      <c r="S5" s="4541"/>
      <c r="T5" s="4540"/>
      <c r="U5" s="4541"/>
      <c r="V5" s="4565"/>
      <c r="W5" s="4565"/>
      <c r="X5" s="909"/>
      <c r="Y5" s="4570"/>
      <c r="Z5" s="4571"/>
      <c r="AA5" s="4534"/>
      <c r="AB5" s="4534"/>
      <c r="AC5" s="4534"/>
    </row>
    <row r="6" spans="1:29" ht="15.75" thickBot="1">
      <c r="A6" s="240"/>
      <c r="B6" s="241"/>
      <c r="C6" s="4607" t="s">
        <v>1582</v>
      </c>
      <c r="D6" s="4608"/>
      <c r="E6" s="4609" t="s">
        <v>1582</v>
      </c>
      <c r="F6" s="4610"/>
      <c r="G6" s="4607" t="s">
        <v>1582</v>
      </c>
      <c r="H6" s="4608"/>
      <c r="I6" s="4607" t="s">
        <v>1582</v>
      </c>
      <c r="J6" s="4608"/>
      <c r="K6" s="393" t="s">
        <v>1583</v>
      </c>
      <c r="L6" s="592"/>
      <c r="M6" s="593"/>
      <c r="N6" s="593"/>
      <c r="O6" s="593"/>
      <c r="P6" s="4561"/>
      <c r="Q6" s="4562"/>
      <c r="R6" s="4540"/>
      <c r="S6" s="4541"/>
      <c r="T6" s="4563"/>
      <c r="U6" s="4564"/>
      <c r="V6" s="4565"/>
      <c r="W6" s="4565"/>
      <c r="X6" s="909"/>
      <c r="Y6" s="4572"/>
      <c r="Z6" s="4573"/>
      <c r="AA6" s="4535"/>
      <c r="AB6" s="4535"/>
      <c r="AC6" s="4535"/>
    </row>
    <row r="7" spans="1:29" s="46" customFormat="1" ht="15.75" thickBot="1">
      <c r="A7" s="242" t="s">
        <v>1584</v>
      </c>
      <c r="B7" s="243"/>
      <c r="C7" s="244">
        <f>'数据-取费表'!B2</f>
        <v>46105</v>
      </c>
      <c r="D7" s="2898">
        <v>100</v>
      </c>
      <c r="E7" s="245"/>
      <c r="F7" s="3747">
        <f>SUMIF(52:52,YEAR(E7)&amp;"-"&amp;MONTH(E7),53:53)</f>
        <v>0</v>
      </c>
      <c r="G7" s="245"/>
      <c r="H7" s="3753">
        <f>SUMIF(52:52,YEAR(G7)&amp;"-"&amp;MONTH(G7),53:53)</f>
        <v>0</v>
      </c>
      <c r="I7" s="245"/>
      <c r="J7" s="3753">
        <f>SUMIF(52:52,YEAR(I7)&amp;"-"&amp;MONTH(I7),53:53)</f>
        <v>0</v>
      </c>
      <c r="K7" s="22"/>
      <c r="L7" s="594"/>
      <c r="M7" s="595"/>
      <c r="N7" s="595"/>
      <c r="O7" s="595"/>
      <c r="P7" s="4566" t="s">
        <v>1585</v>
      </c>
      <c r="Q7" s="4574"/>
      <c r="R7" s="3759" t="s">
        <v>13</v>
      </c>
      <c r="S7" s="3542">
        <f t="shared" ref="S7:S15" si="0">F7</f>
        <v>0</v>
      </c>
      <c r="T7" s="3759" t="s">
        <v>13</v>
      </c>
      <c r="U7" s="3542">
        <f t="shared" ref="U7:U15" si="1">H7</f>
        <v>0</v>
      </c>
      <c r="V7" s="3759" t="s">
        <v>13</v>
      </c>
      <c r="W7" s="3542">
        <f t="shared" ref="W7:W15" si="2">J7</f>
        <v>0</v>
      </c>
      <c r="X7" s="482"/>
      <c r="Y7" s="4536" t="s">
        <v>1585</v>
      </c>
      <c r="Z7" s="4537"/>
      <c r="AA7" s="28" t="e">
        <f>D7/F7</f>
        <v>#DIV/0!</v>
      </c>
      <c r="AB7" s="28" t="e">
        <f>D7/H7</f>
        <v>#DIV/0!</v>
      </c>
      <c r="AC7" s="28" t="e">
        <f>D7/J7</f>
        <v>#DIV/0!</v>
      </c>
    </row>
    <row r="8" spans="1:29" s="46" customFormat="1" ht="15.75" thickBot="1">
      <c r="A8" s="242" t="s">
        <v>1586</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66" t="s">
        <v>1588</v>
      </c>
      <c r="Q8" s="4567"/>
      <c r="R8" s="3759" t="s">
        <v>13</v>
      </c>
      <c r="S8" s="3542">
        <f t="shared" si="0"/>
        <v>100</v>
      </c>
      <c r="T8" s="3759" t="s">
        <v>13</v>
      </c>
      <c r="U8" s="3542">
        <f t="shared" si="1"/>
        <v>100</v>
      </c>
      <c r="V8" s="3759" t="s">
        <v>13</v>
      </c>
      <c r="W8" s="3542">
        <f t="shared" si="2"/>
        <v>100</v>
      </c>
      <c r="X8" s="482"/>
      <c r="Y8" s="4536" t="s">
        <v>1588</v>
      </c>
      <c r="Z8" s="4537"/>
      <c r="AA8" s="28">
        <f t="shared" ref="AA8:AA40" si="3">D8/F8</f>
        <v>1</v>
      </c>
      <c r="AB8" s="28">
        <f t="shared" ref="AB8:AB40" si="4">D8/H8</f>
        <v>1</v>
      </c>
      <c r="AC8" s="28">
        <f t="shared" ref="AC8:AC40" si="5">D8/J8</f>
        <v>1</v>
      </c>
    </row>
    <row r="9" spans="1:29" s="46" customFormat="1">
      <c r="A9" s="247" t="s">
        <v>1589</v>
      </c>
      <c r="B9" s="34" t="s">
        <v>1590</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51" t="s">
        <v>1591</v>
      </c>
      <c r="Q9" s="1698" t="str">
        <f t="shared" ref="Q9:Q15" si="6">B9</f>
        <v>用途</v>
      </c>
      <c r="R9" s="3759" t="s">
        <v>13</v>
      </c>
      <c r="S9" s="3542">
        <f t="shared" si="0"/>
        <v>100</v>
      </c>
      <c r="T9" s="3759" t="s">
        <v>13</v>
      </c>
      <c r="U9" s="3542">
        <f t="shared" si="1"/>
        <v>100</v>
      </c>
      <c r="V9" s="3759" t="s">
        <v>13</v>
      </c>
      <c r="W9" s="3542">
        <f t="shared" si="2"/>
        <v>100</v>
      </c>
      <c r="X9" s="482"/>
      <c r="Y9" s="4552" t="s">
        <v>1592</v>
      </c>
      <c r="Z9" s="28" t="str">
        <f t="shared" ref="Z9:Z15" si="7">Q9</f>
        <v>用途</v>
      </c>
      <c r="AA9" s="28">
        <f t="shared" si="3"/>
        <v>1</v>
      </c>
      <c r="AB9" s="28">
        <f t="shared" si="4"/>
        <v>1</v>
      </c>
      <c r="AC9" s="28">
        <f t="shared" si="5"/>
        <v>1</v>
      </c>
    </row>
    <row r="10" spans="1:29" s="253" customFormat="1" ht="27">
      <c r="A10" s="251"/>
      <c r="B10" s="252" t="s">
        <v>1593</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51"/>
      <c r="Q10" s="1698" t="str">
        <f t="shared" si="6"/>
        <v>土地使用年限（年）</v>
      </c>
      <c r="R10" s="3759" t="s">
        <v>13</v>
      </c>
      <c r="S10" s="3542">
        <f t="shared" si="0"/>
        <v>100</v>
      </c>
      <c r="T10" s="3759" t="s">
        <v>13</v>
      </c>
      <c r="U10" s="3542">
        <f t="shared" si="1"/>
        <v>100</v>
      </c>
      <c r="V10" s="3759" t="s">
        <v>13</v>
      </c>
      <c r="W10" s="3542">
        <f t="shared" si="2"/>
        <v>100</v>
      </c>
      <c r="X10" s="482"/>
      <c r="Y10" s="4552"/>
      <c r="Z10" s="28" t="str">
        <f t="shared" si="7"/>
        <v>土地使用年限（年）</v>
      </c>
      <c r="AA10" s="28">
        <f t="shared" si="3"/>
        <v>1</v>
      </c>
      <c r="AB10" s="28">
        <f t="shared" si="4"/>
        <v>1</v>
      </c>
      <c r="AC10" s="28">
        <f t="shared" si="5"/>
        <v>1</v>
      </c>
    </row>
    <row r="11" spans="1:29" ht="15">
      <c r="A11" s="254"/>
      <c r="B11" s="252" t="s">
        <v>1594</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51"/>
      <c r="Q11" s="1698" t="str">
        <f t="shared" si="6"/>
        <v>容积率</v>
      </c>
      <c r="R11" s="3759" t="s">
        <v>13</v>
      </c>
      <c r="S11" s="3542">
        <f t="shared" si="0"/>
        <v>100</v>
      </c>
      <c r="T11" s="3759" t="s">
        <v>13</v>
      </c>
      <c r="U11" s="3542">
        <f t="shared" si="1"/>
        <v>100</v>
      </c>
      <c r="V11" s="3759" t="s">
        <v>13</v>
      </c>
      <c r="W11" s="3542">
        <f t="shared" si="2"/>
        <v>100</v>
      </c>
      <c r="X11" s="482"/>
      <c r="Y11" s="4552"/>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51"/>
      <c r="Q12" s="1698">
        <f t="shared" si="6"/>
        <v>111</v>
      </c>
      <c r="R12" s="3759" t="s">
        <v>13</v>
      </c>
      <c r="S12" s="3542">
        <f t="shared" si="0"/>
        <v>100</v>
      </c>
      <c r="T12" s="3759" t="s">
        <v>13</v>
      </c>
      <c r="U12" s="3542">
        <f t="shared" si="1"/>
        <v>100</v>
      </c>
      <c r="V12" s="3759" t="s">
        <v>13</v>
      </c>
      <c r="W12" s="3542">
        <f t="shared" si="2"/>
        <v>100</v>
      </c>
      <c r="X12" s="482"/>
      <c r="Y12" s="4552"/>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51"/>
      <c r="Q13" s="1698">
        <f t="shared" si="6"/>
        <v>111</v>
      </c>
      <c r="R13" s="3759" t="s">
        <v>13</v>
      </c>
      <c r="S13" s="3542">
        <f t="shared" si="0"/>
        <v>100</v>
      </c>
      <c r="T13" s="3759" t="s">
        <v>13</v>
      </c>
      <c r="U13" s="3542">
        <f t="shared" si="1"/>
        <v>100</v>
      </c>
      <c r="V13" s="3759" t="s">
        <v>13</v>
      </c>
      <c r="W13" s="3542">
        <f t="shared" si="2"/>
        <v>100</v>
      </c>
      <c r="X13" s="482"/>
      <c r="Y13" s="4552"/>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51"/>
      <c r="Q14" s="1698">
        <f t="shared" si="6"/>
        <v>111</v>
      </c>
      <c r="R14" s="3759" t="s">
        <v>13</v>
      </c>
      <c r="S14" s="3542">
        <f t="shared" si="0"/>
        <v>100</v>
      </c>
      <c r="T14" s="3759" t="s">
        <v>13</v>
      </c>
      <c r="U14" s="3542">
        <f t="shared" si="1"/>
        <v>100</v>
      </c>
      <c r="V14" s="3759" t="s">
        <v>13</v>
      </c>
      <c r="W14" s="3542">
        <f t="shared" si="2"/>
        <v>100</v>
      </c>
      <c r="X14" s="482"/>
      <c r="Y14" s="4552"/>
      <c r="Z14" s="28">
        <f t="shared" si="7"/>
        <v>111</v>
      </c>
      <c r="AA14" s="28">
        <f t="shared" si="3"/>
        <v>1</v>
      </c>
      <c r="AB14" s="28">
        <f t="shared" si="4"/>
        <v>1</v>
      </c>
      <c r="AC14" s="28">
        <f t="shared" si="5"/>
        <v>1</v>
      </c>
    </row>
    <row r="15" spans="1:29" ht="15">
      <c r="A15" s="262" t="s">
        <v>1595</v>
      </c>
      <c r="B15" s="32" t="s">
        <v>1732</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575" t="s">
        <v>1596</v>
      </c>
      <c r="Q15" s="1507" t="str">
        <f t="shared" si="6"/>
        <v>产业集聚程度</v>
      </c>
      <c r="R15" s="3760" t="s">
        <v>13</v>
      </c>
      <c r="S15" s="3762">
        <f t="shared" si="0"/>
        <v>100</v>
      </c>
      <c r="T15" s="3760" t="s">
        <v>13</v>
      </c>
      <c r="U15" s="3762">
        <f t="shared" si="1"/>
        <v>100</v>
      </c>
      <c r="V15" s="3760" t="s">
        <v>13</v>
      </c>
      <c r="W15" s="3762">
        <f t="shared" si="2"/>
        <v>100</v>
      </c>
      <c r="X15" s="909"/>
      <c r="Y15" s="4577" t="s">
        <v>1596</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576"/>
      <c r="Q16" s="1507"/>
      <c r="R16" s="3760"/>
      <c r="S16" s="3762"/>
      <c r="T16" s="3760"/>
      <c r="U16" s="3762"/>
      <c r="V16" s="3760"/>
      <c r="W16" s="3762"/>
      <c r="X16" s="909"/>
      <c r="Y16" s="4578"/>
      <c r="Z16" s="907"/>
      <c r="AA16" s="907">
        <v>1</v>
      </c>
      <c r="AB16" s="907">
        <v>1</v>
      </c>
      <c r="AC16" s="907">
        <v>1</v>
      </c>
    </row>
    <row r="17" spans="1:29" ht="15">
      <c r="A17" s="254"/>
      <c r="B17" s="269" t="s">
        <v>1235</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576"/>
      <c r="Q17" s="1507" t="str">
        <f>B17</f>
        <v>交通便捷度</v>
      </c>
      <c r="R17" s="3760" t="s">
        <v>13</v>
      </c>
      <c r="S17" s="3762">
        <f>F17</f>
        <v>100</v>
      </c>
      <c r="T17" s="3760" t="s">
        <v>13</v>
      </c>
      <c r="U17" s="3762">
        <f>H17</f>
        <v>100</v>
      </c>
      <c r="V17" s="3760" t="s">
        <v>13</v>
      </c>
      <c r="W17" s="3762">
        <f>J17</f>
        <v>100</v>
      </c>
      <c r="X17" s="909"/>
      <c r="Y17" s="4578"/>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576"/>
      <c r="Q18" s="1507"/>
      <c r="R18" s="3760"/>
      <c r="S18" s="3762"/>
      <c r="T18" s="3760"/>
      <c r="U18" s="3762"/>
      <c r="V18" s="3760"/>
      <c r="W18" s="3762"/>
      <c r="X18" s="909"/>
      <c r="Y18" s="4578"/>
      <c r="Z18" s="907"/>
      <c r="AA18" s="907">
        <v>1</v>
      </c>
      <c r="AB18" s="907">
        <v>1</v>
      </c>
      <c r="AC18" s="907">
        <v>1</v>
      </c>
    </row>
    <row r="19" spans="1:29" ht="15">
      <c r="A19" s="254"/>
      <c r="B19" s="269" t="s">
        <v>1717</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576"/>
      <c r="Q19" s="1507" t="str">
        <f>B19</f>
        <v>公共配套设施</v>
      </c>
      <c r="R19" s="3760" t="s">
        <v>13</v>
      </c>
      <c r="S19" s="3762">
        <f>F19</f>
        <v>100</v>
      </c>
      <c r="T19" s="3760" t="s">
        <v>13</v>
      </c>
      <c r="U19" s="3762">
        <f>H19</f>
        <v>100</v>
      </c>
      <c r="V19" s="3760" t="s">
        <v>13</v>
      </c>
      <c r="W19" s="3762">
        <f>J19</f>
        <v>100</v>
      </c>
      <c r="X19" s="909"/>
      <c r="Y19" s="4578"/>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576"/>
      <c r="Q20" s="1507"/>
      <c r="R20" s="3760"/>
      <c r="S20" s="3762"/>
      <c r="T20" s="3760"/>
      <c r="U20" s="3762"/>
      <c r="V20" s="3760"/>
      <c r="W20" s="3762"/>
      <c r="X20" s="909"/>
      <c r="Y20" s="4578"/>
      <c r="Z20" s="907"/>
      <c r="AA20" s="907">
        <v>1</v>
      </c>
      <c r="AB20" s="907">
        <v>1</v>
      </c>
      <c r="AC20" s="907">
        <v>1</v>
      </c>
    </row>
    <row r="21" spans="1:29" ht="15">
      <c r="A21" s="254"/>
      <c r="B21" s="759" t="s">
        <v>1718</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576"/>
      <c r="Q21" s="1507" t="str">
        <f>B21</f>
        <v>基础设施水平</v>
      </c>
      <c r="R21" s="3760" t="s">
        <v>13</v>
      </c>
      <c r="S21" s="3762">
        <f>F21</f>
        <v>100</v>
      </c>
      <c r="T21" s="3760" t="s">
        <v>13</v>
      </c>
      <c r="U21" s="3762">
        <f>H21</f>
        <v>100</v>
      </c>
      <c r="V21" s="3760" t="s">
        <v>13</v>
      </c>
      <c r="W21" s="3762">
        <f>J21</f>
        <v>100</v>
      </c>
      <c r="X21" s="909"/>
      <c r="Y21" s="4578"/>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576"/>
      <c r="Q22" s="1507"/>
      <c r="R22" s="3760"/>
      <c r="S22" s="3762"/>
      <c r="T22" s="3760"/>
      <c r="U22" s="3762"/>
      <c r="V22" s="3760"/>
      <c r="W22" s="3762"/>
      <c r="X22" s="909"/>
      <c r="Y22" s="4578"/>
      <c r="Z22" s="907"/>
      <c r="AA22" s="907">
        <v>1</v>
      </c>
      <c r="AB22" s="907">
        <v>1</v>
      </c>
      <c r="AC22" s="907">
        <v>1</v>
      </c>
    </row>
    <row r="23" spans="1:29" ht="15">
      <c r="A23" s="254"/>
      <c r="B23" s="269" t="s">
        <v>1719</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576"/>
      <c r="Q23" s="1507" t="str">
        <f>B23</f>
        <v>环境质量</v>
      </c>
      <c r="R23" s="3760" t="s">
        <v>13</v>
      </c>
      <c r="S23" s="3762">
        <f>F23</f>
        <v>100</v>
      </c>
      <c r="T23" s="3760" t="s">
        <v>13</v>
      </c>
      <c r="U23" s="3762">
        <f>H23</f>
        <v>100</v>
      </c>
      <c r="V23" s="3760" t="s">
        <v>13</v>
      </c>
      <c r="W23" s="3762">
        <f>J23</f>
        <v>100</v>
      </c>
      <c r="X23" s="909"/>
      <c r="Y23" s="4578"/>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576"/>
      <c r="Q24" s="1507"/>
      <c r="R24" s="3760"/>
      <c r="S24" s="3762"/>
      <c r="T24" s="3760"/>
      <c r="U24" s="3762"/>
      <c r="V24" s="3760"/>
      <c r="W24" s="3762"/>
      <c r="X24" s="909"/>
      <c r="Y24" s="4578"/>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576"/>
      <c r="Q25" s="1507">
        <f>B25</f>
        <v>111</v>
      </c>
      <c r="R25" s="3760" t="s">
        <v>13</v>
      </c>
      <c r="S25" s="3762">
        <f>F25</f>
        <v>100</v>
      </c>
      <c r="T25" s="3760" t="s">
        <v>13</v>
      </c>
      <c r="U25" s="3762">
        <f>H25</f>
        <v>100</v>
      </c>
      <c r="V25" s="3760" t="s">
        <v>13</v>
      </c>
      <c r="W25" s="3762">
        <f>J25</f>
        <v>100</v>
      </c>
      <c r="X25" s="909"/>
      <c r="Y25" s="4578"/>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576"/>
      <c r="Q26" s="1507">
        <f t="shared" ref="Q26:Q40" si="11">B26</f>
        <v>111</v>
      </c>
      <c r="R26" s="3760" t="s">
        <v>13</v>
      </c>
      <c r="S26" s="3762">
        <f>F26</f>
        <v>100</v>
      </c>
      <c r="T26" s="3760" t="s">
        <v>13</v>
      </c>
      <c r="U26" s="3762">
        <f>H26</f>
        <v>100</v>
      </c>
      <c r="V26" s="3760" t="s">
        <v>13</v>
      </c>
      <c r="W26" s="3762">
        <f>J26</f>
        <v>100</v>
      </c>
      <c r="X26" s="909"/>
      <c r="Y26" s="4578"/>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6"/>
      <c r="Q27" s="1698">
        <f t="shared" si="11"/>
        <v>111</v>
      </c>
      <c r="R27" s="3759" t="s">
        <v>13</v>
      </c>
      <c r="S27" s="3542">
        <f>F27</f>
        <v>100</v>
      </c>
      <c r="T27" s="3759" t="s">
        <v>13</v>
      </c>
      <c r="U27" s="3542">
        <f>H27</f>
        <v>100</v>
      </c>
      <c r="V27" s="3759" t="s">
        <v>13</v>
      </c>
      <c r="W27" s="3542">
        <f>J27</f>
        <v>100</v>
      </c>
      <c r="X27" s="482"/>
      <c r="Y27" s="4578"/>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576"/>
      <c r="Q28" s="1507">
        <f t="shared" si="11"/>
        <v>111</v>
      </c>
      <c r="R28" s="3760" t="s">
        <v>13</v>
      </c>
      <c r="S28" s="3762">
        <f t="shared" ref="S28:S40" si="12">F28</f>
        <v>100</v>
      </c>
      <c r="T28" s="3760" t="s">
        <v>13</v>
      </c>
      <c r="U28" s="3762">
        <f t="shared" ref="U28:U40" si="13">H28</f>
        <v>100</v>
      </c>
      <c r="V28" s="3760" t="s">
        <v>13</v>
      </c>
      <c r="W28" s="3762">
        <f t="shared" ref="W28:W40" si="14">J28</f>
        <v>100</v>
      </c>
      <c r="X28" s="909"/>
      <c r="Y28" s="4578"/>
      <c r="Z28" s="907">
        <f t="shared" ref="Z28:Z40" si="15">Q28</f>
        <v>111</v>
      </c>
      <c r="AA28" s="907">
        <f t="shared" si="3"/>
        <v>1</v>
      </c>
      <c r="AB28" s="907">
        <f t="shared" si="4"/>
        <v>1</v>
      </c>
      <c r="AC28" s="907">
        <f t="shared" si="5"/>
        <v>1</v>
      </c>
    </row>
    <row r="29" spans="1:29" ht="28.5">
      <c r="A29" s="276" t="s">
        <v>1599</v>
      </c>
      <c r="B29" s="34" t="s">
        <v>1722</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579" t="s">
        <v>1601</v>
      </c>
      <c r="Q29" s="1507" t="str">
        <f t="shared" si="11"/>
        <v>建筑类型</v>
      </c>
      <c r="R29" s="3760" t="s">
        <v>13</v>
      </c>
      <c r="S29" s="3762">
        <f t="shared" si="12"/>
        <v>100</v>
      </c>
      <c r="T29" s="3760" t="s">
        <v>13</v>
      </c>
      <c r="U29" s="3762">
        <f t="shared" si="13"/>
        <v>100</v>
      </c>
      <c r="V29" s="3760" t="s">
        <v>13</v>
      </c>
      <c r="W29" s="3762">
        <f t="shared" si="14"/>
        <v>100</v>
      </c>
      <c r="X29" s="909"/>
      <c r="Y29" s="4581" t="s">
        <v>1601</v>
      </c>
      <c r="Z29" s="907" t="str">
        <f t="shared" si="15"/>
        <v>建筑类型</v>
      </c>
      <c r="AA29" s="907">
        <f t="shared" si="3"/>
        <v>1</v>
      </c>
      <c r="AB29" s="907">
        <f t="shared" si="4"/>
        <v>1</v>
      </c>
      <c r="AC29" s="907">
        <f t="shared" si="5"/>
        <v>1</v>
      </c>
    </row>
    <row r="30" spans="1:29" s="279" customFormat="1" ht="15">
      <c r="A30" s="277"/>
      <c r="B30" s="252" t="s">
        <v>1602</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0"/>
      <c r="Q30" s="2864" t="str">
        <f t="shared" si="11"/>
        <v>项目建筑规模</v>
      </c>
      <c r="R30" s="3761" t="s">
        <v>13</v>
      </c>
      <c r="S30" s="3763" t="e">
        <f t="shared" si="12"/>
        <v>#N/A</v>
      </c>
      <c r="T30" s="3761" t="s">
        <v>13</v>
      </c>
      <c r="U30" s="3763" t="e">
        <f t="shared" si="13"/>
        <v>#N/A</v>
      </c>
      <c r="V30" s="3761" t="s">
        <v>13</v>
      </c>
      <c r="W30" s="3763" t="e">
        <f t="shared" si="14"/>
        <v>#N/A</v>
      </c>
      <c r="X30" s="484"/>
      <c r="Y30" s="4581"/>
      <c r="Z30" s="485" t="str">
        <f t="shared" si="15"/>
        <v>项目建筑规模</v>
      </c>
      <c r="AA30" s="907" t="e">
        <f t="shared" si="3"/>
        <v>#N/A</v>
      </c>
      <c r="AB30" s="907" t="e">
        <f t="shared" si="4"/>
        <v>#N/A</v>
      </c>
      <c r="AC30" s="907" t="e">
        <f t="shared" si="5"/>
        <v>#N/A</v>
      </c>
    </row>
    <row r="31" spans="1:29" ht="15">
      <c r="A31" s="280"/>
      <c r="B31" s="252" t="s">
        <v>1603</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580"/>
      <c r="Q31" s="1507" t="str">
        <f t="shared" si="11"/>
        <v>建筑结构</v>
      </c>
      <c r="R31" s="3760" t="s">
        <v>13</v>
      </c>
      <c r="S31" s="3762">
        <f t="shared" si="12"/>
        <v>100</v>
      </c>
      <c r="T31" s="3760" t="s">
        <v>13</v>
      </c>
      <c r="U31" s="3762">
        <f t="shared" si="13"/>
        <v>100</v>
      </c>
      <c r="V31" s="3760" t="s">
        <v>13</v>
      </c>
      <c r="W31" s="3762">
        <f t="shared" si="14"/>
        <v>100</v>
      </c>
      <c r="X31" s="909"/>
      <c r="Y31" s="4581"/>
      <c r="Z31" s="907" t="str">
        <f t="shared" si="15"/>
        <v>建筑结构</v>
      </c>
      <c r="AA31" s="907">
        <f t="shared" si="3"/>
        <v>1</v>
      </c>
      <c r="AB31" s="907">
        <f t="shared" si="4"/>
        <v>1</v>
      </c>
      <c r="AC31" s="907">
        <f t="shared" si="5"/>
        <v>1</v>
      </c>
    </row>
    <row r="32" spans="1:29" ht="15">
      <c r="A32" s="280"/>
      <c r="B32" s="252" t="s">
        <v>1690</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580"/>
      <c r="Q32" s="1507" t="str">
        <f t="shared" si="11"/>
        <v>公共部分装修</v>
      </c>
      <c r="R32" s="3760" t="s">
        <v>13</v>
      </c>
      <c r="S32" s="3762">
        <f t="shared" si="12"/>
        <v>100</v>
      </c>
      <c r="T32" s="3760" t="s">
        <v>13</v>
      </c>
      <c r="U32" s="3762">
        <f t="shared" si="13"/>
        <v>100</v>
      </c>
      <c r="V32" s="3760" t="s">
        <v>13</v>
      </c>
      <c r="W32" s="3762">
        <f t="shared" si="14"/>
        <v>100</v>
      </c>
      <c r="X32" s="909"/>
      <c r="Y32" s="4581"/>
      <c r="Z32" s="907" t="str">
        <f t="shared" si="15"/>
        <v>公共部分装修</v>
      </c>
      <c r="AA32" s="907">
        <f t="shared" si="3"/>
        <v>1</v>
      </c>
      <c r="AB32" s="907">
        <f t="shared" si="4"/>
        <v>1</v>
      </c>
      <c r="AC32" s="907">
        <f t="shared" si="5"/>
        <v>1</v>
      </c>
    </row>
    <row r="33" spans="1:29" ht="15">
      <c r="A33" s="280"/>
      <c r="B33" s="252" t="s">
        <v>1691</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580"/>
      <c r="Q33" s="1507" t="str">
        <f t="shared" si="11"/>
        <v>成新度</v>
      </c>
      <c r="R33" s="3760" t="s">
        <v>13</v>
      </c>
      <c r="S33" s="3762" t="e">
        <f t="shared" si="12"/>
        <v>#N/A</v>
      </c>
      <c r="T33" s="3760" t="s">
        <v>13</v>
      </c>
      <c r="U33" s="3762" t="e">
        <f t="shared" si="13"/>
        <v>#N/A</v>
      </c>
      <c r="V33" s="3760" t="s">
        <v>13</v>
      </c>
      <c r="W33" s="3762" t="e">
        <f t="shared" si="14"/>
        <v>#N/A</v>
      </c>
      <c r="X33" s="909"/>
      <c r="Y33" s="4581"/>
      <c r="Z33" s="907" t="str">
        <f t="shared" si="15"/>
        <v>成新度</v>
      </c>
      <c r="AA33" s="907" t="e">
        <f t="shared" si="3"/>
        <v>#N/A</v>
      </c>
      <c r="AB33" s="907" t="e">
        <f t="shared" si="4"/>
        <v>#N/A</v>
      </c>
      <c r="AC33" s="907" t="e">
        <f t="shared" si="5"/>
        <v>#N/A</v>
      </c>
    </row>
    <row r="34" spans="1:29" s="46" customFormat="1" ht="15">
      <c r="A34" s="281"/>
      <c r="B34" s="252" t="s">
        <v>1724</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580"/>
      <c r="Q34" s="1698" t="str">
        <f t="shared" si="11"/>
        <v>物业管理</v>
      </c>
      <c r="R34" s="3759" t="s">
        <v>13</v>
      </c>
      <c r="S34" s="3542">
        <f t="shared" si="12"/>
        <v>100</v>
      </c>
      <c r="T34" s="3759" t="s">
        <v>13</v>
      </c>
      <c r="U34" s="3542">
        <f t="shared" si="13"/>
        <v>100</v>
      </c>
      <c r="V34" s="3759" t="s">
        <v>13</v>
      </c>
      <c r="W34" s="3542">
        <f t="shared" si="14"/>
        <v>100</v>
      </c>
      <c r="X34" s="482"/>
      <c r="Y34" s="4581"/>
      <c r="Z34" s="28" t="str">
        <f t="shared" si="15"/>
        <v>物业管理</v>
      </c>
      <c r="AA34" s="28">
        <f t="shared" si="3"/>
        <v>1</v>
      </c>
      <c r="AB34" s="28">
        <f t="shared" si="4"/>
        <v>1</v>
      </c>
      <c r="AC34" s="28">
        <f t="shared" si="5"/>
        <v>1</v>
      </c>
    </row>
    <row r="35" spans="1:29" ht="15">
      <c r="A35" s="280"/>
      <c r="B35" s="252" t="s">
        <v>1692</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580" t="s">
        <v>1601</v>
      </c>
      <c r="Q35" s="1507" t="str">
        <f t="shared" si="11"/>
        <v>市政基础设施</v>
      </c>
      <c r="R35" s="3760" t="s">
        <v>13</v>
      </c>
      <c r="S35" s="3762">
        <f t="shared" si="12"/>
        <v>100</v>
      </c>
      <c r="T35" s="3760" t="s">
        <v>13</v>
      </c>
      <c r="U35" s="3762">
        <f t="shared" si="13"/>
        <v>100</v>
      </c>
      <c r="V35" s="3760" t="s">
        <v>13</v>
      </c>
      <c r="W35" s="3762">
        <f t="shared" si="14"/>
        <v>100</v>
      </c>
      <c r="X35" s="909"/>
      <c r="Y35" s="4581" t="s">
        <v>1601</v>
      </c>
      <c r="Z35" s="907" t="str">
        <f t="shared" si="15"/>
        <v>市政基础设施</v>
      </c>
      <c r="AA35" s="907">
        <f t="shared" si="3"/>
        <v>1</v>
      </c>
      <c r="AB35" s="907">
        <f t="shared" si="4"/>
        <v>1</v>
      </c>
      <c r="AC35" s="907">
        <f t="shared" si="5"/>
        <v>1</v>
      </c>
    </row>
    <row r="36" spans="1:29" ht="15">
      <c r="A36" s="280"/>
      <c r="B36" s="252" t="s">
        <v>1697</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580"/>
      <c r="Q36" s="1507" t="str">
        <f t="shared" si="11"/>
        <v>内部装修</v>
      </c>
      <c r="R36" s="3760" t="s">
        <v>13</v>
      </c>
      <c r="S36" s="3762">
        <f t="shared" si="12"/>
        <v>100</v>
      </c>
      <c r="T36" s="3760" t="s">
        <v>13</v>
      </c>
      <c r="U36" s="3762">
        <f t="shared" si="13"/>
        <v>100</v>
      </c>
      <c r="V36" s="3760" t="s">
        <v>13</v>
      </c>
      <c r="W36" s="3762">
        <f t="shared" si="14"/>
        <v>100</v>
      </c>
      <c r="X36" s="909"/>
      <c r="Y36" s="4581"/>
      <c r="Z36" s="907" t="str">
        <f t="shared" si="15"/>
        <v>内部装修</v>
      </c>
      <c r="AA36" s="907">
        <f t="shared" si="3"/>
        <v>1</v>
      </c>
      <c r="AB36" s="907">
        <f t="shared" si="4"/>
        <v>1</v>
      </c>
      <c r="AC36" s="907">
        <f t="shared" si="5"/>
        <v>1</v>
      </c>
    </row>
    <row r="37" spans="1:29" ht="15">
      <c r="A37" s="280"/>
      <c r="B37" s="252" t="s">
        <v>1733</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580"/>
      <c r="Q37" s="1507" t="str">
        <f t="shared" si="11"/>
        <v>内部装修状况</v>
      </c>
      <c r="R37" s="3760" t="s">
        <v>13</v>
      </c>
      <c r="S37" s="3762">
        <f t="shared" si="12"/>
        <v>100</v>
      </c>
      <c r="T37" s="3760" t="s">
        <v>13</v>
      </c>
      <c r="U37" s="3762">
        <f t="shared" si="13"/>
        <v>100</v>
      </c>
      <c r="V37" s="3760" t="s">
        <v>13</v>
      </c>
      <c r="W37" s="3762">
        <f t="shared" si="14"/>
        <v>100</v>
      </c>
      <c r="X37" s="909"/>
      <c r="Y37" s="4581"/>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580"/>
      <c r="Q38" s="2864">
        <f t="shared" si="11"/>
        <v>111</v>
      </c>
      <c r="R38" s="3761" t="s">
        <v>13</v>
      </c>
      <c r="S38" s="3763">
        <f t="shared" si="12"/>
        <v>100</v>
      </c>
      <c r="T38" s="3761" t="s">
        <v>13</v>
      </c>
      <c r="U38" s="3763">
        <f t="shared" si="13"/>
        <v>100</v>
      </c>
      <c r="V38" s="3761" t="s">
        <v>13</v>
      </c>
      <c r="W38" s="3763">
        <f t="shared" si="14"/>
        <v>100</v>
      </c>
      <c r="X38" s="484"/>
      <c r="Y38" s="4581"/>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580"/>
      <c r="Q39" s="1507">
        <f t="shared" si="11"/>
        <v>111</v>
      </c>
      <c r="R39" s="3760" t="s">
        <v>13</v>
      </c>
      <c r="S39" s="3762">
        <f t="shared" si="12"/>
        <v>100</v>
      </c>
      <c r="T39" s="3760" t="s">
        <v>13</v>
      </c>
      <c r="U39" s="3762">
        <f t="shared" si="13"/>
        <v>100</v>
      </c>
      <c r="V39" s="3760" t="s">
        <v>13</v>
      </c>
      <c r="W39" s="3762">
        <f t="shared" si="14"/>
        <v>100</v>
      </c>
      <c r="X39" s="909"/>
      <c r="Y39" s="4581"/>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28"/>
      <c r="Q40" s="1507">
        <f t="shared" si="11"/>
        <v>111</v>
      </c>
      <c r="R40" s="3760" t="s">
        <v>13</v>
      </c>
      <c r="S40" s="3762">
        <f t="shared" si="12"/>
        <v>100</v>
      </c>
      <c r="T40" s="3760" t="s">
        <v>13</v>
      </c>
      <c r="U40" s="3762">
        <f t="shared" si="13"/>
        <v>100</v>
      </c>
      <c r="V40" s="3760" t="s">
        <v>13</v>
      </c>
      <c r="W40" s="3762">
        <f t="shared" si="14"/>
        <v>100</v>
      </c>
      <c r="X40" s="909"/>
      <c r="Y40" s="4599"/>
      <c r="Z40" s="907">
        <f t="shared" si="15"/>
        <v>111</v>
      </c>
      <c r="AA40" s="907">
        <f t="shared" si="3"/>
        <v>1</v>
      </c>
      <c r="AB40" s="907">
        <f t="shared" si="4"/>
        <v>1</v>
      </c>
      <c r="AC40" s="907">
        <f t="shared" si="5"/>
        <v>1</v>
      </c>
    </row>
    <row r="41" spans="1:29" ht="15">
      <c r="A41" s="286" t="s">
        <v>1613</v>
      </c>
      <c r="B41" s="287"/>
      <c r="C41" s="765" t="s">
        <v>0</v>
      </c>
      <c r="D41" s="288"/>
      <c r="E41" s="3205"/>
      <c r="F41" s="3153"/>
      <c r="G41" s="3206"/>
      <c r="H41" s="3154"/>
      <c r="I41" s="3205"/>
      <c r="J41" s="3154"/>
      <c r="K41" s="2862"/>
      <c r="L41" s="605"/>
      <c r="M41" s="593"/>
      <c r="N41" s="593"/>
      <c r="O41" s="593"/>
      <c r="P41" s="4551" t="str">
        <f>A41</f>
        <v>成交单价（元/平方米）</v>
      </c>
      <c r="Q41" s="4551"/>
      <c r="R41" s="4582">
        <f>E41</f>
        <v>0</v>
      </c>
      <c r="S41" s="4582"/>
      <c r="T41" s="4582">
        <f>G41</f>
        <v>0</v>
      </c>
      <c r="U41" s="4582"/>
      <c r="V41" s="4582">
        <f>I41</f>
        <v>0</v>
      </c>
      <c r="W41" s="4582"/>
      <c r="X41" s="265"/>
      <c r="Y41" s="486"/>
      <c r="Z41" s="265"/>
      <c r="AA41" s="265"/>
      <c r="AB41" s="265"/>
      <c r="AC41" s="265"/>
    </row>
    <row r="42" spans="1:29" ht="15.75" thickBot="1">
      <c r="A42" s="289" t="s">
        <v>1698</v>
      </c>
      <c r="B42" s="290"/>
      <c r="C42" s="3733" t="e">
        <f>R43</f>
        <v>#DIV/0!</v>
      </c>
      <c r="D42" s="3846" t="s">
        <v>2040</v>
      </c>
      <c r="E42" s="2885" t="e">
        <f>R42</f>
        <v>#DIV/0!</v>
      </c>
      <c r="F42" s="2801"/>
      <c r="G42" s="2884" t="e">
        <f>T42</f>
        <v>#DIV/0!</v>
      </c>
      <c r="H42" s="2801"/>
      <c r="I42" s="2885" t="e">
        <f>V42</f>
        <v>#DIV/0!</v>
      </c>
      <c r="J42" s="2801"/>
      <c r="K42" s="2855">
        <f>F42+H42+J42</f>
        <v>0</v>
      </c>
      <c r="L42" s="605"/>
      <c r="M42" s="593"/>
      <c r="N42" s="593"/>
      <c r="O42" s="593"/>
      <c r="P42" s="4551" t="str">
        <f>A42</f>
        <v>比较价值（元/平方米）</v>
      </c>
      <c r="Q42" s="4551"/>
      <c r="R42" s="4582" t="e">
        <f>IF(F1="售价",ROUND(PRODUCT(R41,AA7:AA40),0),ROUND(PRODUCT(R41,AA7:AA40),1))</f>
        <v>#DIV/0!</v>
      </c>
      <c r="S42" s="4582"/>
      <c r="T42" s="4582" t="e">
        <f>IF(F1="售价",ROUND(PRODUCT(T41,AB7:AB40),0),ROUND(PRODUCT(T41,AB7:AB40),1))</f>
        <v>#DIV/0!</v>
      </c>
      <c r="U42" s="4582"/>
      <c r="V42" s="4582" t="e">
        <f>IF(F1="售价",ROUND(PRODUCT(V41,AC7:AC40),0),ROUND(PRODUCT(V41,AC7:AC40),1))</f>
        <v>#DIV/0!</v>
      </c>
      <c r="W42" s="4582"/>
      <c r="X42" s="265"/>
      <c r="Y42" s="265"/>
      <c r="Z42" s="265"/>
      <c r="AA42" s="265"/>
      <c r="AB42" s="265"/>
      <c r="AC42" s="265"/>
    </row>
    <row r="43" spans="1:29" ht="15.75" thickBot="1">
      <c r="A43" s="291" t="s">
        <v>1699</v>
      </c>
      <c r="B43" s="292"/>
      <c r="C43" s="3745" t="e">
        <f>R43</f>
        <v>#DIV/0!</v>
      </c>
      <c r="D43" s="241"/>
      <c r="E43" s="241"/>
      <c r="F43" s="241"/>
      <c r="G43" s="241"/>
      <c r="H43" s="241"/>
      <c r="I43" s="241"/>
      <c r="J43" s="241"/>
      <c r="K43" s="487"/>
      <c r="L43" s="605"/>
      <c r="M43" s="593"/>
      <c r="N43" s="593"/>
      <c r="O43" s="593"/>
      <c r="P43" s="4583" t="str">
        <f>A43</f>
        <v>估价对象XX用房的比较价值（楼面单价，元/平方米）</v>
      </c>
      <c r="Q43" s="4584"/>
      <c r="R43" s="4585" t="e">
        <f>IF(F1="售价",ROUND(IF(D42="简单平均",AVERAGE(R42:V42),R42*F42+T42*H42+V42*J42),0),ROUND(IF(D42="简单平均",AVERAGE(R42:V42),R42*F42+T42*H42+V42*J42),1))</f>
        <v>#DIV/0!</v>
      </c>
      <c r="S43" s="4585"/>
      <c r="T43" s="4585"/>
      <c r="U43" s="4585"/>
      <c r="V43" s="4585"/>
      <c r="W43" s="458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1700</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1701</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1702</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1703</v>
      </c>
      <c r="B51" s="265"/>
      <c r="C51" s="477"/>
      <c r="D51" s="477"/>
      <c r="E51" s="477"/>
      <c r="F51" s="478"/>
      <c r="G51" s="478"/>
      <c r="H51" s="477"/>
      <c r="I51" s="477"/>
      <c r="J51" s="477"/>
      <c r="K51" s="619"/>
      <c r="L51" s="620"/>
      <c r="M51" s="618"/>
      <c r="N51" s="618"/>
      <c r="O51" s="618"/>
      <c r="P51" s="3189"/>
      <c r="Q51" s="3190"/>
    </row>
    <row r="52" spans="1:23" s="305" customFormat="1" ht="15">
      <c r="A52" s="303" t="s">
        <v>1584</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1621</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1586</v>
      </c>
      <c r="B55" s="307"/>
      <c r="C55" s="319" t="s">
        <v>1681</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1624</v>
      </c>
      <c r="B57" s="322" t="s">
        <v>1590</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1593</v>
      </c>
      <c r="C59" s="372"/>
      <c r="D59" s="372"/>
      <c r="E59" s="372"/>
      <c r="F59" s="372"/>
      <c r="G59" s="372"/>
      <c r="H59" s="372"/>
      <c r="I59" s="372"/>
      <c r="J59" s="372"/>
      <c r="K59" s="373"/>
      <c r="L59" s="374"/>
      <c r="M59" s="375"/>
      <c r="N59" s="611"/>
      <c r="O59" s="611"/>
      <c r="P59" s="3193"/>
      <c r="Q59" s="3190"/>
    </row>
    <row r="60" spans="1:23" ht="15.75" thickBot="1">
      <c r="A60" s="254"/>
      <c r="B60" s="336" t="s">
        <v>3864</v>
      </c>
      <c r="C60" s="329"/>
      <c r="D60" s="329"/>
      <c r="E60" s="329"/>
      <c r="F60" s="329"/>
      <c r="G60" s="329"/>
      <c r="H60" s="329"/>
      <c r="I60" s="329"/>
      <c r="J60" s="329"/>
      <c r="K60" s="329"/>
      <c r="L60" s="329"/>
      <c r="M60" s="330"/>
      <c r="N60" s="612"/>
      <c r="O60" s="612"/>
      <c r="P60" s="3193"/>
      <c r="Q60" s="3190"/>
    </row>
    <row r="61" spans="1:23" ht="15.75" thickTop="1">
      <c r="A61" s="254"/>
      <c r="B61" s="339" t="s">
        <v>1594</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1595</v>
      </c>
      <c r="B70" s="322" t="s">
        <v>1734</v>
      </c>
      <c r="C70" s="364" t="s">
        <v>1626</v>
      </c>
      <c r="D70" s="364" t="s">
        <v>1627</v>
      </c>
      <c r="E70" s="364" t="s">
        <v>1628</v>
      </c>
      <c r="F70" s="364" t="s">
        <v>1629</v>
      </c>
      <c r="G70" s="364" t="s">
        <v>1630</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1631</v>
      </c>
      <c r="C72" s="368" t="s">
        <v>1626</v>
      </c>
      <c r="D72" s="368" t="s">
        <v>1627</v>
      </c>
      <c r="E72" s="368" t="s">
        <v>1628</v>
      </c>
      <c r="F72" s="368" t="s">
        <v>1629</v>
      </c>
      <c r="G72" s="368" t="s">
        <v>1630</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1632</v>
      </c>
      <c r="C74" s="368" t="s">
        <v>1626</v>
      </c>
      <c r="D74" s="368" t="s">
        <v>1627</v>
      </c>
      <c r="E74" s="368" t="s">
        <v>1628</v>
      </c>
      <c r="F74" s="368" t="s">
        <v>1629</v>
      </c>
      <c r="G74" s="368" t="s">
        <v>1630</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1718</v>
      </c>
      <c r="C76" s="428" t="s">
        <v>1704</v>
      </c>
      <c r="D76" s="428" t="s">
        <v>1705</v>
      </c>
      <c r="E76" s="428" t="s">
        <v>1706</v>
      </c>
      <c r="F76" s="428" t="s">
        <v>1707</v>
      </c>
      <c r="G76" s="428" t="s">
        <v>1708</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1727</v>
      </c>
      <c r="C78" s="368" t="s">
        <v>1626</v>
      </c>
      <c r="D78" s="368" t="s">
        <v>1627</v>
      </c>
      <c r="E78" s="368" t="s">
        <v>1628</v>
      </c>
      <c r="F78" s="368" t="s">
        <v>1629</v>
      </c>
      <c r="G78" s="368" t="s">
        <v>1630</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1599</v>
      </c>
      <c r="B88" s="322" t="s">
        <v>1641</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1642</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1643</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1645</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1171</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1646</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1647</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1649</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1735</v>
      </c>
      <c r="C106" s="368" t="s">
        <v>1626</v>
      </c>
      <c r="D106" s="368" t="s">
        <v>1627</v>
      </c>
      <c r="E106" s="368" t="s">
        <v>1628</v>
      </c>
      <c r="F106" s="368" t="s">
        <v>1629</v>
      </c>
      <c r="G106" s="368" t="s">
        <v>1630</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3210</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t="e">
        <f>IF(E2="——",C37,ROUND(B2*10000/D3,0))</f>
        <v>#DIV/0!</v>
      </c>
      <c r="C3" s="234" t="s">
        <v>1673</v>
      </c>
      <c r="D3" s="2880">
        <f>SUMIF('数据-汇总表'!$C19:$C33,D1,'数据-汇总表'!$E19:$E33)</f>
        <v>0</v>
      </c>
      <c r="E3" s="3847" t="s">
        <v>3465</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1674</v>
      </c>
      <c r="B4" s="236"/>
      <c r="C4" s="4586" t="s">
        <v>1675</v>
      </c>
      <c r="D4" s="4614"/>
      <c r="E4" s="4615" t="s">
        <v>1676</v>
      </c>
      <c r="F4" s="4616"/>
      <c r="G4" s="4586" t="s">
        <v>1677</v>
      </c>
      <c r="H4" s="4614"/>
      <c r="I4" s="4586" t="s">
        <v>1678</v>
      </c>
      <c r="J4" s="4614"/>
      <c r="K4" s="393" t="s">
        <v>1679</v>
      </c>
      <c r="L4" s="1974"/>
      <c r="M4" s="1975"/>
      <c r="N4" s="1975"/>
      <c r="O4" s="1975"/>
      <c r="P4" s="4629" t="s">
        <v>1680</v>
      </c>
      <c r="Q4" s="4630"/>
      <c r="R4" s="4568" t="s">
        <v>1676</v>
      </c>
      <c r="S4" s="4569"/>
      <c r="T4" s="4568" t="s">
        <v>1677</v>
      </c>
      <c r="U4" s="4569"/>
      <c r="V4" s="4590" t="s">
        <v>1678</v>
      </c>
      <c r="W4" s="4590"/>
      <c r="X4" s="909"/>
      <c r="Y4" s="4568" t="s">
        <v>1680</v>
      </c>
      <c r="Z4" s="4569"/>
      <c r="AA4" s="4533" t="s">
        <v>1676</v>
      </c>
      <c r="AB4" s="4534" t="s">
        <v>1677</v>
      </c>
      <c r="AC4" s="4533" t="s">
        <v>1678</v>
      </c>
    </row>
    <row r="5" spans="1:29" ht="15">
      <c r="A5" s="238"/>
      <c r="B5" s="239"/>
      <c r="C5" s="4605" t="s">
        <v>1578</v>
      </c>
      <c r="D5" s="4606"/>
      <c r="E5" s="4603" t="s">
        <v>1579</v>
      </c>
      <c r="F5" s="4604"/>
      <c r="G5" s="4605" t="s">
        <v>1580</v>
      </c>
      <c r="H5" s="4606"/>
      <c r="I5" s="4605" t="s">
        <v>1581</v>
      </c>
      <c r="J5" s="4606"/>
      <c r="K5" s="393"/>
      <c r="L5" s="1974"/>
      <c r="M5" s="1975"/>
      <c r="N5" s="1975"/>
      <c r="O5" s="1975"/>
      <c r="P5" s="4631"/>
      <c r="Q5" s="4632"/>
      <c r="R5" s="4570"/>
      <c r="S5" s="4571"/>
      <c r="T5" s="4570"/>
      <c r="U5" s="4571"/>
      <c r="V5" s="4590"/>
      <c r="W5" s="4590"/>
      <c r="X5" s="909"/>
      <c r="Y5" s="4570"/>
      <c r="Z5" s="4571"/>
      <c r="AA5" s="4534"/>
      <c r="AB5" s="4534"/>
      <c r="AC5" s="4534"/>
    </row>
    <row r="6" spans="1:29" ht="15.75" thickBot="1">
      <c r="A6" s="240"/>
      <c r="B6" s="241"/>
      <c r="C6" s="4607" t="s">
        <v>1582</v>
      </c>
      <c r="D6" s="4608"/>
      <c r="E6" s="4609" t="s">
        <v>1582</v>
      </c>
      <c r="F6" s="4610"/>
      <c r="G6" s="4607" t="s">
        <v>1582</v>
      </c>
      <c r="H6" s="4608"/>
      <c r="I6" s="4607" t="s">
        <v>1582</v>
      </c>
      <c r="J6" s="4608"/>
      <c r="K6" s="393" t="s">
        <v>1583</v>
      </c>
      <c r="L6" s="1974"/>
      <c r="M6" s="1975"/>
      <c r="N6" s="1975"/>
      <c r="O6" s="1975"/>
      <c r="P6" s="4633"/>
      <c r="Q6" s="4634"/>
      <c r="R6" s="4570"/>
      <c r="S6" s="4571"/>
      <c r="T6" s="4572"/>
      <c r="U6" s="4573"/>
      <c r="V6" s="4590"/>
      <c r="W6" s="4590"/>
      <c r="X6" s="909"/>
      <c r="Y6" s="4572"/>
      <c r="Z6" s="4573"/>
      <c r="AA6" s="4535"/>
      <c r="AB6" s="4535"/>
      <c r="AC6" s="4535"/>
    </row>
    <row r="7" spans="1:29" s="46" customFormat="1" ht="15.75" thickBot="1">
      <c r="A7" s="242" t="s">
        <v>1584</v>
      </c>
      <c r="B7" s="243"/>
      <c r="C7" s="244">
        <f>'数据-取费表'!B2</f>
        <v>46105</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36" t="s">
        <v>1585</v>
      </c>
      <c r="Q7" s="4635"/>
      <c r="R7" s="3766" t="s">
        <v>13</v>
      </c>
      <c r="S7" s="3769">
        <f t="shared" ref="S7:S14" si="0">F7</f>
        <v>0</v>
      </c>
      <c r="T7" s="3766" t="s">
        <v>13</v>
      </c>
      <c r="U7" s="3769">
        <f t="shared" ref="U7:U14" si="1">H7</f>
        <v>0</v>
      </c>
      <c r="V7" s="3766" t="s">
        <v>13</v>
      </c>
      <c r="W7" s="3769">
        <f t="shared" ref="W7:W14" si="2">J7</f>
        <v>0</v>
      </c>
      <c r="X7" s="482"/>
      <c r="Y7" s="4536" t="s">
        <v>1585</v>
      </c>
      <c r="Z7" s="4537"/>
      <c r="AA7" s="28" t="e">
        <f>D7/F7</f>
        <v>#DIV/0!</v>
      </c>
      <c r="AB7" s="28" t="e">
        <f>D7/H7</f>
        <v>#DIV/0!</v>
      </c>
      <c r="AC7" s="28" t="e">
        <f>D7/J7</f>
        <v>#DIV/0!</v>
      </c>
    </row>
    <row r="8" spans="1:29" s="46" customFormat="1" ht="15.75" thickBot="1">
      <c r="A8" s="242" t="s">
        <v>1586</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36" t="s">
        <v>1588</v>
      </c>
      <c r="Q8" s="4537"/>
      <c r="R8" s="3766" t="s">
        <v>13</v>
      </c>
      <c r="S8" s="3769">
        <f t="shared" si="0"/>
        <v>100</v>
      </c>
      <c r="T8" s="3766" t="s">
        <v>13</v>
      </c>
      <c r="U8" s="3769">
        <f t="shared" si="1"/>
        <v>100</v>
      </c>
      <c r="V8" s="3766" t="s">
        <v>13</v>
      </c>
      <c r="W8" s="3769">
        <f t="shared" si="2"/>
        <v>100</v>
      </c>
      <c r="X8" s="482"/>
      <c r="Y8" s="4536" t="s">
        <v>1588</v>
      </c>
      <c r="Z8" s="4537"/>
      <c r="AA8" s="28">
        <f t="shared" ref="AA8:AA34" si="3">D8/F8</f>
        <v>1</v>
      </c>
      <c r="AB8" s="28">
        <f t="shared" ref="AB8:AB34" si="4">D8/H8</f>
        <v>1</v>
      </c>
      <c r="AC8" s="28">
        <f t="shared" ref="AC8:AC34" si="5">D8/J8</f>
        <v>1</v>
      </c>
    </row>
    <row r="9" spans="1:29" s="46" customFormat="1">
      <c r="A9" s="247" t="s">
        <v>1589</v>
      </c>
      <c r="B9" s="34" t="s">
        <v>1590</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589" t="s">
        <v>1591</v>
      </c>
      <c r="Q9" s="389" t="str">
        <f t="shared" ref="Q9:Q14" si="6">B9</f>
        <v>用途</v>
      </c>
      <c r="R9" s="3766" t="s">
        <v>13</v>
      </c>
      <c r="S9" s="3769">
        <f t="shared" si="0"/>
        <v>100</v>
      </c>
      <c r="T9" s="3766" t="s">
        <v>13</v>
      </c>
      <c r="U9" s="3769">
        <f t="shared" si="1"/>
        <v>100</v>
      </c>
      <c r="V9" s="3766" t="s">
        <v>13</v>
      </c>
      <c r="W9" s="3769">
        <f t="shared" si="2"/>
        <v>100</v>
      </c>
      <c r="X9" s="482"/>
      <c r="Y9" s="4552" t="s">
        <v>1592</v>
      </c>
      <c r="Z9" s="28" t="str">
        <f t="shared" ref="Z9:Z14" si="7">Q9</f>
        <v>用途</v>
      </c>
      <c r="AA9" s="28">
        <f t="shared" si="3"/>
        <v>1</v>
      </c>
      <c r="AB9" s="28">
        <f t="shared" si="4"/>
        <v>1</v>
      </c>
      <c r="AC9" s="28">
        <f t="shared" si="5"/>
        <v>1</v>
      </c>
    </row>
    <row r="10" spans="1:29" s="253" customFormat="1" ht="27">
      <c r="A10" s="251"/>
      <c r="B10" s="252" t="s">
        <v>1593</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9"/>
      <c r="Q10" s="389" t="str">
        <f t="shared" si="6"/>
        <v>土地使用年限（年）</v>
      </c>
      <c r="R10" s="3766" t="s">
        <v>13</v>
      </c>
      <c r="S10" s="3769">
        <f t="shared" si="0"/>
        <v>100</v>
      </c>
      <c r="T10" s="3766" t="s">
        <v>13</v>
      </c>
      <c r="U10" s="3769">
        <f t="shared" si="1"/>
        <v>100</v>
      </c>
      <c r="V10" s="3766" t="s">
        <v>13</v>
      </c>
      <c r="W10" s="3769">
        <f t="shared" si="2"/>
        <v>100</v>
      </c>
      <c r="X10" s="482"/>
      <c r="Y10" s="4552"/>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9"/>
      <c r="Q11" s="389">
        <f t="shared" si="6"/>
        <v>111</v>
      </c>
      <c r="R11" s="3766" t="s">
        <v>13</v>
      </c>
      <c r="S11" s="3769">
        <f t="shared" si="0"/>
        <v>100</v>
      </c>
      <c r="T11" s="3766" t="s">
        <v>13</v>
      </c>
      <c r="U11" s="3769">
        <f t="shared" si="1"/>
        <v>100</v>
      </c>
      <c r="V11" s="3766" t="s">
        <v>13</v>
      </c>
      <c r="W11" s="3769">
        <f t="shared" si="2"/>
        <v>100</v>
      </c>
      <c r="X11" s="482"/>
      <c r="Y11" s="4552"/>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9"/>
      <c r="Q12" s="389">
        <f t="shared" si="6"/>
        <v>111</v>
      </c>
      <c r="R12" s="3766" t="s">
        <v>13</v>
      </c>
      <c r="S12" s="3769">
        <f t="shared" si="0"/>
        <v>100</v>
      </c>
      <c r="T12" s="3766" t="s">
        <v>13</v>
      </c>
      <c r="U12" s="3769">
        <f t="shared" si="1"/>
        <v>100</v>
      </c>
      <c r="V12" s="3766" t="s">
        <v>13</v>
      </c>
      <c r="W12" s="3769">
        <f t="shared" si="2"/>
        <v>100</v>
      </c>
      <c r="X12" s="482"/>
      <c r="Y12" s="4552"/>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589"/>
      <c r="Q13" s="389">
        <f t="shared" si="6"/>
        <v>111</v>
      </c>
      <c r="R13" s="3766" t="s">
        <v>13</v>
      </c>
      <c r="S13" s="3769">
        <f t="shared" si="0"/>
        <v>100</v>
      </c>
      <c r="T13" s="3766" t="s">
        <v>13</v>
      </c>
      <c r="U13" s="3769">
        <f t="shared" si="1"/>
        <v>100</v>
      </c>
      <c r="V13" s="3766" t="s">
        <v>13</v>
      </c>
      <c r="W13" s="3769">
        <f t="shared" si="2"/>
        <v>100</v>
      </c>
      <c r="X13" s="482"/>
      <c r="Y13" s="4552"/>
      <c r="Z13" s="28">
        <f t="shared" si="7"/>
        <v>111</v>
      </c>
      <c r="AA13" s="28">
        <f t="shared" si="3"/>
        <v>1</v>
      </c>
      <c r="AB13" s="28">
        <f t="shared" si="4"/>
        <v>1</v>
      </c>
      <c r="AC13" s="28">
        <f t="shared" si="5"/>
        <v>1</v>
      </c>
    </row>
    <row r="14" spans="1:29" ht="15">
      <c r="A14" s="262" t="s">
        <v>1595</v>
      </c>
      <c r="B14" s="32" t="s">
        <v>1738</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77" t="s">
        <v>1596</v>
      </c>
      <c r="Q14" s="906" t="str">
        <f t="shared" si="6"/>
        <v>交通便捷度</v>
      </c>
      <c r="R14" s="3767" t="s">
        <v>13</v>
      </c>
      <c r="S14" s="3770">
        <f t="shared" si="0"/>
        <v>100</v>
      </c>
      <c r="T14" s="3767" t="s">
        <v>13</v>
      </c>
      <c r="U14" s="3770">
        <f t="shared" si="1"/>
        <v>100</v>
      </c>
      <c r="V14" s="3767" t="s">
        <v>13</v>
      </c>
      <c r="W14" s="3770">
        <f t="shared" si="2"/>
        <v>100</v>
      </c>
      <c r="X14" s="909"/>
      <c r="Y14" s="4577" t="s">
        <v>1596</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78"/>
      <c r="Q15" s="906"/>
      <c r="R15" s="3767"/>
      <c r="S15" s="3770"/>
      <c r="T15" s="3767"/>
      <c r="U15" s="3770"/>
      <c r="V15" s="3767"/>
      <c r="W15" s="3770"/>
      <c r="X15" s="909"/>
      <c r="Y15" s="4578"/>
      <c r="Z15" s="907"/>
      <c r="AA15" s="907">
        <v>1</v>
      </c>
      <c r="AB15" s="907">
        <v>1</v>
      </c>
      <c r="AC15" s="907">
        <v>1</v>
      </c>
    </row>
    <row r="16" spans="1:29" ht="15">
      <c r="A16" s="254"/>
      <c r="B16" s="269" t="s">
        <v>1717</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78"/>
      <c r="Q16" s="906" t="str">
        <f>B16</f>
        <v>公共配套设施</v>
      </c>
      <c r="R16" s="3767" t="s">
        <v>13</v>
      </c>
      <c r="S16" s="3770">
        <f>F16</f>
        <v>100</v>
      </c>
      <c r="T16" s="3767" t="s">
        <v>13</v>
      </c>
      <c r="U16" s="3770">
        <f>H16</f>
        <v>100</v>
      </c>
      <c r="V16" s="3767" t="s">
        <v>13</v>
      </c>
      <c r="W16" s="3770">
        <f>J16</f>
        <v>100</v>
      </c>
      <c r="X16" s="909"/>
      <c r="Y16" s="4578"/>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78"/>
      <c r="Q17" s="906"/>
      <c r="R17" s="3767"/>
      <c r="S17" s="3770"/>
      <c r="T17" s="3767"/>
      <c r="U17" s="3770"/>
      <c r="V17" s="3767"/>
      <c r="W17" s="3770"/>
      <c r="X17" s="909"/>
      <c r="Y17" s="4578"/>
      <c r="Z17" s="907"/>
      <c r="AA17" s="907">
        <v>1</v>
      </c>
      <c r="AB17" s="907">
        <v>1</v>
      </c>
      <c r="AC17" s="907">
        <v>1</v>
      </c>
    </row>
    <row r="18" spans="1:29" ht="15">
      <c r="A18" s="254"/>
      <c r="B18" s="759" t="s">
        <v>1718</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78"/>
      <c r="Q18" s="906" t="str">
        <f>B18</f>
        <v>基础设施水平</v>
      </c>
      <c r="R18" s="3767" t="s">
        <v>13</v>
      </c>
      <c r="S18" s="3770">
        <f>F18</f>
        <v>100</v>
      </c>
      <c r="T18" s="3767" t="s">
        <v>13</v>
      </c>
      <c r="U18" s="3770">
        <f>H18</f>
        <v>100</v>
      </c>
      <c r="V18" s="3767" t="s">
        <v>13</v>
      </c>
      <c r="W18" s="3770">
        <f>J18</f>
        <v>100</v>
      </c>
      <c r="X18" s="909"/>
      <c r="Y18" s="4578"/>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78"/>
      <c r="Q19" s="906"/>
      <c r="R19" s="3767"/>
      <c r="S19" s="3770"/>
      <c r="T19" s="3767"/>
      <c r="U19" s="3770"/>
      <c r="V19" s="3767"/>
      <c r="W19" s="3770"/>
      <c r="X19" s="909"/>
      <c r="Y19" s="4578"/>
      <c r="Z19" s="907"/>
      <c r="AA19" s="907">
        <v>1</v>
      </c>
      <c r="AB19" s="907">
        <v>1</v>
      </c>
      <c r="AC19" s="907">
        <v>1</v>
      </c>
    </row>
    <row r="20" spans="1:29" ht="15">
      <c r="A20" s="254"/>
      <c r="B20" s="269" t="s">
        <v>1739</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78"/>
      <c r="Q20" s="906" t="str">
        <f>B20</f>
        <v>自然及人文环境</v>
      </c>
      <c r="R20" s="3767" t="s">
        <v>13</v>
      </c>
      <c r="S20" s="3770">
        <f>F20</f>
        <v>100</v>
      </c>
      <c r="T20" s="3767" t="s">
        <v>13</v>
      </c>
      <c r="U20" s="3770">
        <f>H20</f>
        <v>100</v>
      </c>
      <c r="V20" s="3767" t="s">
        <v>13</v>
      </c>
      <c r="W20" s="3770">
        <f>J20</f>
        <v>100</v>
      </c>
      <c r="X20" s="909"/>
      <c r="Y20" s="4578"/>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78"/>
      <c r="Q21" s="906"/>
      <c r="R21" s="3767"/>
      <c r="S21" s="3770"/>
      <c r="T21" s="3767"/>
      <c r="U21" s="3770"/>
      <c r="V21" s="3767"/>
      <c r="W21" s="3770"/>
      <c r="X21" s="909"/>
      <c r="Y21" s="4578"/>
      <c r="Z21" s="907"/>
      <c r="AA21" s="907">
        <v>1</v>
      </c>
      <c r="AB21" s="907">
        <v>1</v>
      </c>
      <c r="AC21" s="907">
        <v>1</v>
      </c>
    </row>
    <row r="22" spans="1:29" ht="15">
      <c r="A22" s="254"/>
      <c r="B22" s="269" t="s">
        <v>1740</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78"/>
      <c r="Q22" s="906" t="str">
        <f>B22</f>
        <v>楼层</v>
      </c>
      <c r="R22" s="3767" t="s">
        <v>13</v>
      </c>
      <c r="S22" s="3770">
        <f>F22</f>
        <v>100</v>
      </c>
      <c r="T22" s="3767" t="s">
        <v>13</v>
      </c>
      <c r="U22" s="3770">
        <f>H22</f>
        <v>100</v>
      </c>
      <c r="V22" s="3767" t="s">
        <v>13</v>
      </c>
      <c r="W22" s="3770">
        <f>J22</f>
        <v>100</v>
      </c>
      <c r="X22" s="909"/>
      <c r="Y22" s="4578"/>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78"/>
      <c r="Q23" s="906">
        <f>B23</f>
        <v>111</v>
      </c>
      <c r="R23" s="3767" t="s">
        <v>13</v>
      </c>
      <c r="S23" s="3770">
        <f>F23</f>
        <v>100</v>
      </c>
      <c r="T23" s="3767" t="s">
        <v>13</v>
      </c>
      <c r="U23" s="3770">
        <f>H23</f>
        <v>100</v>
      </c>
      <c r="V23" s="3767" t="s">
        <v>13</v>
      </c>
      <c r="W23" s="3770">
        <f>J23</f>
        <v>100</v>
      </c>
      <c r="X23" s="909"/>
      <c r="Y23" s="4578"/>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78"/>
      <c r="Q24" s="906">
        <f t="shared" ref="Q24:Q34" si="11">B24</f>
        <v>111</v>
      </c>
      <c r="R24" s="3767" t="s">
        <v>13</v>
      </c>
      <c r="S24" s="3770">
        <f>F24</f>
        <v>100</v>
      </c>
      <c r="T24" s="3767" t="s">
        <v>13</v>
      </c>
      <c r="U24" s="3770">
        <f>H24</f>
        <v>100</v>
      </c>
      <c r="V24" s="3767" t="s">
        <v>13</v>
      </c>
      <c r="W24" s="3770">
        <f>J24</f>
        <v>100</v>
      </c>
      <c r="X24" s="909"/>
      <c r="Y24" s="4578"/>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78"/>
      <c r="Q25" s="389">
        <f t="shared" si="11"/>
        <v>111</v>
      </c>
      <c r="R25" s="3766" t="s">
        <v>13</v>
      </c>
      <c r="S25" s="3769">
        <f>F25</f>
        <v>100</v>
      </c>
      <c r="T25" s="3766" t="s">
        <v>13</v>
      </c>
      <c r="U25" s="3769">
        <f>H25</f>
        <v>100</v>
      </c>
      <c r="V25" s="3766" t="s">
        <v>13</v>
      </c>
      <c r="W25" s="3769">
        <f>J25</f>
        <v>100</v>
      </c>
      <c r="X25" s="482"/>
      <c r="Y25" s="4578"/>
      <c r="Z25" s="28">
        <f>Q25</f>
        <v>111</v>
      </c>
      <c r="AA25" s="907">
        <f>D25/F25</f>
        <v>1</v>
      </c>
      <c r="AB25" s="907">
        <f>D25/H25</f>
        <v>1</v>
      </c>
      <c r="AC25" s="907">
        <f>D25/J25</f>
        <v>1</v>
      </c>
    </row>
    <row r="26" spans="1:29" ht="28.5">
      <c r="A26" s="276" t="s">
        <v>1599</v>
      </c>
      <c r="B26" s="34" t="s">
        <v>1743</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36" t="s">
        <v>1601</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81" t="s">
        <v>1601</v>
      </c>
      <c r="Z26" s="907" t="str">
        <f t="shared" ref="Z26:Z34" si="15">Q26</f>
        <v>公共部分装修</v>
      </c>
      <c r="AA26" s="907">
        <f t="shared" si="3"/>
        <v>1</v>
      </c>
      <c r="AB26" s="907">
        <f t="shared" si="4"/>
        <v>1</v>
      </c>
      <c r="AC26" s="907">
        <f t="shared" si="5"/>
        <v>1</v>
      </c>
    </row>
    <row r="27" spans="1:29" s="279" customFormat="1" ht="15">
      <c r="A27" s="277"/>
      <c r="B27" s="252" t="s">
        <v>1744</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81"/>
      <c r="Q27" s="483" t="str">
        <f t="shared" si="11"/>
        <v>成新率</v>
      </c>
      <c r="R27" s="3768" t="s">
        <v>13</v>
      </c>
      <c r="S27" s="3771" t="e">
        <f t="shared" si="12"/>
        <v>#N/A</v>
      </c>
      <c r="T27" s="3768" t="s">
        <v>13</v>
      </c>
      <c r="U27" s="3771" t="e">
        <f t="shared" si="13"/>
        <v>#N/A</v>
      </c>
      <c r="V27" s="3768" t="s">
        <v>13</v>
      </c>
      <c r="W27" s="3771" t="e">
        <f t="shared" si="14"/>
        <v>#N/A</v>
      </c>
      <c r="X27" s="484"/>
      <c r="Y27" s="4581"/>
      <c r="Z27" s="485" t="str">
        <f t="shared" si="15"/>
        <v>成新率</v>
      </c>
      <c r="AA27" s="907" t="e">
        <f t="shared" si="3"/>
        <v>#N/A</v>
      </c>
      <c r="AB27" s="907" t="e">
        <f t="shared" si="4"/>
        <v>#N/A</v>
      </c>
      <c r="AC27" s="907" t="e">
        <f t="shared" si="5"/>
        <v>#N/A</v>
      </c>
    </row>
    <row r="28" spans="1:29" ht="15">
      <c r="A28" s="280"/>
      <c r="B28" s="252" t="s">
        <v>1745</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81"/>
      <c r="Q28" s="906" t="str">
        <f t="shared" si="11"/>
        <v>物业等级</v>
      </c>
      <c r="R28" s="3767" t="s">
        <v>13</v>
      </c>
      <c r="S28" s="3770">
        <f t="shared" si="12"/>
        <v>100</v>
      </c>
      <c r="T28" s="3767" t="s">
        <v>13</v>
      </c>
      <c r="U28" s="3770">
        <f t="shared" si="13"/>
        <v>100</v>
      </c>
      <c r="V28" s="3767" t="s">
        <v>13</v>
      </c>
      <c r="W28" s="3770">
        <f t="shared" si="14"/>
        <v>100</v>
      </c>
      <c r="X28" s="909"/>
      <c r="Y28" s="4581"/>
      <c r="Z28" s="907" t="str">
        <f t="shared" si="15"/>
        <v>物业等级</v>
      </c>
      <c r="AA28" s="907">
        <f t="shared" si="3"/>
        <v>1</v>
      </c>
      <c r="AB28" s="907">
        <f t="shared" si="4"/>
        <v>1</v>
      </c>
      <c r="AC28" s="907">
        <f t="shared" si="5"/>
        <v>1</v>
      </c>
    </row>
    <row r="29" spans="1:29" ht="15">
      <c r="A29" s="280"/>
      <c r="B29" s="252" t="s">
        <v>1765</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81"/>
      <c r="Q29" s="906" t="str">
        <f t="shared" si="11"/>
        <v>有无电梯</v>
      </c>
      <c r="R29" s="3767" t="s">
        <v>13</v>
      </c>
      <c r="S29" s="3770">
        <f t="shared" si="12"/>
        <v>100</v>
      </c>
      <c r="T29" s="3767" t="s">
        <v>13</v>
      </c>
      <c r="U29" s="3770">
        <f t="shared" si="13"/>
        <v>100</v>
      </c>
      <c r="V29" s="3767" t="s">
        <v>13</v>
      </c>
      <c r="W29" s="3770">
        <f t="shared" si="14"/>
        <v>100</v>
      </c>
      <c r="X29" s="909"/>
      <c r="Y29" s="4581"/>
      <c r="Z29" s="907" t="str">
        <f t="shared" si="15"/>
        <v>有无电梯</v>
      </c>
      <c r="AA29" s="907">
        <f t="shared" si="3"/>
        <v>1</v>
      </c>
      <c r="AB29" s="907">
        <f t="shared" si="4"/>
        <v>1</v>
      </c>
      <c r="AC29" s="907">
        <f t="shared" si="5"/>
        <v>1</v>
      </c>
    </row>
    <row r="30" spans="1:29" ht="15">
      <c r="A30" s="280"/>
      <c r="B30" s="252" t="s">
        <v>1766</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81"/>
      <c r="Q30" s="906" t="str">
        <f t="shared" si="11"/>
        <v>建筑面积</v>
      </c>
      <c r="R30" s="3767" t="s">
        <v>13</v>
      </c>
      <c r="S30" s="3770" t="e">
        <f t="shared" si="12"/>
        <v>#N/A</v>
      </c>
      <c r="T30" s="3767" t="s">
        <v>13</v>
      </c>
      <c r="U30" s="3770" t="e">
        <f t="shared" si="13"/>
        <v>#N/A</v>
      </c>
      <c r="V30" s="3767" t="s">
        <v>13</v>
      </c>
      <c r="W30" s="3770" t="e">
        <f t="shared" si="14"/>
        <v>#N/A</v>
      </c>
      <c r="X30" s="909"/>
      <c r="Y30" s="4581"/>
      <c r="Z30" s="907" t="str">
        <f t="shared" si="15"/>
        <v>建筑面积</v>
      </c>
      <c r="AA30" s="907" t="e">
        <f t="shared" si="3"/>
        <v>#N/A</v>
      </c>
      <c r="AB30" s="907" t="e">
        <f t="shared" si="4"/>
        <v>#N/A</v>
      </c>
      <c r="AC30" s="907" t="e">
        <f t="shared" si="5"/>
        <v>#N/A</v>
      </c>
    </row>
    <row r="31" spans="1:29" s="46" customFormat="1" ht="15">
      <c r="A31" s="281"/>
      <c r="B31" s="252" t="s">
        <v>1767</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81"/>
      <c r="Q31" s="389" t="str">
        <f t="shared" si="11"/>
        <v>是否封闭</v>
      </c>
      <c r="R31" s="3766" t="s">
        <v>13</v>
      </c>
      <c r="S31" s="3769">
        <f t="shared" si="12"/>
        <v>100</v>
      </c>
      <c r="T31" s="3766" t="s">
        <v>13</v>
      </c>
      <c r="U31" s="3769">
        <f t="shared" si="13"/>
        <v>100</v>
      </c>
      <c r="V31" s="3766" t="s">
        <v>13</v>
      </c>
      <c r="W31" s="3769">
        <f t="shared" si="14"/>
        <v>100</v>
      </c>
      <c r="X31" s="482"/>
      <c r="Y31" s="4581"/>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81" t="s">
        <v>1601</v>
      </c>
      <c r="Q32" s="906">
        <f t="shared" si="11"/>
        <v>111</v>
      </c>
      <c r="R32" s="3767" t="s">
        <v>13</v>
      </c>
      <c r="S32" s="3770">
        <f t="shared" si="12"/>
        <v>100</v>
      </c>
      <c r="T32" s="3767" t="s">
        <v>13</v>
      </c>
      <c r="U32" s="3770">
        <f t="shared" si="13"/>
        <v>100</v>
      </c>
      <c r="V32" s="3767" t="s">
        <v>13</v>
      </c>
      <c r="W32" s="3770">
        <f t="shared" si="14"/>
        <v>100</v>
      </c>
      <c r="X32" s="909"/>
      <c r="Y32" s="4581" t="s">
        <v>1601</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81"/>
      <c r="Q33" s="906">
        <f t="shared" si="11"/>
        <v>111</v>
      </c>
      <c r="R33" s="3767" t="s">
        <v>13</v>
      </c>
      <c r="S33" s="3770">
        <f t="shared" si="12"/>
        <v>100</v>
      </c>
      <c r="T33" s="3767" t="s">
        <v>13</v>
      </c>
      <c r="U33" s="3770">
        <f t="shared" si="13"/>
        <v>100</v>
      </c>
      <c r="V33" s="3767" t="s">
        <v>13</v>
      </c>
      <c r="W33" s="3770">
        <f t="shared" si="14"/>
        <v>100</v>
      </c>
      <c r="X33" s="909"/>
      <c r="Y33" s="4581"/>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81"/>
      <c r="Q34" s="906">
        <f t="shared" si="11"/>
        <v>111</v>
      </c>
      <c r="R34" s="3767" t="s">
        <v>13</v>
      </c>
      <c r="S34" s="3770">
        <f t="shared" si="12"/>
        <v>100</v>
      </c>
      <c r="T34" s="3767" t="s">
        <v>13</v>
      </c>
      <c r="U34" s="3770">
        <f t="shared" si="13"/>
        <v>100</v>
      </c>
      <c r="V34" s="3767" t="s">
        <v>13</v>
      </c>
      <c r="W34" s="3770">
        <f t="shared" si="14"/>
        <v>100</v>
      </c>
      <c r="X34" s="909"/>
      <c r="Y34" s="4581"/>
      <c r="Z34" s="907">
        <f t="shared" si="15"/>
        <v>111</v>
      </c>
      <c r="AA34" s="907">
        <f t="shared" si="3"/>
        <v>1</v>
      </c>
      <c r="AB34" s="907">
        <f t="shared" si="4"/>
        <v>1</v>
      </c>
      <c r="AC34" s="907">
        <f t="shared" si="5"/>
        <v>1</v>
      </c>
    </row>
    <row r="35" spans="1:30" ht="15">
      <c r="A35" s="286" t="s">
        <v>1613</v>
      </c>
      <c r="B35" s="287"/>
      <c r="C35" s="765" t="s">
        <v>0</v>
      </c>
      <c r="D35" s="288"/>
      <c r="E35" s="3205"/>
      <c r="F35" s="3153"/>
      <c r="G35" s="3206"/>
      <c r="H35" s="3154"/>
      <c r="I35" s="3205"/>
      <c r="J35" s="3154"/>
      <c r="K35" s="2862"/>
      <c r="L35" s="1982"/>
      <c r="M35" s="1975"/>
      <c r="N35" s="1975"/>
      <c r="O35" s="1975"/>
      <c r="P35" s="4589" t="str">
        <f>A35</f>
        <v>成交单价（元/平方米）</v>
      </c>
      <c r="Q35" s="4589"/>
      <c r="R35" s="4590">
        <f>E35</f>
        <v>0</v>
      </c>
      <c r="S35" s="4590"/>
      <c r="T35" s="4590">
        <f>G35</f>
        <v>0</v>
      </c>
      <c r="U35" s="4590"/>
      <c r="V35" s="4590">
        <f>I35</f>
        <v>0</v>
      </c>
      <c r="W35" s="4590"/>
      <c r="X35" s="265"/>
      <c r="Y35" s="486"/>
      <c r="Z35" s="265"/>
      <c r="AA35" s="265"/>
      <c r="AB35" s="265"/>
      <c r="AC35" s="265"/>
    </row>
    <row r="36" spans="1:30" ht="15.75" thickBot="1">
      <c r="A36" s="289" t="s">
        <v>1698</v>
      </c>
      <c r="B36" s="290"/>
      <c r="C36" s="3733" t="e">
        <f>R37</f>
        <v>#DIV/0!</v>
      </c>
      <c r="D36" s="3846" t="s">
        <v>2040</v>
      </c>
      <c r="E36" s="3744" t="e">
        <f>R36</f>
        <v>#DIV/0!</v>
      </c>
      <c r="F36" s="2801"/>
      <c r="G36" s="3733" t="e">
        <f>T36</f>
        <v>#DIV/0!</v>
      </c>
      <c r="H36" s="2801"/>
      <c r="I36" s="3744" t="e">
        <f>V36</f>
        <v>#DIV/0!</v>
      </c>
      <c r="J36" s="2801"/>
      <c r="K36" s="2855">
        <f>F36+H36+J36</f>
        <v>0</v>
      </c>
      <c r="L36" s="1982"/>
      <c r="M36" s="1975"/>
      <c r="N36" s="1975"/>
      <c r="O36" s="1975"/>
      <c r="P36" s="4589" t="str">
        <f>A36</f>
        <v>比较价值（元/平方米）</v>
      </c>
      <c r="Q36" s="4589"/>
      <c r="R36" s="4590" t="e">
        <f>IF(F1="售价",ROUND(PRODUCT(R35,AA7:AA34),0),ROUND(PRODUCT(R35,AA7:AA34),1))</f>
        <v>#DIV/0!</v>
      </c>
      <c r="S36" s="4590"/>
      <c r="T36" s="4590" t="e">
        <f>IF(F1="售价",ROUND(PRODUCT(T35,AB7:AB34),0),ROUND(PRODUCT(T35,AB7:AB34),1))</f>
        <v>#DIV/0!</v>
      </c>
      <c r="U36" s="4590"/>
      <c r="V36" s="4590" t="e">
        <f>IF(F1="售价",ROUND(PRODUCT(V35,AC7:AC34),0),ROUND(PRODUCT(V35,AC7:AC34),1))</f>
        <v>#DIV/0!</v>
      </c>
      <c r="W36" s="4590"/>
      <c r="X36" s="265"/>
      <c r="Y36" s="265"/>
      <c r="Z36" s="265"/>
      <c r="AA36" s="265"/>
      <c r="AB36" s="265"/>
      <c r="AC36" s="265"/>
    </row>
    <row r="37" spans="1:30" ht="15.75" thickBot="1">
      <c r="A37" s="291" t="s">
        <v>1699</v>
      </c>
      <c r="B37" s="292"/>
      <c r="C37" s="3745" t="e">
        <f>R37</f>
        <v>#DIV/0!</v>
      </c>
      <c r="D37" s="241"/>
      <c r="E37" s="241"/>
      <c r="F37" s="241"/>
      <c r="G37" s="241"/>
      <c r="H37" s="241"/>
      <c r="I37" s="241"/>
      <c r="J37" s="241"/>
      <c r="K37" s="487"/>
      <c r="L37" s="1982"/>
      <c r="M37" s="1975"/>
      <c r="N37" s="1975"/>
      <c r="O37" s="1975"/>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1700</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1701</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1702</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1703</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1584</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1621</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1586</v>
      </c>
      <c r="B49" s="307"/>
      <c r="C49" s="319" t="s">
        <v>1681</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1624</v>
      </c>
      <c r="B51" s="322" t="s">
        <v>1590</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1593</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3864</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1595</v>
      </c>
      <c r="B61" s="322" t="s">
        <v>1631</v>
      </c>
      <c r="C61" s="364" t="s">
        <v>1626</v>
      </c>
      <c r="D61" s="364" t="s">
        <v>1627</v>
      </c>
      <c r="E61" s="364" t="s">
        <v>1628</v>
      </c>
      <c r="F61" s="364" t="s">
        <v>1629</v>
      </c>
      <c r="G61" s="364" t="s">
        <v>1630</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1768</v>
      </c>
      <c r="C63" s="368" t="s">
        <v>1626</v>
      </c>
      <c r="D63" s="368" t="s">
        <v>1627</v>
      </c>
      <c r="E63" s="368" t="s">
        <v>1628</v>
      </c>
      <c r="F63" s="368" t="s">
        <v>1629</v>
      </c>
      <c r="G63" s="368" t="s">
        <v>1630</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1718</v>
      </c>
      <c r="C65" s="428" t="s">
        <v>1704</v>
      </c>
      <c r="D65" s="428" t="s">
        <v>1705</v>
      </c>
      <c r="E65" s="428" t="s">
        <v>1706</v>
      </c>
      <c r="F65" s="428" t="s">
        <v>1707</v>
      </c>
      <c r="G65" s="428" t="s">
        <v>1708</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1638</v>
      </c>
      <c r="C67" s="368" t="s">
        <v>1626</v>
      </c>
      <c r="D67" s="368" t="s">
        <v>1627</v>
      </c>
      <c r="E67" s="368" t="s">
        <v>1628</v>
      </c>
      <c r="F67" s="368" t="s">
        <v>1629</v>
      </c>
      <c r="G67" s="368" t="s">
        <v>1630</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1757</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1599</v>
      </c>
      <c r="B77" s="322" t="s">
        <v>1645</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1760</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1761</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1769</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1770</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1771</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71" priority="13" stopIfTrue="1">
      <formula>$F$40="超过30%"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F7:F34 H7:H34 J7:J34">
    <cfRule type="cellIs" dxfId="68" priority="1" operator="notEqual">
      <formula>100</formula>
    </cfRule>
  </conditionalFormatting>
  <conditionalFormatting sqref="F36">
    <cfRule type="expression" dxfId="67" priority="4">
      <formula>$D$36="简单平均"</formula>
    </cfRule>
  </conditionalFormatting>
  <conditionalFormatting sqref="F40:F42 H40:H42 J40:J42">
    <cfRule type="containsText" dxfId="66" priority="14" stopIfTrue="1" operator="containsText" text="超过">
      <formula>NOT(ISERROR(SEARCH("超过",F40)))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G42">
    <cfRule type="expression" dxfId="63" priority="12" stopIfTrue="1">
      <formula>$H$54+$H$42="超过30%"</formula>
    </cfRule>
  </conditionalFormatting>
  <conditionalFormatting sqref="H36">
    <cfRule type="expression" dxfId="62" priority="3">
      <formula>$D$36="简单平均"</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J36">
    <cfRule type="expression" dxfId="5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1823</v>
      </c>
      <c r="D1" s="469"/>
      <c r="E1" s="469"/>
      <c r="F1" s="468" t="s">
        <v>1672</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3619</v>
      </c>
      <c r="B4" s="3388" t="e">
        <f>IF(B43="单位面积地价",C45,ROUND(B2*10000/'数据-汇总表'!D3,0))</f>
        <v>#DIV/0!</v>
      </c>
      <c r="C4" s="1336" t="s">
        <v>3621</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3620</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1674</v>
      </c>
      <c r="B6" s="3161"/>
      <c r="C6" s="4553" t="s">
        <v>1675</v>
      </c>
      <c r="D6" s="4554"/>
      <c r="E6" s="4555" t="s">
        <v>1676</v>
      </c>
      <c r="F6" s="4556"/>
      <c r="G6" s="4553" t="s">
        <v>1677</v>
      </c>
      <c r="H6" s="4554"/>
      <c r="I6" s="4553" t="s">
        <v>1678</v>
      </c>
      <c r="J6" s="4554"/>
      <c r="K6" s="393" t="s">
        <v>1679</v>
      </c>
      <c r="L6" s="1974"/>
      <c r="M6" s="1975"/>
      <c r="N6" s="1975"/>
      <c r="O6" s="1975"/>
      <c r="P6" s="4557" t="s">
        <v>1680</v>
      </c>
      <c r="Q6" s="4558"/>
      <c r="R6" s="4538" t="s">
        <v>1676</v>
      </c>
      <c r="S6" s="4539"/>
      <c r="T6" s="4538" t="s">
        <v>1677</v>
      </c>
      <c r="U6" s="4539"/>
      <c r="V6" s="4565" t="s">
        <v>1678</v>
      </c>
      <c r="W6" s="4565"/>
      <c r="X6" s="909"/>
      <c r="Y6" s="4568" t="s">
        <v>1680</v>
      </c>
      <c r="Z6" s="4569"/>
      <c r="AA6" s="4533" t="s">
        <v>1676</v>
      </c>
      <c r="AB6" s="4534" t="s">
        <v>1677</v>
      </c>
      <c r="AC6" s="4533" t="s">
        <v>1678</v>
      </c>
    </row>
    <row r="7" spans="1:29" ht="15">
      <c r="A7" s="3097"/>
      <c r="B7" s="3162"/>
      <c r="C7" s="4592" t="s">
        <v>1578</v>
      </c>
      <c r="D7" s="4545"/>
      <c r="E7" s="4591" t="s">
        <v>1579</v>
      </c>
      <c r="F7" s="4543"/>
      <c r="G7" s="4592" t="s">
        <v>1580</v>
      </c>
      <c r="H7" s="4545"/>
      <c r="I7" s="4592" t="s">
        <v>1581</v>
      </c>
      <c r="J7" s="4545"/>
      <c r="K7" s="393"/>
      <c r="L7" s="1974"/>
      <c r="M7" s="1975"/>
      <c r="N7" s="1975"/>
      <c r="O7" s="1975"/>
      <c r="P7" s="4559"/>
      <c r="Q7" s="4560"/>
      <c r="R7" s="4540"/>
      <c r="S7" s="4541"/>
      <c r="T7" s="4540"/>
      <c r="U7" s="4541"/>
      <c r="V7" s="4565"/>
      <c r="W7" s="4565"/>
      <c r="X7" s="909"/>
      <c r="Y7" s="4570"/>
      <c r="Z7" s="4571"/>
      <c r="AA7" s="4534"/>
      <c r="AB7" s="4534"/>
      <c r="AC7" s="4534"/>
    </row>
    <row r="8" spans="1:29" ht="15.75" thickBot="1">
      <c r="A8" s="3163"/>
      <c r="B8" s="3164"/>
      <c r="C8" s="4640" t="s">
        <v>1824</v>
      </c>
      <c r="D8" s="4641"/>
      <c r="E8" s="4642" t="s">
        <v>1824</v>
      </c>
      <c r="F8" s="4643"/>
      <c r="G8" s="4640" t="s">
        <v>1824</v>
      </c>
      <c r="H8" s="4641"/>
      <c r="I8" s="4640" t="s">
        <v>1824</v>
      </c>
      <c r="J8" s="4641"/>
      <c r="K8" s="393" t="s">
        <v>1583</v>
      </c>
      <c r="L8" s="1974"/>
      <c r="M8" s="1975"/>
      <c r="N8" s="1975"/>
      <c r="O8" s="1975"/>
      <c r="P8" s="4561"/>
      <c r="Q8" s="4562"/>
      <c r="R8" s="4540"/>
      <c r="S8" s="4541"/>
      <c r="T8" s="4563"/>
      <c r="U8" s="4564"/>
      <c r="V8" s="4565"/>
      <c r="W8" s="4565"/>
      <c r="X8" s="909"/>
      <c r="Y8" s="4572"/>
      <c r="Z8" s="4573"/>
      <c r="AA8" s="4535"/>
      <c r="AB8" s="4535"/>
      <c r="AC8" s="4535"/>
    </row>
    <row r="9" spans="1:29" s="46" customFormat="1" ht="15.75" thickBot="1">
      <c r="A9" s="3089" t="s">
        <v>1584</v>
      </c>
      <c r="B9" s="3090"/>
      <c r="C9" s="2811">
        <f>'数据-取费表'!B2</f>
        <v>46105</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566" t="s">
        <v>1585</v>
      </c>
      <c r="Q9" s="4574"/>
      <c r="R9" s="3759" t="s">
        <v>13</v>
      </c>
      <c r="S9" s="3542">
        <f t="shared" ref="S9:S17" si="0">F9</f>
        <v>0</v>
      </c>
      <c r="T9" s="3759" t="s">
        <v>13</v>
      </c>
      <c r="U9" s="3542">
        <f t="shared" ref="U9:U17" si="1">H9</f>
        <v>0</v>
      </c>
      <c r="V9" s="3759" t="s">
        <v>13</v>
      </c>
      <c r="W9" s="3542">
        <f t="shared" ref="W9:W17" si="2">J9</f>
        <v>0</v>
      </c>
      <c r="X9" s="482"/>
      <c r="Y9" s="4536" t="s">
        <v>1585</v>
      </c>
      <c r="Z9" s="4537"/>
      <c r="AA9" s="28" t="e">
        <f>D9/F9</f>
        <v>#DIV/0!</v>
      </c>
      <c r="AB9" s="28" t="e">
        <f>D9/H9</f>
        <v>#DIV/0!</v>
      </c>
      <c r="AC9" s="28" t="e">
        <f>D9/J9</f>
        <v>#DIV/0!</v>
      </c>
    </row>
    <row r="10" spans="1:29" s="46" customFormat="1" ht="15.75" thickBot="1">
      <c r="A10" s="3089" t="s">
        <v>1586</v>
      </c>
      <c r="B10" s="3090"/>
      <c r="C10" s="2812" t="s">
        <v>1587</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66" t="s">
        <v>1588</v>
      </c>
      <c r="Q10" s="4567"/>
      <c r="R10" s="3759" t="s">
        <v>13</v>
      </c>
      <c r="S10" s="3542">
        <f t="shared" si="0"/>
        <v>0</v>
      </c>
      <c r="T10" s="3759" t="s">
        <v>13</v>
      </c>
      <c r="U10" s="3542">
        <f t="shared" si="1"/>
        <v>0</v>
      </c>
      <c r="V10" s="3759" t="s">
        <v>13</v>
      </c>
      <c r="W10" s="3542">
        <f t="shared" si="2"/>
        <v>0</v>
      </c>
      <c r="X10" s="482"/>
      <c r="Y10" s="4536" t="s">
        <v>1588</v>
      </c>
      <c r="Z10" s="4537"/>
      <c r="AA10" s="28" t="e">
        <f t="shared" ref="AA10:AA42" si="3">D10/F10</f>
        <v>#DIV/0!</v>
      </c>
      <c r="AB10" s="28" t="e">
        <f t="shared" ref="AB10:AB42" si="4">D10/H10</f>
        <v>#DIV/0!</v>
      </c>
      <c r="AC10" s="28" t="e">
        <f t="shared" ref="AC10:AC42" si="5">D10/J10</f>
        <v>#DIV/0!</v>
      </c>
    </row>
    <row r="11" spans="1:29" s="46" customFormat="1">
      <c r="A11" s="3029" t="s">
        <v>1589</v>
      </c>
      <c r="B11" s="2792" t="s">
        <v>1590</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51" t="s">
        <v>1591</v>
      </c>
      <c r="Q11" s="1698" t="str">
        <f t="shared" ref="Q11:Q17" si="6">B11</f>
        <v>用途</v>
      </c>
      <c r="R11" s="3759" t="s">
        <v>13</v>
      </c>
      <c r="S11" s="3542">
        <f t="shared" si="0"/>
        <v>100</v>
      </c>
      <c r="T11" s="3759" t="s">
        <v>13</v>
      </c>
      <c r="U11" s="3542">
        <f t="shared" si="1"/>
        <v>100</v>
      </c>
      <c r="V11" s="3759" t="s">
        <v>13</v>
      </c>
      <c r="W11" s="3542">
        <f t="shared" si="2"/>
        <v>100</v>
      </c>
      <c r="X11" s="482"/>
      <c r="Y11" s="4552" t="s">
        <v>1592</v>
      </c>
      <c r="Z11" s="28" t="str">
        <f t="shared" ref="Z11:Z17" si="7">Q11</f>
        <v>用途</v>
      </c>
      <c r="AA11" s="28">
        <f t="shared" si="3"/>
        <v>1</v>
      </c>
      <c r="AB11" s="28">
        <f t="shared" si="4"/>
        <v>1</v>
      </c>
      <c r="AC11" s="28">
        <f t="shared" si="5"/>
        <v>1</v>
      </c>
    </row>
    <row r="12" spans="1:29" s="253" customFormat="1" ht="27">
      <c r="A12" s="3092"/>
      <c r="B12" s="2789" t="s">
        <v>1593</v>
      </c>
      <c r="C12" s="2816"/>
      <c r="D12" s="2888">
        <v>100</v>
      </c>
      <c r="E12" s="2816"/>
      <c r="F12" s="3731">
        <f>ROUND(100/'数据-取费表'!G16,1)</f>
        <v>102.7</v>
      </c>
      <c r="G12" s="2816"/>
      <c r="H12" s="3731">
        <f>ROUND(100/'数据-取费表'!G16,1)</f>
        <v>102.7</v>
      </c>
      <c r="I12" s="2816"/>
      <c r="J12" s="3731">
        <f>ROUND(100/'数据-取费表'!G16,1)</f>
        <v>102.7</v>
      </c>
      <c r="K12" s="434"/>
      <c r="L12" s="1977"/>
      <c r="M12" s="1978"/>
      <c r="N12" s="1978"/>
      <c r="O12" s="2029"/>
      <c r="P12" s="4551"/>
      <c r="Q12" s="1698" t="str">
        <f t="shared" si="6"/>
        <v>土地使用年限（年）</v>
      </c>
      <c r="R12" s="3759" t="s">
        <v>13</v>
      </c>
      <c r="S12" s="3542">
        <f t="shared" si="0"/>
        <v>102.7</v>
      </c>
      <c r="T12" s="3759" t="s">
        <v>13</v>
      </c>
      <c r="U12" s="3542">
        <f t="shared" si="1"/>
        <v>102.7</v>
      </c>
      <c r="V12" s="3759" t="s">
        <v>13</v>
      </c>
      <c r="W12" s="3542">
        <f t="shared" si="2"/>
        <v>102.7</v>
      </c>
      <c r="X12" s="482"/>
      <c r="Y12" s="4552"/>
      <c r="Z12" s="28" t="str">
        <f t="shared" si="7"/>
        <v>土地使用年限（年）</v>
      </c>
      <c r="AA12" s="28">
        <f t="shared" si="3"/>
        <v>0.97370983446932813</v>
      </c>
      <c r="AB12" s="28">
        <f t="shared" si="4"/>
        <v>0.97370983446932813</v>
      </c>
      <c r="AC12" s="28">
        <f t="shared" si="5"/>
        <v>0.97370983446932813</v>
      </c>
    </row>
    <row r="13" spans="1:29" ht="15">
      <c r="A13" s="3093"/>
      <c r="B13" s="2789" t="s">
        <v>1594</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51"/>
      <c r="Q13" s="1698" t="str">
        <f t="shared" si="6"/>
        <v>容积率</v>
      </c>
      <c r="R13" s="3759" t="s">
        <v>13</v>
      </c>
      <c r="S13" s="3542" t="e">
        <f t="shared" si="0"/>
        <v>#N/A</v>
      </c>
      <c r="T13" s="3759" t="s">
        <v>13</v>
      </c>
      <c r="U13" s="3542" t="e">
        <f t="shared" si="1"/>
        <v>#N/A</v>
      </c>
      <c r="V13" s="3759" t="s">
        <v>13</v>
      </c>
      <c r="W13" s="3542" t="e">
        <f t="shared" si="2"/>
        <v>#N/A</v>
      </c>
      <c r="X13" s="482"/>
      <c r="Y13" s="4552"/>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51"/>
      <c r="Q14" s="1698">
        <f t="shared" si="6"/>
        <v>111</v>
      </c>
      <c r="R14" s="3759" t="s">
        <v>13</v>
      </c>
      <c r="S14" s="3542">
        <f t="shared" si="0"/>
        <v>100</v>
      </c>
      <c r="T14" s="3759" t="s">
        <v>13</v>
      </c>
      <c r="U14" s="3542">
        <f t="shared" si="1"/>
        <v>100</v>
      </c>
      <c r="V14" s="3759" t="s">
        <v>13</v>
      </c>
      <c r="W14" s="3542">
        <f t="shared" si="2"/>
        <v>100</v>
      </c>
      <c r="X14" s="482"/>
      <c r="Y14" s="4552"/>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51"/>
      <c r="Q15" s="1698">
        <f t="shared" si="6"/>
        <v>111</v>
      </c>
      <c r="R15" s="3759" t="s">
        <v>13</v>
      </c>
      <c r="S15" s="3542">
        <f t="shared" si="0"/>
        <v>100</v>
      </c>
      <c r="T15" s="3759" t="s">
        <v>13</v>
      </c>
      <c r="U15" s="3542">
        <f t="shared" si="1"/>
        <v>100</v>
      </c>
      <c r="V15" s="3759" t="s">
        <v>13</v>
      </c>
      <c r="W15" s="3542">
        <f t="shared" si="2"/>
        <v>100</v>
      </c>
      <c r="X15" s="482"/>
      <c r="Y15" s="4552"/>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51"/>
      <c r="Q16" s="1698">
        <f t="shared" si="6"/>
        <v>111</v>
      </c>
      <c r="R16" s="3759" t="s">
        <v>13</v>
      </c>
      <c r="S16" s="3542">
        <f t="shared" si="0"/>
        <v>100</v>
      </c>
      <c r="T16" s="3759" t="s">
        <v>13</v>
      </c>
      <c r="U16" s="3542">
        <f t="shared" si="1"/>
        <v>100</v>
      </c>
      <c r="V16" s="3759" t="s">
        <v>13</v>
      </c>
      <c r="W16" s="3542">
        <f t="shared" si="2"/>
        <v>100</v>
      </c>
      <c r="X16" s="482"/>
      <c r="Y16" s="4552"/>
      <c r="Z16" s="28">
        <f t="shared" si="7"/>
        <v>111</v>
      </c>
      <c r="AA16" s="28">
        <f t="shared" si="3"/>
        <v>1</v>
      </c>
      <c r="AB16" s="28">
        <f t="shared" si="4"/>
        <v>1</v>
      </c>
      <c r="AC16" s="28">
        <f t="shared" si="5"/>
        <v>1</v>
      </c>
    </row>
    <row r="17" spans="1:29" ht="15">
      <c r="A17" s="3096" t="s">
        <v>1595</v>
      </c>
      <c r="B17" s="3165" t="s">
        <v>1825</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575" t="s">
        <v>1596</v>
      </c>
      <c r="Q17" s="1507" t="str">
        <f t="shared" si="6"/>
        <v>产业集聚程度</v>
      </c>
      <c r="R17" s="3760" t="s">
        <v>13</v>
      </c>
      <c r="S17" s="3762">
        <f t="shared" si="0"/>
        <v>100</v>
      </c>
      <c r="T17" s="3760" t="s">
        <v>13</v>
      </c>
      <c r="U17" s="3762">
        <f t="shared" si="1"/>
        <v>100</v>
      </c>
      <c r="V17" s="3760" t="s">
        <v>13</v>
      </c>
      <c r="W17" s="3762">
        <f t="shared" si="2"/>
        <v>100</v>
      </c>
      <c r="X17" s="909"/>
      <c r="Y17" s="4577" t="s">
        <v>1596</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576"/>
      <c r="Q18" s="1507"/>
      <c r="R18" s="3760"/>
      <c r="S18" s="3762"/>
      <c r="T18" s="3760"/>
      <c r="U18" s="3762"/>
      <c r="V18" s="3760"/>
      <c r="W18" s="3762"/>
      <c r="X18" s="909"/>
      <c r="Y18" s="4578"/>
      <c r="Z18" s="907"/>
      <c r="AA18" s="907">
        <v>1</v>
      </c>
      <c r="AB18" s="907">
        <v>1</v>
      </c>
      <c r="AC18" s="907">
        <v>1</v>
      </c>
    </row>
    <row r="19" spans="1:29" ht="15">
      <c r="A19" s="3093"/>
      <c r="B19" s="3167" t="s">
        <v>1738</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576"/>
      <c r="Q19" s="1507" t="str">
        <f>B19</f>
        <v>交通便捷度</v>
      </c>
      <c r="R19" s="3760" t="s">
        <v>13</v>
      </c>
      <c r="S19" s="3762">
        <f>F19</f>
        <v>100</v>
      </c>
      <c r="T19" s="3760" t="s">
        <v>13</v>
      </c>
      <c r="U19" s="3762">
        <f>H19</f>
        <v>100</v>
      </c>
      <c r="V19" s="3760" t="s">
        <v>13</v>
      </c>
      <c r="W19" s="3762">
        <f>J19</f>
        <v>100</v>
      </c>
      <c r="X19" s="909"/>
      <c r="Y19" s="4578"/>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576"/>
      <c r="Q20" s="1507"/>
      <c r="R20" s="3760"/>
      <c r="S20" s="3762"/>
      <c r="T20" s="3760"/>
      <c r="U20" s="3762"/>
      <c r="V20" s="3760"/>
      <c r="W20" s="3762"/>
      <c r="X20" s="909"/>
      <c r="Y20" s="4578"/>
      <c r="Z20" s="907"/>
      <c r="AA20" s="907">
        <v>1</v>
      </c>
      <c r="AB20" s="907">
        <v>1</v>
      </c>
      <c r="AC20" s="907">
        <v>1</v>
      </c>
    </row>
    <row r="21" spans="1:29" ht="15">
      <c r="A21" s="3093"/>
      <c r="B21" s="3167" t="s">
        <v>1776</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576"/>
      <c r="Q21" s="1507" t="str">
        <f t="shared" ref="Q21:Q35" si="8">B21</f>
        <v>区域土地利用方向</v>
      </c>
      <c r="R21" s="3760" t="s">
        <v>13</v>
      </c>
      <c r="S21" s="3762">
        <f>F21</f>
        <v>100</v>
      </c>
      <c r="T21" s="3760" t="s">
        <v>13</v>
      </c>
      <c r="U21" s="3762">
        <f>H21</f>
        <v>100</v>
      </c>
      <c r="V21" s="3760" t="s">
        <v>13</v>
      </c>
      <c r="W21" s="3762">
        <f>J21</f>
        <v>100</v>
      </c>
      <c r="X21" s="909"/>
      <c r="Y21" s="4578"/>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576"/>
      <c r="Q22" s="1507"/>
      <c r="R22" s="3760"/>
      <c r="S22" s="3762"/>
      <c r="T22" s="3760"/>
      <c r="U22" s="3762"/>
      <c r="V22" s="3760"/>
      <c r="W22" s="3762"/>
      <c r="X22" s="909"/>
      <c r="Y22" s="4578"/>
      <c r="Z22" s="907"/>
      <c r="AA22" s="907"/>
      <c r="AB22" s="907"/>
      <c r="AC22" s="907"/>
    </row>
    <row r="23" spans="1:29" ht="15">
      <c r="A23" s="3097"/>
      <c r="B23" s="3167" t="s">
        <v>1826</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576"/>
      <c r="Q23" s="1507" t="str">
        <f t="shared" si="8"/>
        <v>环境状况</v>
      </c>
      <c r="R23" s="3760" t="s">
        <v>13</v>
      </c>
      <c r="S23" s="3762">
        <f>F23</f>
        <v>100</v>
      </c>
      <c r="T23" s="3760" t="s">
        <v>13</v>
      </c>
      <c r="U23" s="3762">
        <f>H23</f>
        <v>100</v>
      </c>
      <c r="V23" s="3760" t="s">
        <v>13</v>
      </c>
      <c r="W23" s="3762">
        <f>J23</f>
        <v>100</v>
      </c>
      <c r="X23" s="909"/>
      <c r="Y23" s="4578"/>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576"/>
      <c r="Q24" s="1507"/>
      <c r="R24" s="3760"/>
      <c r="S24" s="3762"/>
      <c r="T24" s="3760"/>
      <c r="U24" s="3762"/>
      <c r="V24" s="3760"/>
      <c r="W24" s="3762"/>
      <c r="X24" s="909"/>
      <c r="Y24" s="4578"/>
      <c r="Z24" s="907"/>
      <c r="AA24" s="907">
        <v>1</v>
      </c>
      <c r="AB24" s="907">
        <v>1</v>
      </c>
      <c r="AC24" s="907">
        <v>1</v>
      </c>
    </row>
    <row r="25" spans="1:29" s="46" customFormat="1" ht="15">
      <c r="A25" s="3099"/>
      <c r="B25" s="3169" t="s">
        <v>1683</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576"/>
      <c r="Q25" s="1698" t="str">
        <f t="shared" si="8"/>
        <v>公共配套设施</v>
      </c>
      <c r="R25" s="3759" t="s">
        <v>13</v>
      </c>
      <c r="S25" s="3542">
        <f>F25</f>
        <v>100</v>
      </c>
      <c r="T25" s="3759" t="s">
        <v>13</v>
      </c>
      <c r="U25" s="3542">
        <f>H25</f>
        <v>100</v>
      </c>
      <c r="V25" s="3759" t="s">
        <v>13</v>
      </c>
      <c r="W25" s="3542">
        <f>J25</f>
        <v>100</v>
      </c>
      <c r="X25" s="482"/>
      <c r="Y25" s="4578"/>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576"/>
      <c r="Q26" s="1698"/>
      <c r="R26" s="3759"/>
      <c r="S26" s="3542"/>
      <c r="T26" s="3759"/>
      <c r="U26" s="3542"/>
      <c r="V26" s="3759"/>
      <c r="W26" s="3542"/>
      <c r="X26" s="482"/>
      <c r="Y26" s="4578"/>
      <c r="Z26" s="28"/>
      <c r="AA26" s="28">
        <v>1</v>
      </c>
      <c r="AB26" s="28">
        <v>1</v>
      </c>
      <c r="AC26" s="28">
        <v>1</v>
      </c>
    </row>
    <row r="27" spans="1:29" s="46" customFormat="1" ht="15">
      <c r="A27" s="3099"/>
      <c r="B27" s="3169" t="s">
        <v>1684</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576"/>
      <c r="Q27" s="1698" t="str">
        <f t="shared" ref="Q27" si="9">B27</f>
        <v>基础设施水平</v>
      </c>
      <c r="R27" s="3759" t="s">
        <v>13</v>
      </c>
      <c r="S27" s="3542">
        <f>F27</f>
        <v>100</v>
      </c>
      <c r="T27" s="3759" t="s">
        <v>13</v>
      </c>
      <c r="U27" s="3542">
        <f>H27</f>
        <v>100</v>
      </c>
      <c r="V27" s="3759" t="s">
        <v>13</v>
      </c>
      <c r="W27" s="3542">
        <f>J27</f>
        <v>100</v>
      </c>
      <c r="X27" s="482"/>
      <c r="Y27" s="4578"/>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576"/>
      <c r="Q28" s="1698"/>
      <c r="R28" s="3759"/>
      <c r="S28" s="3542"/>
      <c r="T28" s="3759"/>
      <c r="U28" s="3542"/>
      <c r="V28" s="3759"/>
      <c r="W28" s="3542"/>
      <c r="X28" s="482"/>
      <c r="Y28" s="4578"/>
      <c r="Z28" s="28"/>
      <c r="AA28" s="28">
        <v>1</v>
      </c>
      <c r="AB28" s="28">
        <v>1</v>
      </c>
      <c r="AC28" s="28">
        <v>1</v>
      </c>
    </row>
    <row r="29" spans="1:29" ht="15">
      <c r="A29" s="3093"/>
      <c r="B29" s="3168" t="s">
        <v>1685</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576"/>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78"/>
      <c r="Z29" s="907" t="str">
        <f t="shared" ref="Z29:Z42" si="13">Q29</f>
        <v>临街状况</v>
      </c>
      <c r="AA29" s="907">
        <f t="shared" si="3"/>
        <v>1</v>
      </c>
      <c r="AB29" s="907">
        <f t="shared" si="4"/>
        <v>1</v>
      </c>
      <c r="AC29" s="907">
        <f t="shared" si="5"/>
        <v>1</v>
      </c>
    </row>
    <row r="30" spans="1:29" ht="27">
      <c r="A30" s="3093"/>
      <c r="B30" s="3169" t="s">
        <v>1720</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576"/>
      <c r="Q30" s="1507" t="str">
        <f t="shared" si="8"/>
        <v>毗邻道路的类型与等级</v>
      </c>
      <c r="R30" s="3760" t="s">
        <v>13</v>
      </c>
      <c r="S30" s="3762">
        <f t="shared" si="10"/>
        <v>100</v>
      </c>
      <c r="T30" s="3760" t="s">
        <v>13</v>
      </c>
      <c r="U30" s="3762">
        <f t="shared" si="11"/>
        <v>100</v>
      </c>
      <c r="V30" s="3760" t="s">
        <v>13</v>
      </c>
      <c r="W30" s="3762">
        <f t="shared" si="12"/>
        <v>100</v>
      </c>
      <c r="X30" s="909"/>
      <c r="Y30" s="4578"/>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576"/>
      <c r="Q31" s="1507"/>
      <c r="R31" s="3760"/>
      <c r="S31" s="3762"/>
      <c r="T31" s="3760"/>
      <c r="U31" s="3762"/>
      <c r="V31" s="3760"/>
      <c r="W31" s="3762"/>
      <c r="X31" s="909"/>
      <c r="Y31" s="4578"/>
      <c r="Z31" s="907"/>
      <c r="AA31" s="907">
        <v>1</v>
      </c>
      <c r="AB31" s="907">
        <v>1</v>
      </c>
      <c r="AC31" s="907">
        <v>1</v>
      </c>
    </row>
    <row r="32" spans="1:29" ht="15">
      <c r="A32" s="3093"/>
      <c r="B32" s="3170" t="s">
        <v>1778</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576"/>
      <c r="Q32" s="1507" t="str">
        <f t="shared" si="8"/>
        <v>土地级别</v>
      </c>
      <c r="R32" s="3760" t="s">
        <v>13</v>
      </c>
      <c r="S32" s="3762">
        <f t="shared" si="10"/>
        <v>100</v>
      </c>
      <c r="T32" s="3760" t="s">
        <v>13</v>
      </c>
      <c r="U32" s="3762">
        <f t="shared" si="11"/>
        <v>100</v>
      </c>
      <c r="V32" s="3760" t="s">
        <v>13</v>
      </c>
      <c r="W32" s="3762">
        <f t="shared" si="12"/>
        <v>100</v>
      </c>
      <c r="X32" s="909"/>
      <c r="Y32" s="4578"/>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576"/>
      <c r="Q33" s="1507">
        <f t="shared" si="8"/>
        <v>111</v>
      </c>
      <c r="R33" s="3760" t="s">
        <v>13</v>
      </c>
      <c r="S33" s="3762">
        <f t="shared" si="10"/>
        <v>100</v>
      </c>
      <c r="T33" s="3760" t="s">
        <v>13</v>
      </c>
      <c r="U33" s="3762">
        <f t="shared" si="11"/>
        <v>100</v>
      </c>
      <c r="V33" s="3760" t="s">
        <v>13</v>
      </c>
      <c r="W33" s="3762">
        <f t="shared" si="12"/>
        <v>100</v>
      </c>
      <c r="X33" s="909"/>
      <c r="Y33" s="4578"/>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579" t="s">
        <v>1601</v>
      </c>
      <c r="Q34" s="1507">
        <f t="shared" si="8"/>
        <v>111</v>
      </c>
      <c r="R34" s="3760" t="s">
        <v>13</v>
      </c>
      <c r="S34" s="3762">
        <f t="shared" si="10"/>
        <v>100</v>
      </c>
      <c r="T34" s="3760" t="s">
        <v>13</v>
      </c>
      <c r="U34" s="3762">
        <f t="shared" si="11"/>
        <v>100</v>
      </c>
      <c r="V34" s="3760" t="s">
        <v>13</v>
      </c>
      <c r="W34" s="3762">
        <f t="shared" si="12"/>
        <v>100</v>
      </c>
      <c r="X34" s="909"/>
      <c r="Y34" s="4581" t="s">
        <v>1601</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580"/>
      <c r="Q35" s="1507">
        <f t="shared" si="8"/>
        <v>111</v>
      </c>
      <c r="R35" s="3761" t="s">
        <v>13</v>
      </c>
      <c r="S35" s="3763">
        <f t="shared" si="10"/>
        <v>100</v>
      </c>
      <c r="T35" s="3761" t="s">
        <v>13</v>
      </c>
      <c r="U35" s="3763">
        <f t="shared" si="11"/>
        <v>100</v>
      </c>
      <c r="V35" s="3761" t="s">
        <v>13</v>
      </c>
      <c r="W35" s="3763">
        <f t="shared" si="12"/>
        <v>100</v>
      </c>
      <c r="X35" s="484"/>
      <c r="Y35" s="4581"/>
      <c r="Z35" s="485">
        <f t="shared" si="13"/>
        <v>111</v>
      </c>
      <c r="AA35" s="907">
        <f t="shared" si="3"/>
        <v>1</v>
      </c>
      <c r="AB35" s="907">
        <f t="shared" si="4"/>
        <v>1</v>
      </c>
      <c r="AC35" s="907">
        <f t="shared" si="5"/>
        <v>1</v>
      </c>
    </row>
    <row r="36" spans="1:31" ht="15">
      <c r="A36" s="3096" t="s">
        <v>1599</v>
      </c>
      <c r="B36" s="2798" t="s">
        <v>1779</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580"/>
      <c r="Q36" s="1507" t="str">
        <f>B36</f>
        <v>宗地面积</v>
      </c>
      <c r="R36" s="3760" t="s">
        <v>13</v>
      </c>
      <c r="S36" s="3762" t="e">
        <f t="shared" si="10"/>
        <v>#N/A</v>
      </c>
      <c r="T36" s="3760" t="s">
        <v>13</v>
      </c>
      <c r="U36" s="3762" t="e">
        <f t="shared" si="11"/>
        <v>#N/A</v>
      </c>
      <c r="V36" s="3760" t="s">
        <v>13</v>
      </c>
      <c r="W36" s="3762" t="e">
        <f t="shared" si="12"/>
        <v>#N/A</v>
      </c>
      <c r="X36" s="909"/>
      <c r="Y36" s="4581"/>
      <c r="Z36" s="907" t="str">
        <f t="shared" si="13"/>
        <v>宗地面积</v>
      </c>
      <c r="AA36" s="907" t="e">
        <f t="shared" si="3"/>
        <v>#N/A</v>
      </c>
      <c r="AB36" s="907" t="e">
        <f t="shared" si="4"/>
        <v>#N/A</v>
      </c>
      <c r="AC36" s="907" t="e">
        <f t="shared" si="5"/>
        <v>#N/A</v>
      </c>
    </row>
    <row r="37" spans="1:31" ht="15">
      <c r="A37" s="3107"/>
      <c r="B37" s="2789" t="s">
        <v>1780</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580"/>
      <c r="Q37" s="1507" t="str">
        <f t="shared" ref="Q37:Q42" si="14">B37</f>
        <v>宗地形状</v>
      </c>
      <c r="R37" s="3760" t="s">
        <v>13</v>
      </c>
      <c r="S37" s="3762">
        <f t="shared" si="10"/>
        <v>100</v>
      </c>
      <c r="T37" s="3760" t="s">
        <v>13</v>
      </c>
      <c r="U37" s="3762">
        <f t="shared" si="11"/>
        <v>100</v>
      </c>
      <c r="V37" s="3760" t="s">
        <v>13</v>
      </c>
      <c r="W37" s="3762">
        <f t="shared" si="12"/>
        <v>100</v>
      </c>
      <c r="X37" s="909"/>
      <c r="Y37" s="4581"/>
      <c r="Z37" s="907" t="str">
        <f t="shared" si="13"/>
        <v>宗地形状</v>
      </c>
      <c r="AA37" s="907">
        <f t="shared" si="3"/>
        <v>1</v>
      </c>
      <c r="AB37" s="907">
        <f t="shared" si="4"/>
        <v>1</v>
      </c>
      <c r="AC37" s="907">
        <f t="shared" si="5"/>
        <v>1</v>
      </c>
    </row>
    <row r="38" spans="1:31" s="46" customFormat="1" ht="15">
      <c r="A38" s="3109"/>
      <c r="B38" s="2789" t="s">
        <v>1782</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580"/>
      <c r="Q38" s="1507" t="str">
        <f t="shared" si="14"/>
        <v>宗地开发程度</v>
      </c>
      <c r="R38" s="3759" t="s">
        <v>13</v>
      </c>
      <c r="S38" s="3542">
        <f t="shared" si="10"/>
        <v>100</v>
      </c>
      <c r="T38" s="3759" t="s">
        <v>13</v>
      </c>
      <c r="U38" s="3542">
        <f t="shared" si="11"/>
        <v>100</v>
      </c>
      <c r="V38" s="3759" t="s">
        <v>13</v>
      </c>
      <c r="W38" s="3542">
        <f t="shared" si="12"/>
        <v>100</v>
      </c>
      <c r="X38" s="482"/>
      <c r="Y38" s="4581"/>
      <c r="Z38" s="28" t="str">
        <f t="shared" si="13"/>
        <v>宗地开发程度</v>
      </c>
      <c r="AA38" s="28">
        <f t="shared" si="3"/>
        <v>1</v>
      </c>
      <c r="AB38" s="28">
        <f t="shared" si="4"/>
        <v>1</v>
      </c>
      <c r="AC38" s="28">
        <f t="shared" si="5"/>
        <v>1</v>
      </c>
    </row>
    <row r="39" spans="1:31" ht="15">
      <c r="A39" s="3107"/>
      <c r="B39" s="2789" t="s">
        <v>1783</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580" t="s">
        <v>1601</v>
      </c>
      <c r="Q39" s="1507" t="str">
        <f t="shared" si="14"/>
        <v>工程地质条件</v>
      </c>
      <c r="R39" s="3760" t="s">
        <v>13</v>
      </c>
      <c r="S39" s="3762">
        <f t="shared" si="10"/>
        <v>100</v>
      </c>
      <c r="T39" s="3760" t="s">
        <v>13</v>
      </c>
      <c r="U39" s="3762">
        <f t="shared" si="11"/>
        <v>100</v>
      </c>
      <c r="V39" s="3760" t="s">
        <v>13</v>
      </c>
      <c r="W39" s="3762">
        <f t="shared" si="12"/>
        <v>100</v>
      </c>
      <c r="X39" s="909"/>
      <c r="Y39" s="4581" t="s">
        <v>1601</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580"/>
      <c r="Q40" s="1507">
        <f t="shared" si="14"/>
        <v>111</v>
      </c>
      <c r="R40" s="3760" t="s">
        <v>13</v>
      </c>
      <c r="S40" s="3762">
        <f t="shared" si="10"/>
        <v>100</v>
      </c>
      <c r="T40" s="3760" t="s">
        <v>13</v>
      </c>
      <c r="U40" s="3762">
        <f t="shared" si="11"/>
        <v>100</v>
      </c>
      <c r="V40" s="3760" t="s">
        <v>13</v>
      </c>
      <c r="W40" s="3762">
        <f t="shared" si="12"/>
        <v>100</v>
      </c>
      <c r="X40" s="909"/>
      <c r="Y40" s="4581"/>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580"/>
      <c r="Q41" s="1507">
        <f t="shared" si="14"/>
        <v>111</v>
      </c>
      <c r="R41" s="3760" t="s">
        <v>13</v>
      </c>
      <c r="S41" s="3762">
        <f t="shared" si="10"/>
        <v>100</v>
      </c>
      <c r="T41" s="3760" t="s">
        <v>13</v>
      </c>
      <c r="U41" s="3762">
        <f t="shared" si="11"/>
        <v>100</v>
      </c>
      <c r="V41" s="3760" t="s">
        <v>13</v>
      </c>
      <c r="W41" s="3762">
        <f t="shared" si="12"/>
        <v>100</v>
      </c>
      <c r="X41" s="909"/>
      <c r="Y41" s="4581"/>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580"/>
      <c r="Q42" s="1507">
        <f t="shared" si="14"/>
        <v>111</v>
      </c>
      <c r="R42" s="3761" t="s">
        <v>13</v>
      </c>
      <c r="S42" s="3763">
        <f t="shared" si="10"/>
        <v>100</v>
      </c>
      <c r="T42" s="3761" t="s">
        <v>13</v>
      </c>
      <c r="U42" s="3763">
        <f t="shared" si="11"/>
        <v>100</v>
      </c>
      <c r="V42" s="3761" t="s">
        <v>13</v>
      </c>
      <c r="W42" s="3763">
        <f t="shared" si="12"/>
        <v>100</v>
      </c>
      <c r="X42" s="484"/>
      <c r="Y42" s="4581"/>
      <c r="Z42" s="485">
        <f t="shared" si="13"/>
        <v>111</v>
      </c>
      <c r="AA42" s="907">
        <f t="shared" si="3"/>
        <v>1</v>
      </c>
      <c r="AB42" s="907">
        <f t="shared" si="4"/>
        <v>1</v>
      </c>
      <c r="AC42" s="907">
        <f t="shared" si="5"/>
        <v>1</v>
      </c>
    </row>
    <row r="43" spans="1:31" ht="15">
      <c r="A43" s="286" t="s">
        <v>1749</v>
      </c>
      <c r="B43" s="1430" t="s">
        <v>1827</v>
      </c>
      <c r="C43" s="439" t="s">
        <v>0</v>
      </c>
      <c r="D43" s="3176"/>
      <c r="E43" s="3205"/>
      <c r="F43" s="3153"/>
      <c r="G43" s="3206"/>
      <c r="H43" s="3154"/>
      <c r="I43" s="3205"/>
      <c r="J43" s="3154"/>
      <c r="K43" s="2862"/>
      <c r="L43" s="1982"/>
      <c r="M43" s="1975"/>
      <c r="N43" s="1975"/>
      <c r="O43" s="1975"/>
      <c r="P43" s="4551" t="str">
        <f>A43</f>
        <v>成交单价</v>
      </c>
      <c r="Q43" s="4551"/>
      <c r="R43" s="4582">
        <f>E43</f>
        <v>0</v>
      </c>
      <c r="S43" s="4582"/>
      <c r="T43" s="4582">
        <f>G43</f>
        <v>0</v>
      </c>
      <c r="U43" s="4582"/>
      <c r="V43" s="4582">
        <f>I43</f>
        <v>0</v>
      </c>
      <c r="W43" s="4582"/>
      <c r="X43" s="265"/>
      <c r="Y43" s="486"/>
      <c r="Z43" s="265"/>
      <c r="AA43" s="265"/>
      <c r="AB43" s="265"/>
      <c r="AC43" s="265"/>
    </row>
    <row r="44" spans="1:31" ht="15.75" thickBot="1">
      <c r="A44" s="289" t="s">
        <v>1698</v>
      </c>
      <c r="B44" s="440"/>
      <c r="C44" s="3744" t="e">
        <f>R45</f>
        <v>#DIV/0!</v>
      </c>
      <c r="D44" s="3849" t="s">
        <v>2040</v>
      </c>
      <c r="E44" s="3744" t="e">
        <f>R44</f>
        <v>#DIV/0!</v>
      </c>
      <c r="F44" s="2801"/>
      <c r="G44" s="3733" t="e">
        <f>T44</f>
        <v>#DIV/0!</v>
      </c>
      <c r="H44" s="2801"/>
      <c r="I44" s="3744" t="e">
        <f>V44</f>
        <v>#DIV/0!</v>
      </c>
      <c r="J44" s="2801"/>
      <c r="K44" s="2855">
        <f>F44+H44+J44</f>
        <v>0</v>
      </c>
      <c r="L44" s="1982"/>
      <c r="M44" s="1975"/>
      <c r="N44" s="1975"/>
      <c r="O44" s="1975"/>
      <c r="P44" s="4551" t="str">
        <f>A44</f>
        <v>比较价值（元/平方米）</v>
      </c>
      <c r="Q44" s="4551"/>
      <c r="R44" s="4582" t="e">
        <f>ROUND(PRODUCT(R43,AA9:AA42),0)</f>
        <v>#DIV/0!</v>
      </c>
      <c r="S44" s="4582"/>
      <c r="T44" s="4582" t="e">
        <f>ROUND(PRODUCT(T43,AB9:AB42),0)</f>
        <v>#DIV/0!</v>
      </c>
      <c r="U44" s="4582"/>
      <c r="V44" s="4582" t="e">
        <f>ROUND(PRODUCT(V43,AC9:AC42),0)</f>
        <v>#DIV/0!</v>
      </c>
      <c r="W44" s="4582"/>
      <c r="X44" s="265"/>
      <c r="Y44" s="265"/>
      <c r="Z44" s="265"/>
      <c r="AA44" s="265"/>
      <c r="AB44" s="265"/>
      <c r="AC44" s="265"/>
    </row>
    <row r="45" spans="1:31" ht="15.75" thickBot="1">
      <c r="A45" s="291" t="s">
        <v>1699</v>
      </c>
      <c r="B45" s="292"/>
      <c r="C45" s="3745" t="e">
        <f>R45</f>
        <v>#DIV/0!</v>
      </c>
      <c r="D45" s="3155"/>
      <c r="E45" s="3155"/>
      <c r="F45" s="3155"/>
      <c r="G45" s="3155"/>
      <c r="H45" s="3155"/>
      <c r="I45" s="3155"/>
      <c r="J45" s="3155"/>
      <c r="K45" s="3177"/>
      <c r="L45" s="1982"/>
      <c r="M45" s="1975"/>
      <c r="N45" s="1975"/>
      <c r="O45" s="1975"/>
      <c r="P45" s="4583" t="str">
        <f>A45</f>
        <v>估价对象XX用房的比较价值（楼面单价，元/平方米）</v>
      </c>
      <c r="Q45" s="4584"/>
      <c r="R45" s="4585" t="e">
        <f>ROUND(IF(D44="简单平均",AVERAGE(R44:W44),R44*F44+T44*H44+V44*J44),0)</f>
        <v>#DIV/0!</v>
      </c>
      <c r="S45" s="4585"/>
      <c r="T45" s="4585"/>
      <c r="U45" s="4585"/>
      <c r="V45" s="4585"/>
      <c r="W45" s="458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1700</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1701</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1702</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1786</v>
      </c>
      <c r="B52" s="442" t="s">
        <v>1787</v>
      </c>
      <c r="C52" s="1431" t="s">
        <v>1788</v>
      </c>
      <c r="D52" s="1432" t="s">
        <v>1789</v>
      </c>
      <c r="E52" s="443" t="s">
        <v>1790</v>
      </c>
      <c r="F52" s="444" t="s">
        <v>1791</v>
      </c>
      <c r="G52" s="4586" t="s">
        <v>1792</v>
      </c>
      <c r="H52" s="4587"/>
      <c r="I52" s="3030" t="s">
        <v>1828</v>
      </c>
      <c r="J52" s="3030">
        <f>项目基本情况!F35</f>
        <v>0</v>
      </c>
      <c r="K52" s="1434" t="s">
        <v>1794</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1795</v>
      </c>
      <c r="B53" s="3773" t="e">
        <f>C45</f>
        <v>#DIV/0!</v>
      </c>
      <c r="C53" s="3088">
        <v>1</v>
      </c>
      <c r="D53" s="3065">
        <v>1</v>
      </c>
      <c r="E53" s="3064">
        <f>'数据-汇总表'!E8+'数据-汇总表'!E9</f>
        <v>101055</v>
      </c>
      <c r="F53" s="3067" t="e">
        <f t="shared" ref="F53:F62" si="15">ROUND(B53*E53/10000,0)</f>
        <v>#DIV/0!</v>
      </c>
      <c r="G53" s="4588"/>
      <c r="H53" s="4589"/>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1796</v>
      </c>
      <c r="B54" s="3773" t="e">
        <f>ROUND($C$45*C54*D54,0)</f>
        <v>#DIV/0!</v>
      </c>
      <c r="C54" s="3063">
        <f t="shared" ref="C54:C62" si="16">IF($C$52="北京市系数",I54,J54)</f>
        <v>0</v>
      </c>
      <c r="D54" s="3066">
        <v>0.25</v>
      </c>
      <c r="E54" s="3068"/>
      <c r="F54" s="3067" t="e">
        <f t="shared" si="15"/>
        <v>#DIV/0!</v>
      </c>
      <c r="G54" s="3075" t="s">
        <v>1797</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1798</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1799</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1800</v>
      </c>
      <c r="B58" s="3773" t="e">
        <f t="shared" si="17"/>
        <v>#DIV/0!</v>
      </c>
      <c r="C58" s="3063">
        <f t="shared" si="16"/>
        <v>0</v>
      </c>
      <c r="D58" s="3066">
        <v>0.25</v>
      </c>
      <c r="E58" s="3069">
        <f>'数据-汇总表'!E11</f>
        <v>0</v>
      </c>
      <c r="F58" s="3067" t="e">
        <f t="shared" si="15"/>
        <v>#DIV/0!</v>
      </c>
      <c r="G58" s="3078" t="s">
        <v>1801</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1802</v>
      </c>
      <c r="B59" s="3773" t="e">
        <f t="shared" si="17"/>
        <v>#DIV/0!</v>
      </c>
      <c r="C59" s="3063">
        <f t="shared" si="16"/>
        <v>0</v>
      </c>
      <c r="D59" s="3066">
        <v>0.25</v>
      </c>
      <c r="E59" s="3069">
        <f>'数据-汇总表'!E12</f>
        <v>0</v>
      </c>
      <c r="F59" s="3067" t="e">
        <f t="shared" si="15"/>
        <v>#DIV/0!</v>
      </c>
      <c r="G59" s="3079" t="s">
        <v>1803</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1804</v>
      </c>
      <c r="B60" s="3773" t="e">
        <f t="shared" si="17"/>
        <v>#DIV/0!</v>
      </c>
      <c r="C60" s="3063">
        <f t="shared" si="16"/>
        <v>0</v>
      </c>
      <c r="D60" s="3066">
        <v>0.25</v>
      </c>
      <c r="E60" s="3069">
        <f>'数据-汇总表'!E13</f>
        <v>48081</v>
      </c>
      <c r="F60" s="3067" t="e">
        <f t="shared" si="15"/>
        <v>#DIV/0!</v>
      </c>
      <c r="G60" s="3079" t="s">
        <v>1805</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1806</v>
      </c>
      <c r="B61" s="3773" t="e">
        <f t="shared" si="17"/>
        <v>#DIV/0!</v>
      </c>
      <c r="C61" s="3063">
        <f t="shared" si="16"/>
        <v>0</v>
      </c>
      <c r="D61" s="3066">
        <v>0.25</v>
      </c>
      <c r="E61" s="3069">
        <f>'数据-汇总表'!E14</f>
        <v>0</v>
      </c>
      <c r="F61" s="3067" t="e">
        <f t="shared" si="15"/>
        <v>#DIV/0!</v>
      </c>
      <c r="G61" s="3078" t="s">
        <v>1797</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1807</v>
      </c>
      <c r="B62" s="3773" t="e">
        <f t="shared" si="17"/>
        <v>#DIV/0!</v>
      </c>
      <c r="C62" s="3063">
        <f t="shared" si="16"/>
        <v>0</v>
      </c>
      <c r="D62" s="3066">
        <v>0.25</v>
      </c>
      <c r="E62" s="3069">
        <f>'数据-汇总表'!E15</f>
        <v>0</v>
      </c>
      <c r="F62" s="3067" t="e">
        <f t="shared" si="15"/>
        <v>#DIV/0!</v>
      </c>
      <c r="G62" s="3080" t="s">
        <v>1801</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1808</v>
      </c>
      <c r="B63" s="449" t="s">
        <v>20</v>
      </c>
      <c r="C63" s="449" t="s">
        <v>21</v>
      </c>
      <c r="D63" s="449" t="s">
        <v>386</v>
      </c>
      <c r="E63" s="3070">
        <f>IF(B43="楼面地价",SUM(E53:E62),'数据-汇总表'!D3)</f>
        <v>21574</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1703</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1809</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1621</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1586</v>
      </c>
      <c r="B70" s="307"/>
      <c r="C70" s="319" t="s">
        <v>1681</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1624</v>
      </c>
      <c r="B72" s="322" t="s">
        <v>1590</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1593</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1594</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1595</v>
      </c>
      <c r="B85" s="322" t="s">
        <v>1734</v>
      </c>
      <c r="C85" s="364" t="s">
        <v>1626</v>
      </c>
      <c r="D85" s="364" t="s">
        <v>1627</v>
      </c>
      <c r="E85" s="364" t="s">
        <v>1628</v>
      </c>
      <c r="F85" s="364" t="s">
        <v>1629</v>
      </c>
      <c r="G85" s="364" t="s">
        <v>1630</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1631</v>
      </c>
      <c r="C87" s="368" t="s">
        <v>1626</v>
      </c>
      <c r="D87" s="368" t="s">
        <v>1627</v>
      </c>
      <c r="E87" s="368" t="s">
        <v>1628</v>
      </c>
      <c r="F87" s="368" t="s">
        <v>1629</v>
      </c>
      <c r="G87" s="368" t="s">
        <v>1630</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1812</v>
      </c>
      <c r="C89" s="364" t="s">
        <v>1626</v>
      </c>
      <c r="D89" s="364" t="s">
        <v>1627</v>
      </c>
      <c r="E89" s="364" t="s">
        <v>1628</v>
      </c>
      <c r="F89" s="364" t="s">
        <v>1629</v>
      </c>
      <c r="G89" s="364" t="s">
        <v>1630</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1813</v>
      </c>
      <c r="C91" s="364" t="s">
        <v>1626</v>
      </c>
      <c r="D91" s="364" t="s">
        <v>1627</v>
      </c>
      <c r="E91" s="364" t="s">
        <v>1628</v>
      </c>
      <c r="F91" s="364" t="s">
        <v>1629</v>
      </c>
      <c r="G91" s="364" t="s">
        <v>1630</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1683</v>
      </c>
      <c r="C93" s="364" t="s">
        <v>1626</v>
      </c>
      <c r="D93" s="364" t="s">
        <v>1627</v>
      </c>
      <c r="E93" s="364" t="s">
        <v>1628</v>
      </c>
      <c r="F93" s="364" t="s">
        <v>1629</v>
      </c>
      <c r="G93" s="364" t="s">
        <v>1630</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1830</v>
      </c>
      <c r="C95" s="428" t="s">
        <v>1704</v>
      </c>
      <c r="D95" s="428" t="s">
        <v>1705</v>
      </c>
      <c r="E95" s="428" t="s">
        <v>1706</v>
      </c>
      <c r="F95" s="428" t="s">
        <v>1707</v>
      </c>
      <c r="G95" s="428" t="s">
        <v>1708</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1720</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1778</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1599</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1819</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1821</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1822</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57" priority="13" stopIfTrue="1">
      <formula>$F$48="超过30%"</formula>
    </cfRule>
  </conditionalFormatting>
  <conditionalFormatting sqref="E49">
    <cfRule type="expression" dxfId="56" priority="53" stopIfTrue="1">
      <formula>#REF!+$F$49="超过20%"</formula>
    </cfRule>
  </conditionalFormatting>
  <conditionalFormatting sqref="E50">
    <cfRule type="expression" dxfId="55" priority="10" stopIfTrue="1">
      <formula>$F$50="超过30%"</formula>
    </cfRule>
  </conditionalFormatting>
  <conditionalFormatting sqref="F9:F42 H9:H42 J9:J42">
    <cfRule type="cellIs" dxfId="54" priority="1" operator="notEqual">
      <formula>100</formula>
    </cfRule>
  </conditionalFormatting>
  <conditionalFormatting sqref="F44">
    <cfRule type="expression" dxfId="53" priority="4">
      <formula>$D$44="简单平均"</formula>
    </cfRule>
  </conditionalFormatting>
  <conditionalFormatting sqref="F48:F50 H48:H50 J48:J50">
    <cfRule type="containsText" dxfId="52" priority="14" stopIfTrue="1" operator="containsText" text="超过">
      <formula>NOT(ISERROR(SEARCH("超过",F48)))</formula>
    </cfRule>
  </conditionalFormatting>
  <conditionalFormatting sqref="G48">
    <cfRule type="expression" dxfId="51" priority="9" stopIfTrue="1">
      <formula>$H$48="超过30%"</formula>
    </cfRule>
  </conditionalFormatting>
  <conditionalFormatting sqref="G49">
    <cfRule type="expression" dxfId="50" priority="8" stopIfTrue="1">
      <formula>$H$49="超过20%"</formula>
    </cfRule>
  </conditionalFormatting>
  <conditionalFormatting sqref="G50">
    <cfRule type="expression" dxfId="49" priority="12" stopIfTrue="1">
      <formula>$H$50="超过30%"</formula>
    </cfRule>
  </conditionalFormatting>
  <conditionalFormatting sqref="H44">
    <cfRule type="expression" dxfId="48" priority="3">
      <formula>$D$44="简单平均"</formula>
    </cfRule>
  </conditionalFormatting>
  <conditionalFormatting sqref="I48">
    <cfRule type="expression" dxfId="47" priority="7" stopIfTrue="1">
      <formula>$J$48="超过30%"</formula>
    </cfRule>
  </conditionalFormatting>
  <conditionalFormatting sqref="I49">
    <cfRule type="expression" dxfId="46" priority="6" stopIfTrue="1">
      <formula>$J$49="超过20%"</formula>
    </cfRule>
  </conditionalFormatting>
  <conditionalFormatting sqref="I50">
    <cfRule type="expression" dxfId="45" priority="5" stopIfTrue="1">
      <formula>$J$50="超过30%"</formula>
    </cfRule>
  </conditionalFormatting>
  <conditionalFormatting sqref="J44">
    <cfRule type="expression" dxfId="44"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3DF81-FA37-4E96-A071-249B4045784E}">
  <dimension ref="A1:P26"/>
  <sheetViews>
    <sheetView topLeftCell="A25" workbookViewId="0">
      <selection activeCell="M43" sqref="M43"/>
    </sheetView>
  </sheetViews>
  <sheetFormatPr defaultRowHeight="13.5"/>
  <cols>
    <col min="1" max="1" width="34.75" style="4263" customWidth="1"/>
    <col min="2" max="2" width="7.125" style="4263" bestFit="1" customWidth="1"/>
    <col min="3" max="3" width="17.25" style="4263" bestFit="1" customWidth="1"/>
    <col min="4" max="4" width="9" style="4263"/>
    <col min="5" max="6" width="13" style="4263" bestFit="1" customWidth="1"/>
    <col min="7" max="7" width="19" style="4263" bestFit="1" customWidth="1"/>
    <col min="8" max="8" width="9" style="4263"/>
    <col min="9" max="9" width="23.625" style="4263" bestFit="1" customWidth="1"/>
    <col min="10" max="10" width="9" style="4263"/>
    <col min="11" max="11" width="11.625" style="4263" bestFit="1" customWidth="1"/>
    <col min="12" max="12" width="9" style="4263"/>
    <col min="13" max="13" width="38" style="4263" bestFit="1" customWidth="1"/>
    <col min="14" max="14" width="9" style="4263"/>
    <col min="15" max="15" width="11" style="4263" bestFit="1" customWidth="1"/>
    <col min="16" max="16" width="7.125" style="4263" bestFit="1" customWidth="1"/>
    <col min="17" max="16384" width="9" style="4263"/>
  </cols>
  <sheetData>
    <row r="1" spans="1:16">
      <c r="A1" s="4263" t="s">
        <v>4102</v>
      </c>
      <c r="B1" s="4263" t="s">
        <v>4103</v>
      </c>
      <c r="C1" s="4263" t="s">
        <v>4104</v>
      </c>
      <c r="D1" s="4263" t="s">
        <v>4105</v>
      </c>
      <c r="E1" s="4263" t="s">
        <v>4106</v>
      </c>
      <c r="F1" s="4263" t="s">
        <v>4107</v>
      </c>
      <c r="G1" s="4263" t="s">
        <v>4081</v>
      </c>
      <c r="H1" s="4263" t="s">
        <v>4108</v>
      </c>
      <c r="I1" s="4263" t="s">
        <v>4109</v>
      </c>
      <c r="J1" s="4263" t="s">
        <v>4110</v>
      </c>
      <c r="K1" s="4263" t="s">
        <v>4111</v>
      </c>
      <c r="L1" s="4263" t="s">
        <v>4112</v>
      </c>
      <c r="M1" s="4263" t="s">
        <v>4113</v>
      </c>
      <c r="N1" s="4263" t="s">
        <v>4114</v>
      </c>
      <c r="O1" s="4263" t="s">
        <v>4115</v>
      </c>
      <c r="P1" s="4263" t="s">
        <v>4116</v>
      </c>
    </row>
    <row r="2" spans="1:16">
      <c r="A2" s="4263" t="s">
        <v>4117</v>
      </c>
      <c r="B2" s="4263" t="s">
        <v>4118</v>
      </c>
      <c r="C2" s="4264">
        <v>52011120250090</v>
      </c>
      <c r="D2" s="4263" t="s">
        <v>4119</v>
      </c>
      <c r="E2" s="4263">
        <v>118485.23</v>
      </c>
      <c r="F2" s="4263">
        <v>428916.53</v>
      </c>
      <c r="G2" s="4263" t="s">
        <v>4120</v>
      </c>
      <c r="H2" s="4263" t="s">
        <v>4121</v>
      </c>
      <c r="I2" s="4263" t="s">
        <v>4122</v>
      </c>
      <c r="J2" s="4263" t="s">
        <v>627</v>
      </c>
      <c r="K2" s="4265">
        <v>46006</v>
      </c>
      <c r="L2" s="4263" t="s">
        <v>4123</v>
      </c>
      <c r="M2" s="4263" t="s">
        <v>4124</v>
      </c>
      <c r="N2" s="4263">
        <v>76579</v>
      </c>
      <c r="O2" s="4263">
        <v>1785</v>
      </c>
      <c r="P2" s="4263">
        <v>0</v>
      </c>
    </row>
    <row r="3" spans="1:16">
      <c r="A3" s="4263" t="s">
        <v>4125</v>
      </c>
      <c r="B3" s="4263" t="s">
        <v>4118</v>
      </c>
      <c r="C3" s="4264">
        <v>52011120250105</v>
      </c>
      <c r="D3" s="4263" t="s">
        <v>4119</v>
      </c>
      <c r="E3" s="4263">
        <v>35950</v>
      </c>
      <c r="F3" s="4263">
        <v>82685</v>
      </c>
      <c r="G3" s="4263" t="s">
        <v>4126</v>
      </c>
      <c r="H3" s="4263" t="s">
        <v>4121</v>
      </c>
      <c r="I3" s="4265" t="s">
        <v>4122</v>
      </c>
      <c r="J3" s="4265" t="s">
        <v>627</v>
      </c>
      <c r="K3" s="4265">
        <v>46006</v>
      </c>
      <c r="L3" s="4263" t="s">
        <v>4123</v>
      </c>
      <c r="M3" s="4263" t="s">
        <v>4127</v>
      </c>
      <c r="N3" s="4263">
        <v>16537</v>
      </c>
      <c r="O3" s="4263">
        <v>2000</v>
      </c>
      <c r="P3" s="4263">
        <v>0</v>
      </c>
    </row>
    <row r="4" spans="1:16">
      <c r="A4" s="4263" t="s">
        <v>4128</v>
      </c>
      <c r="B4" s="4263" t="s">
        <v>4118</v>
      </c>
      <c r="C4" s="4264">
        <v>52010220250040</v>
      </c>
      <c r="D4" s="4263" t="s">
        <v>4119</v>
      </c>
      <c r="E4" s="4263">
        <v>143933.91</v>
      </c>
      <c r="F4" s="4263">
        <v>431801.73</v>
      </c>
      <c r="G4" s="4263" t="s">
        <v>4129</v>
      </c>
      <c r="H4" s="4263" t="s">
        <v>4121</v>
      </c>
      <c r="I4" s="4265" t="s">
        <v>4130</v>
      </c>
      <c r="J4" s="4265" t="s">
        <v>627</v>
      </c>
      <c r="K4" s="4265">
        <v>46003</v>
      </c>
      <c r="L4" s="4263" t="s">
        <v>4123</v>
      </c>
      <c r="M4" s="4263" t="s">
        <v>4131</v>
      </c>
      <c r="N4" s="4263">
        <v>103633</v>
      </c>
      <c r="O4" s="4263">
        <v>2400</v>
      </c>
      <c r="P4" s="4263">
        <v>0</v>
      </c>
    </row>
    <row r="5" spans="1:16">
      <c r="A5" s="4263" t="s">
        <v>4132</v>
      </c>
      <c r="B5" s="4263" t="s">
        <v>4118</v>
      </c>
      <c r="C5" s="4264">
        <v>52010220250041</v>
      </c>
      <c r="D5" s="4263" t="s">
        <v>4119</v>
      </c>
      <c r="E5" s="4263">
        <v>17582.72</v>
      </c>
      <c r="F5" s="4263">
        <v>43956.800000000003</v>
      </c>
      <c r="G5" s="4263" t="s">
        <v>4133</v>
      </c>
      <c r="H5" s="4263" t="s">
        <v>4121</v>
      </c>
      <c r="I5" s="4265" t="s">
        <v>4130</v>
      </c>
      <c r="J5" s="4265" t="s">
        <v>627</v>
      </c>
      <c r="K5" s="4265">
        <v>46003</v>
      </c>
      <c r="L5" s="4263" t="s">
        <v>4123</v>
      </c>
      <c r="M5" s="4263" t="s">
        <v>4134</v>
      </c>
      <c r="N5" s="4263">
        <v>10330</v>
      </c>
      <c r="O5" s="4263">
        <v>2350</v>
      </c>
      <c r="P5" s="4263">
        <v>0</v>
      </c>
    </row>
    <row r="6" spans="1:16">
      <c r="A6" s="4263" t="s">
        <v>4135</v>
      </c>
      <c r="B6" s="4263" t="s">
        <v>4118</v>
      </c>
      <c r="C6" s="4264">
        <v>52010220250046</v>
      </c>
      <c r="D6" s="4263" t="s">
        <v>4119</v>
      </c>
      <c r="E6" s="4263">
        <v>25544</v>
      </c>
      <c r="F6" s="4263">
        <v>79186.399999999994</v>
      </c>
      <c r="G6" s="4263" t="s">
        <v>4136</v>
      </c>
      <c r="H6" s="4263" t="s">
        <v>4121</v>
      </c>
      <c r="I6" s="4265" t="s">
        <v>4130</v>
      </c>
      <c r="J6" s="4265" t="s">
        <v>627</v>
      </c>
      <c r="K6" s="4265">
        <v>46003</v>
      </c>
      <c r="L6" s="4263" t="s">
        <v>4123</v>
      </c>
      <c r="M6" s="4263" t="s">
        <v>4137</v>
      </c>
      <c r="N6" s="4263">
        <v>22401</v>
      </c>
      <c r="O6" s="4263">
        <v>2829</v>
      </c>
      <c r="P6" s="4263">
        <v>0</v>
      </c>
    </row>
    <row r="7" spans="1:16" s="4266" customFormat="1">
      <c r="A7" s="4266" t="s">
        <v>4180</v>
      </c>
      <c r="B7" s="4266" t="s">
        <v>4118</v>
      </c>
      <c r="C7" s="4267">
        <v>52010220250036</v>
      </c>
      <c r="D7" s="4266" t="s">
        <v>4119</v>
      </c>
      <c r="E7" s="4266">
        <v>22274.85</v>
      </c>
      <c r="F7" s="4266">
        <v>55687.13</v>
      </c>
      <c r="G7" s="4266" t="s">
        <v>4133</v>
      </c>
      <c r="H7" s="4266" t="s">
        <v>4121</v>
      </c>
      <c r="I7" s="4268" t="s">
        <v>4130</v>
      </c>
      <c r="J7" s="4268" t="s">
        <v>627</v>
      </c>
      <c r="K7" s="4268">
        <v>46003</v>
      </c>
      <c r="L7" s="4266" t="s">
        <v>4123</v>
      </c>
      <c r="M7" s="4266" t="s">
        <v>4138</v>
      </c>
      <c r="N7" s="4266">
        <v>13087</v>
      </c>
      <c r="O7" s="4266">
        <v>2350</v>
      </c>
      <c r="P7" s="4266">
        <v>0</v>
      </c>
    </row>
    <row r="8" spans="1:16" s="4266" customFormat="1">
      <c r="A8" s="4266" t="s">
        <v>4139</v>
      </c>
      <c r="B8" s="4266" t="s">
        <v>4118</v>
      </c>
      <c r="C8" s="4267">
        <v>52010220250037</v>
      </c>
      <c r="D8" s="4266" t="s">
        <v>4119</v>
      </c>
      <c r="E8" s="4266">
        <v>48923.69</v>
      </c>
      <c r="F8" s="4266">
        <v>122309.23</v>
      </c>
      <c r="G8" s="4266" t="s">
        <v>4133</v>
      </c>
      <c r="H8" s="4266" t="s">
        <v>4121</v>
      </c>
      <c r="I8" s="4268" t="s">
        <v>4130</v>
      </c>
      <c r="J8" s="4268" t="s">
        <v>627</v>
      </c>
      <c r="K8" s="4268">
        <v>46003</v>
      </c>
      <c r="L8" s="4266" t="s">
        <v>4123</v>
      </c>
      <c r="M8" s="4266" t="s">
        <v>4140</v>
      </c>
      <c r="N8" s="4266">
        <v>28743</v>
      </c>
      <c r="O8" s="4266">
        <v>2350</v>
      </c>
      <c r="P8" s="4266">
        <v>0</v>
      </c>
    </row>
    <row r="9" spans="1:16">
      <c r="A9" s="4263" t="s">
        <v>4141</v>
      </c>
      <c r="B9" s="4263" t="s">
        <v>4118</v>
      </c>
      <c r="C9" s="4264">
        <v>52010220250044</v>
      </c>
      <c r="D9" s="4263" t="s">
        <v>4119</v>
      </c>
      <c r="E9" s="4263">
        <v>99240.72</v>
      </c>
      <c r="F9" s="4263">
        <v>248101.8</v>
      </c>
      <c r="G9" s="4263" t="s">
        <v>4133</v>
      </c>
      <c r="H9" s="4263" t="s">
        <v>4121</v>
      </c>
      <c r="I9" s="4265" t="s">
        <v>4130</v>
      </c>
      <c r="J9" s="4265" t="s">
        <v>627</v>
      </c>
      <c r="K9" s="4265">
        <v>46002</v>
      </c>
      <c r="L9" s="4263" t="s">
        <v>4123</v>
      </c>
      <c r="M9" s="4263" t="s">
        <v>4142</v>
      </c>
      <c r="N9" s="4263">
        <v>57064</v>
      </c>
      <c r="O9" s="4263">
        <v>2300</v>
      </c>
      <c r="P9" s="4263">
        <v>0</v>
      </c>
    </row>
    <row r="10" spans="1:16">
      <c r="A10" s="4263" t="s">
        <v>4143</v>
      </c>
      <c r="B10" s="4263" t="s">
        <v>4118</v>
      </c>
      <c r="C10" s="4264">
        <v>52011120250093</v>
      </c>
      <c r="D10" s="4263" t="s">
        <v>4119</v>
      </c>
      <c r="E10" s="4263">
        <v>119375.07</v>
      </c>
      <c r="F10" s="4263">
        <v>441687.76</v>
      </c>
      <c r="G10" s="4263" t="s">
        <v>4144</v>
      </c>
      <c r="H10" s="4263" t="s">
        <v>4121</v>
      </c>
      <c r="I10" s="4265" t="s">
        <v>4122</v>
      </c>
      <c r="J10" s="4265" t="s">
        <v>627</v>
      </c>
      <c r="K10" s="4265">
        <v>46002</v>
      </c>
      <c r="L10" s="4263" t="s">
        <v>4123</v>
      </c>
      <c r="M10" s="4263" t="s">
        <v>4145</v>
      </c>
      <c r="N10" s="4263">
        <v>84809</v>
      </c>
      <c r="O10" s="4263">
        <v>1920</v>
      </c>
      <c r="P10" s="4263">
        <v>0</v>
      </c>
    </row>
    <row r="11" spans="1:16">
      <c r="A11" s="4263" t="s">
        <v>4146</v>
      </c>
      <c r="B11" s="4263" t="s">
        <v>4118</v>
      </c>
      <c r="C11" s="4264">
        <v>52011120240253</v>
      </c>
      <c r="D11" s="4263" t="s">
        <v>4119</v>
      </c>
      <c r="E11" s="4263">
        <v>16803.89</v>
      </c>
      <c r="F11" s="4263">
        <v>42009.72</v>
      </c>
      <c r="G11" s="4263" t="s">
        <v>4133</v>
      </c>
      <c r="H11" s="4263" t="s">
        <v>4121</v>
      </c>
      <c r="I11" s="4265" t="s">
        <v>4122</v>
      </c>
      <c r="J11" s="4265" t="s">
        <v>627</v>
      </c>
      <c r="K11" s="4265">
        <v>46002</v>
      </c>
      <c r="L11" s="4263" t="s">
        <v>4123</v>
      </c>
      <c r="M11" s="4263" t="s">
        <v>4147</v>
      </c>
      <c r="N11" s="4263">
        <v>9520</v>
      </c>
      <c r="O11" s="4263">
        <v>2266</v>
      </c>
      <c r="P11" s="4263">
        <v>0</v>
      </c>
    </row>
    <row r="12" spans="1:16">
      <c r="A12" s="4263" t="s">
        <v>4148</v>
      </c>
      <c r="B12" s="4263" t="s">
        <v>4118</v>
      </c>
      <c r="C12" s="4264">
        <v>52010220250045</v>
      </c>
      <c r="D12" s="4263" t="s">
        <v>4119</v>
      </c>
      <c r="E12" s="4263">
        <v>24943.02</v>
      </c>
      <c r="F12" s="4263">
        <v>62357.55</v>
      </c>
      <c r="G12" s="4263" t="s">
        <v>4133</v>
      </c>
      <c r="H12" s="4263" t="s">
        <v>4121</v>
      </c>
      <c r="I12" s="4265" t="s">
        <v>4130</v>
      </c>
      <c r="J12" s="4265" t="s">
        <v>627</v>
      </c>
      <c r="K12" s="4265">
        <v>46002</v>
      </c>
      <c r="L12" s="4263" t="s">
        <v>4123</v>
      </c>
      <c r="M12" s="4263" t="s">
        <v>4149</v>
      </c>
      <c r="N12" s="4263">
        <v>14343</v>
      </c>
      <c r="O12" s="4263">
        <v>2300</v>
      </c>
      <c r="P12" s="4263">
        <v>0</v>
      </c>
    </row>
    <row r="13" spans="1:16">
      <c r="A13" s="4263" t="s">
        <v>4150</v>
      </c>
      <c r="B13" s="4263" t="s">
        <v>4118</v>
      </c>
      <c r="C13" s="4264">
        <v>52010220250043</v>
      </c>
      <c r="D13" s="4263" t="s">
        <v>4119</v>
      </c>
      <c r="E13" s="4263">
        <v>152758.29999999999</v>
      </c>
      <c r="F13" s="4263">
        <v>381895.75</v>
      </c>
      <c r="G13" s="4263" t="s">
        <v>4133</v>
      </c>
      <c r="H13" s="4263" t="s">
        <v>4121</v>
      </c>
      <c r="I13" s="4265" t="s">
        <v>4130</v>
      </c>
      <c r="J13" s="4265" t="s">
        <v>627</v>
      </c>
      <c r="K13" s="4265">
        <v>46002</v>
      </c>
      <c r="L13" s="4263" t="s">
        <v>4123</v>
      </c>
      <c r="M13" s="4263" t="s">
        <v>4151</v>
      </c>
      <c r="N13" s="4263">
        <v>87837</v>
      </c>
      <c r="O13" s="4263">
        <v>2300</v>
      </c>
      <c r="P13" s="4263">
        <v>0</v>
      </c>
    </row>
    <row r="14" spans="1:16">
      <c r="A14" s="4263" t="s">
        <v>4152</v>
      </c>
      <c r="B14" s="4263" t="s">
        <v>4118</v>
      </c>
      <c r="C14" s="4264">
        <v>52010220250038</v>
      </c>
      <c r="D14" s="4263" t="s">
        <v>4119</v>
      </c>
      <c r="E14" s="4263">
        <v>58302.99</v>
      </c>
      <c r="F14" s="4263">
        <v>145757.48000000001</v>
      </c>
      <c r="G14" s="4263" t="s">
        <v>4133</v>
      </c>
      <c r="H14" s="4263" t="s">
        <v>4121</v>
      </c>
      <c r="I14" s="4265" t="s">
        <v>4130</v>
      </c>
      <c r="J14" s="4265" t="s">
        <v>627</v>
      </c>
      <c r="K14" s="4265">
        <v>46002</v>
      </c>
      <c r="L14" s="4263" t="s">
        <v>4123</v>
      </c>
      <c r="M14" s="4263" t="s">
        <v>4153</v>
      </c>
      <c r="N14" s="4263">
        <v>34253</v>
      </c>
      <c r="O14" s="4263">
        <v>2350</v>
      </c>
      <c r="P14" s="4263">
        <v>0</v>
      </c>
    </row>
    <row r="15" spans="1:16">
      <c r="A15" s="4263" t="s">
        <v>4154</v>
      </c>
      <c r="B15" s="4263" t="s">
        <v>4118</v>
      </c>
      <c r="C15" s="4264">
        <v>52011120250085</v>
      </c>
      <c r="D15" s="4263" t="s">
        <v>4119</v>
      </c>
      <c r="E15" s="4263">
        <v>79547.55</v>
      </c>
      <c r="F15" s="4263">
        <v>278416.42</v>
      </c>
      <c r="G15" s="4263" t="s">
        <v>4155</v>
      </c>
      <c r="H15" s="4263" t="s">
        <v>4121</v>
      </c>
      <c r="I15" s="4265" t="s">
        <v>4122</v>
      </c>
      <c r="J15" s="4265" t="s">
        <v>627</v>
      </c>
      <c r="K15" s="4265">
        <v>46002</v>
      </c>
      <c r="L15" s="4263" t="s">
        <v>4123</v>
      </c>
      <c r="M15" s="4263" t="s">
        <v>4156</v>
      </c>
      <c r="N15" s="4263">
        <v>38179</v>
      </c>
      <c r="O15" s="4263">
        <v>1371</v>
      </c>
      <c r="P15" s="4263">
        <v>0</v>
      </c>
    </row>
    <row r="16" spans="1:16">
      <c r="A16" s="4263" t="s">
        <v>4157</v>
      </c>
      <c r="B16" s="4263" t="s">
        <v>4118</v>
      </c>
      <c r="C16" s="4264">
        <v>52010220250042</v>
      </c>
      <c r="D16" s="4263" t="s">
        <v>4119</v>
      </c>
      <c r="E16" s="4263">
        <v>87986.28</v>
      </c>
      <c r="F16" s="4263">
        <v>219965.7</v>
      </c>
      <c r="G16" s="4263" t="s">
        <v>4133</v>
      </c>
      <c r="H16" s="4263" t="s">
        <v>4121</v>
      </c>
      <c r="I16" s="4265" t="s">
        <v>4130</v>
      </c>
      <c r="J16" s="4265" t="s">
        <v>627</v>
      </c>
      <c r="K16" s="4265">
        <v>46001</v>
      </c>
      <c r="L16" s="4263" t="s">
        <v>4123</v>
      </c>
      <c r="M16" s="4263" t="s">
        <v>4158</v>
      </c>
      <c r="N16" s="4263">
        <v>50593</v>
      </c>
      <c r="O16" s="4263">
        <v>2300</v>
      </c>
      <c r="P16" s="4263">
        <v>0</v>
      </c>
    </row>
    <row r="17" spans="1:16">
      <c r="A17" s="4263" t="s">
        <v>4159</v>
      </c>
      <c r="B17" s="4263" t="s">
        <v>4118</v>
      </c>
      <c r="C17" s="4264">
        <v>52010220250047</v>
      </c>
      <c r="D17" s="4263" t="s">
        <v>4119</v>
      </c>
      <c r="E17" s="4263">
        <v>64716.28</v>
      </c>
      <c r="F17" s="4263">
        <v>161790.70000000001</v>
      </c>
      <c r="G17" s="4263" t="s">
        <v>4133</v>
      </c>
      <c r="H17" s="4263" t="s">
        <v>4121</v>
      </c>
      <c r="I17" s="4263" t="s">
        <v>4130</v>
      </c>
      <c r="J17" s="4263" t="s">
        <v>627</v>
      </c>
      <c r="K17" s="4265">
        <v>46001</v>
      </c>
      <c r="L17" s="4263" t="s">
        <v>4123</v>
      </c>
      <c r="M17" s="4263" t="s">
        <v>4160</v>
      </c>
      <c r="N17" s="4263">
        <v>37280</v>
      </c>
      <c r="O17" s="4263">
        <v>2304</v>
      </c>
      <c r="P17" s="4263">
        <v>0</v>
      </c>
    </row>
    <row r="18" spans="1:16">
      <c r="A18" s="4263" t="s">
        <v>4161</v>
      </c>
      <c r="B18" s="4263" t="s">
        <v>4118</v>
      </c>
      <c r="C18" s="4264">
        <v>52011120240220</v>
      </c>
      <c r="D18" s="4263" t="s">
        <v>4119</v>
      </c>
      <c r="E18" s="4263">
        <v>87789</v>
      </c>
      <c r="F18" s="4263">
        <v>219472.5</v>
      </c>
      <c r="G18" s="4263" t="s">
        <v>4133</v>
      </c>
      <c r="H18" s="4263" t="s">
        <v>4121</v>
      </c>
      <c r="I18" s="4263" t="s">
        <v>4122</v>
      </c>
      <c r="J18" s="4263" t="s">
        <v>627</v>
      </c>
      <c r="K18" s="4265">
        <v>46002</v>
      </c>
      <c r="L18" s="4263" t="s">
        <v>4123</v>
      </c>
      <c r="M18" s="4263" t="s">
        <v>4162</v>
      </c>
      <c r="N18" s="4263">
        <v>54869</v>
      </c>
      <c r="O18" s="4263">
        <v>2500</v>
      </c>
      <c r="P18" s="4263">
        <v>0</v>
      </c>
    </row>
    <row r="19" spans="1:16">
      <c r="A19" s="4263" t="s">
        <v>4163</v>
      </c>
      <c r="B19" s="4263" t="s">
        <v>4118</v>
      </c>
      <c r="C19" s="4264">
        <v>52011120240218</v>
      </c>
      <c r="D19" s="4263" t="s">
        <v>4119</v>
      </c>
      <c r="E19" s="4263">
        <v>132420</v>
      </c>
      <c r="F19" s="4263">
        <v>331050</v>
      </c>
      <c r="G19" s="4263" t="s">
        <v>4133</v>
      </c>
      <c r="H19" s="4263" t="s">
        <v>4121</v>
      </c>
      <c r="I19" s="4263" t="s">
        <v>4122</v>
      </c>
      <c r="J19" s="4263" t="s">
        <v>627</v>
      </c>
      <c r="K19" s="4265">
        <v>46002</v>
      </c>
      <c r="L19" s="4263" t="s">
        <v>4123</v>
      </c>
      <c r="M19" s="4263" t="s">
        <v>4164</v>
      </c>
      <c r="N19" s="4263">
        <v>82763</v>
      </c>
      <c r="O19" s="4263">
        <v>2500</v>
      </c>
      <c r="P19" s="4263">
        <v>0</v>
      </c>
    </row>
    <row r="20" spans="1:16">
      <c r="A20" s="4263" t="s">
        <v>4165</v>
      </c>
      <c r="B20" s="4263" t="s">
        <v>4118</v>
      </c>
      <c r="C20" s="4264">
        <v>52011120240221</v>
      </c>
      <c r="D20" s="4263" t="s">
        <v>4119</v>
      </c>
      <c r="E20" s="4263">
        <v>63194</v>
      </c>
      <c r="F20" s="4263">
        <v>82152.2</v>
      </c>
      <c r="G20" s="4263" t="s">
        <v>4166</v>
      </c>
      <c r="H20" s="4263" t="s">
        <v>4121</v>
      </c>
      <c r="I20" s="4263" t="s">
        <v>4122</v>
      </c>
      <c r="J20" s="4263" t="s">
        <v>627</v>
      </c>
      <c r="K20" s="4265">
        <v>46002</v>
      </c>
      <c r="L20" s="4263" t="s">
        <v>4123</v>
      </c>
      <c r="M20" s="4263" t="s">
        <v>4167</v>
      </c>
      <c r="N20" s="4263">
        <v>32861</v>
      </c>
      <c r="O20" s="4263">
        <v>4000</v>
      </c>
      <c r="P20" s="4263">
        <v>0</v>
      </c>
    </row>
    <row r="21" spans="1:16" s="4266" customFormat="1">
      <c r="A21" s="4266" t="s">
        <v>4168</v>
      </c>
      <c r="B21" s="4266" t="s">
        <v>4118</v>
      </c>
      <c r="C21" s="4267">
        <v>52011120250082</v>
      </c>
      <c r="D21" s="4266" t="s">
        <v>4119</v>
      </c>
      <c r="E21" s="4266">
        <v>43187.88</v>
      </c>
      <c r="F21" s="4266">
        <v>151157.57999999999</v>
      </c>
      <c r="G21" s="4266" t="s">
        <v>4155</v>
      </c>
      <c r="H21" s="4266" t="s">
        <v>4121</v>
      </c>
      <c r="I21" s="4266" t="s">
        <v>4122</v>
      </c>
      <c r="J21" s="4266" t="s">
        <v>627</v>
      </c>
      <c r="K21" s="4268">
        <v>46001</v>
      </c>
      <c r="L21" s="4266" t="s">
        <v>4123</v>
      </c>
      <c r="M21" s="4266" t="s">
        <v>4169</v>
      </c>
      <c r="N21" s="4266">
        <v>30939</v>
      </c>
      <c r="O21" s="4266">
        <v>2047</v>
      </c>
      <c r="P21" s="4266">
        <v>0</v>
      </c>
    </row>
    <row r="22" spans="1:16">
      <c r="A22" s="4263" t="s">
        <v>4170</v>
      </c>
      <c r="B22" s="4263" t="s">
        <v>4118</v>
      </c>
      <c r="C22" s="4264">
        <v>52011120250065</v>
      </c>
      <c r="D22" s="4263" t="s">
        <v>4119</v>
      </c>
      <c r="E22" s="4263">
        <v>11366.84</v>
      </c>
      <c r="F22" s="4263">
        <v>17050.259999999998</v>
      </c>
      <c r="G22" s="4263" t="s">
        <v>4171</v>
      </c>
      <c r="H22" s="4263" t="s">
        <v>4121</v>
      </c>
      <c r="I22" s="4263" t="s">
        <v>4130</v>
      </c>
      <c r="J22" s="4263" t="s">
        <v>627</v>
      </c>
      <c r="K22" s="4265">
        <v>45999</v>
      </c>
      <c r="L22" s="4263" t="s">
        <v>4123</v>
      </c>
      <c r="M22" s="4263" t="s">
        <v>4172</v>
      </c>
      <c r="N22" s="4263">
        <v>2929.23</v>
      </c>
      <c r="O22" s="4263">
        <v>1718</v>
      </c>
      <c r="P22" s="4263">
        <v>0</v>
      </c>
    </row>
    <row r="23" spans="1:16">
      <c r="A23" s="4263" t="s">
        <v>4170</v>
      </c>
      <c r="B23" s="4263" t="s">
        <v>4118</v>
      </c>
      <c r="C23" s="4264">
        <v>52011120250035</v>
      </c>
      <c r="D23" s="4263" t="s">
        <v>4119</v>
      </c>
      <c r="E23" s="4263">
        <v>44640.959999999999</v>
      </c>
      <c r="F23" s="4263">
        <v>89281.919999999998</v>
      </c>
      <c r="G23" s="4263" t="s">
        <v>4173</v>
      </c>
      <c r="H23" s="4263" t="s">
        <v>4121</v>
      </c>
      <c r="I23" s="4263" t="s">
        <v>4130</v>
      </c>
      <c r="J23" s="4263" t="s">
        <v>627</v>
      </c>
      <c r="K23" s="4265">
        <v>45996</v>
      </c>
      <c r="L23" s="4263" t="s">
        <v>4123</v>
      </c>
      <c r="M23" s="4263" t="s">
        <v>4174</v>
      </c>
      <c r="N23" s="4263">
        <v>13490.5</v>
      </c>
      <c r="O23" s="4263">
        <v>1511</v>
      </c>
      <c r="P23" s="4263">
        <v>0</v>
      </c>
    </row>
    <row r="24" spans="1:16">
      <c r="A24" s="4263" t="s">
        <v>4170</v>
      </c>
      <c r="B24" s="4263" t="s">
        <v>4118</v>
      </c>
      <c r="C24" s="4264">
        <v>52011120250031</v>
      </c>
      <c r="D24" s="4263" t="s">
        <v>4119</v>
      </c>
      <c r="E24" s="4263">
        <v>12611.73</v>
      </c>
      <c r="F24" s="4263">
        <v>25223.46</v>
      </c>
      <c r="G24" s="4263" t="s">
        <v>4173</v>
      </c>
      <c r="H24" s="4263" t="s">
        <v>4121</v>
      </c>
      <c r="I24" s="4263" t="s">
        <v>4130</v>
      </c>
      <c r="J24" s="4263" t="s">
        <v>627</v>
      </c>
      <c r="K24" s="4265">
        <v>45996</v>
      </c>
      <c r="L24" s="4263" t="s">
        <v>4123</v>
      </c>
      <c r="M24" s="4263" t="s">
        <v>4175</v>
      </c>
      <c r="N24" s="4263">
        <v>3627.13</v>
      </c>
      <c r="O24" s="4263">
        <v>1438</v>
      </c>
      <c r="P24" s="4263">
        <v>0</v>
      </c>
    </row>
    <row r="25" spans="1:16">
      <c r="A25" s="4263" t="s">
        <v>4170</v>
      </c>
      <c r="B25" s="4263" t="s">
        <v>4118</v>
      </c>
      <c r="C25" s="4264">
        <v>52011120250033</v>
      </c>
      <c r="D25" s="4263" t="s">
        <v>4119</v>
      </c>
      <c r="E25" s="4263">
        <v>53307.87</v>
      </c>
      <c r="F25" s="4263">
        <v>159923.60999999999</v>
      </c>
      <c r="G25" s="4263" t="s">
        <v>4129</v>
      </c>
      <c r="H25" s="4263" t="s">
        <v>4121</v>
      </c>
      <c r="I25" s="4263" t="s">
        <v>4130</v>
      </c>
      <c r="J25" s="4263" t="s">
        <v>627</v>
      </c>
      <c r="K25" s="4265">
        <v>45996</v>
      </c>
      <c r="L25" s="4263" t="s">
        <v>4123</v>
      </c>
      <c r="M25" s="4263" t="s">
        <v>4176</v>
      </c>
      <c r="N25" s="4263">
        <v>26595.3</v>
      </c>
      <c r="O25" s="4263">
        <v>1663</v>
      </c>
      <c r="P25" s="4263">
        <v>0</v>
      </c>
    </row>
    <row r="26" spans="1:16">
      <c r="A26" s="4263" t="s">
        <v>4177</v>
      </c>
      <c r="B26" s="4263" t="s">
        <v>4118</v>
      </c>
      <c r="C26" s="4264">
        <v>52010220240041</v>
      </c>
      <c r="D26" s="4263" t="s">
        <v>4119</v>
      </c>
      <c r="E26" s="4263">
        <v>34480.18</v>
      </c>
      <c r="F26" s="4263">
        <v>138265.51999999999</v>
      </c>
      <c r="G26" s="4263" t="s">
        <v>4178</v>
      </c>
      <c r="H26" s="4263" t="s">
        <v>4121</v>
      </c>
      <c r="I26" s="4263" t="s">
        <v>4130</v>
      </c>
      <c r="J26" s="4263" t="s">
        <v>627</v>
      </c>
      <c r="K26" s="4265">
        <v>45646</v>
      </c>
      <c r="L26" s="4263" t="s">
        <v>4123</v>
      </c>
      <c r="M26" s="4263" t="s">
        <v>4179</v>
      </c>
      <c r="N26" s="4263">
        <v>56139</v>
      </c>
      <c r="O26" s="4263">
        <v>4060</v>
      </c>
      <c r="P26" s="4263">
        <v>0</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8" sqref="M28"/>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1528</v>
      </c>
      <c r="B1" s="47"/>
      <c r="C1" s="785"/>
      <c r="D1" s="784"/>
      <c r="E1" s="2045"/>
      <c r="F1" s="2045"/>
      <c r="G1" s="1938"/>
      <c r="H1" s="2045"/>
      <c r="I1" s="2045"/>
      <c r="J1" s="2045"/>
      <c r="K1" s="2046">
        <f>MATCH(C1,'数据-取费表'!A6:A16,0)+5</f>
        <v>10</v>
      </c>
    </row>
    <row r="2" spans="1:33" ht="18" customHeight="1">
      <c r="A2" s="96" t="s">
        <v>1429</v>
      </c>
      <c r="B2" s="2523">
        <f ca="1">IF(D2="含税",C37,C36)</f>
        <v>18203</v>
      </c>
      <c r="C2" s="171" t="s">
        <v>1529</v>
      </c>
      <c r="D2" s="3325" t="s">
        <v>4083</v>
      </c>
      <c r="E2" s="2045"/>
      <c r="G2" s="2045"/>
      <c r="H2" s="2045"/>
      <c r="I2" s="2045"/>
      <c r="J2" s="2045"/>
      <c r="K2" s="2045"/>
    </row>
    <row r="3" spans="1:33" ht="18" customHeight="1">
      <c r="A3" s="98" t="s">
        <v>1431</v>
      </c>
      <c r="B3" s="2523">
        <f ca="1">ROUND(B2*10000/IF(C1="",'数据-汇总表'!E3,INDIRECT("'数据-取费表'!K"&amp;$K$1)),0)</f>
        <v>1183</v>
      </c>
      <c r="C3" s="171" t="s">
        <v>1530</v>
      </c>
      <c r="E3" s="514"/>
      <c r="I3" s="2045"/>
      <c r="J3" s="2045"/>
      <c r="K3" s="2045"/>
    </row>
    <row r="4" spans="1:33" ht="18" customHeight="1">
      <c r="A4" s="3378" t="s">
        <v>3616</v>
      </c>
      <c r="B4" s="3383">
        <f ca="1">ROUND(B2*10000/IF(C1="",'数据-汇总表'!D3,INDIRECT("'数据-取费表'!R"&amp;$K$1)),0)</f>
        <v>8437</v>
      </c>
      <c r="C4" s="3382" t="s">
        <v>1530</v>
      </c>
      <c r="E4" s="514"/>
      <c r="I4" s="2045"/>
      <c r="J4" s="2045"/>
      <c r="K4" s="2045"/>
    </row>
    <row r="5" spans="1:33" ht="18" customHeight="1" thickBot="1">
      <c r="A5" s="94"/>
      <c r="B5" s="3379">
        <f ca="1">ROUND(B2/(IF(C1="",'数据-汇总表'!D3,INDIRECT("'数据-取费表'!R"&amp;$K$1))/666.67),0)</f>
        <v>563</v>
      </c>
      <c r="C5" s="3381" t="s">
        <v>3614</v>
      </c>
      <c r="E5" s="514"/>
      <c r="I5" s="2045"/>
      <c r="J5" s="2045"/>
      <c r="K5" s="2045"/>
    </row>
    <row r="6" spans="1:33" s="515" customFormat="1" ht="16.5" customHeight="1">
      <c r="A6" s="2653" t="s">
        <v>3363</v>
      </c>
      <c r="B6" s="2652"/>
      <c r="C6" s="4644" t="s">
        <v>3365</v>
      </c>
      <c r="D6" s="4644"/>
      <c r="E6" s="4644"/>
      <c r="F6" s="4644"/>
      <c r="G6" s="4644"/>
      <c r="H6" s="4644"/>
      <c r="I6" s="4644"/>
      <c r="J6" s="4644"/>
      <c r="K6" s="4645"/>
    </row>
    <row r="7" spans="1:33" s="518" customFormat="1" ht="15">
      <c r="A7" s="2493" t="s">
        <v>1531</v>
      </c>
      <c r="B7" s="2660" t="s">
        <v>1532</v>
      </c>
      <c r="C7" s="1342" t="s">
        <v>4061</v>
      </c>
      <c r="D7" s="1342" t="s">
        <v>4063</v>
      </c>
      <c r="E7" s="1342" t="s">
        <v>658</v>
      </c>
      <c r="F7" s="1342" t="s">
        <v>4066</v>
      </c>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3944</v>
      </c>
      <c r="C8" s="2707"/>
      <c r="D8" s="2707"/>
      <c r="E8" s="2707">
        <f ca="1">'收益法-商业'!B3</f>
        <v>7248</v>
      </c>
      <c r="F8" s="2707">
        <f ca="1">'收益法-车库'!B3</f>
        <v>2339</v>
      </c>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3" t="s">
        <v>3945</v>
      </c>
      <c r="C9" s="2709">
        <f>SUMIF('数据-汇总表'!$C19:$C33,假设开发法!C7,'数据-汇总表'!$E19:$E33)</f>
        <v>99449</v>
      </c>
      <c r="D9" s="2709">
        <f>SUMIF('数据-汇总表'!$C19:$C33,假设开发法!D7,'数据-汇总表'!$E19:$E33)</f>
        <v>0</v>
      </c>
      <c r="E9" s="2709">
        <f>SUMIF('数据-汇总表'!$C19:$C33,假设开发法!E7,'数据-汇总表'!$E19:$E33)</f>
        <v>1606</v>
      </c>
      <c r="F9" s="2709">
        <f>SUMIF('数据-汇总表'!$C19:$C33,假设开发法!F7,'数据-汇总表'!$E19:$E33)</f>
        <v>48081</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3947</v>
      </c>
      <c r="B10" s="4074" t="s">
        <v>3946</v>
      </c>
      <c r="C10" s="4075">
        <f>'比较法-住宅'!B2</f>
        <v>66047</v>
      </c>
      <c r="D10" s="4075"/>
      <c r="E10" s="4075">
        <f ca="1">'收益法-商业'!B2</f>
        <v>1164</v>
      </c>
      <c r="F10" s="4076">
        <f ca="1">'收益法-车库'!B2</f>
        <v>11244</v>
      </c>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48" t="s">
        <v>3378</v>
      </c>
      <c r="B11" s="4649"/>
      <c r="C11" s="4649"/>
      <c r="D11" s="4649"/>
      <c r="E11" s="4649"/>
      <c r="F11" s="4649"/>
      <c r="G11" s="4649"/>
      <c r="H11" s="4649"/>
      <c r="I11" s="4649"/>
      <c r="J11" s="4649"/>
      <c r="K11" s="4650"/>
    </row>
    <row r="12" spans="1:33" s="4071" customFormat="1" ht="13.5" customHeight="1">
      <c r="A12" s="3211" t="s">
        <v>3498</v>
      </c>
      <c r="B12" s="4068" t="s">
        <v>1535</v>
      </c>
      <c r="C12" s="4072" t="s">
        <v>3943</v>
      </c>
      <c r="D12" s="4068" t="s">
        <v>1537</v>
      </c>
      <c r="E12" s="4068" t="s">
        <v>1538</v>
      </c>
      <c r="F12" s="4068" t="s">
        <v>1539</v>
      </c>
      <c r="G12" s="4069" t="s">
        <v>3389</v>
      </c>
      <c r="H12" s="4068"/>
      <c r="I12" s="4068"/>
      <c r="J12" s="4068"/>
      <c r="K12" s="4070"/>
    </row>
    <row r="13" spans="1:33" s="521" customFormat="1" ht="13.5" customHeight="1">
      <c r="A13" s="2493">
        <v>1</v>
      </c>
      <c r="B13" s="2677" t="s">
        <v>3364</v>
      </c>
      <c r="C13" s="2662">
        <f ca="1">SUM(C10:K10)</f>
        <v>78455</v>
      </c>
      <c r="D13" s="520"/>
      <c r="E13" s="520"/>
      <c r="F13" s="520"/>
      <c r="G13" s="2678"/>
      <c r="H13" s="2678"/>
      <c r="I13" s="2678"/>
      <c r="J13" s="2678"/>
      <c r="K13" s="2679"/>
    </row>
    <row r="14" spans="1:33" s="523" customFormat="1" ht="13.5" customHeight="1">
      <c r="A14" s="2493">
        <v>2</v>
      </c>
      <c r="B14" s="530" t="s">
        <v>1550</v>
      </c>
      <c r="C14" s="2701" t="str">
        <f>F14&amp;"V"</f>
        <v>0.0305V</v>
      </c>
      <c r="D14" s="173"/>
      <c r="E14" s="173"/>
      <c r="F14" s="2670">
        <f>IF(项目基本情况!B8="出让",0,'数据-取费表'!B49+'数据-取费表'!B50)</f>
        <v>3.0499999999999999E-2</v>
      </c>
      <c r="G14" s="3227" t="s">
        <v>3654</v>
      </c>
      <c r="H14" s="25"/>
      <c r="I14" s="25"/>
      <c r="J14" s="25"/>
      <c r="K14" s="27"/>
    </row>
    <row r="15" spans="1:33" s="523" customFormat="1" ht="13.5" customHeight="1">
      <c r="A15" s="2493">
        <v>3</v>
      </c>
      <c r="B15" s="2655" t="s">
        <v>3366</v>
      </c>
      <c r="C15" s="2663">
        <f ca="1">SUM(C16:C19)+C25+C26</f>
        <v>47760</v>
      </c>
      <c r="D15" s="530"/>
      <c r="E15" s="173"/>
      <c r="F15" s="2663"/>
      <c r="G15" s="2715" t="s">
        <v>3655</v>
      </c>
      <c r="H15" s="55"/>
      <c r="I15" s="55"/>
      <c r="J15" s="55"/>
      <c r="K15" s="2680"/>
    </row>
    <row r="16" spans="1:33" s="523" customFormat="1" ht="13.5" customHeight="1">
      <c r="A16" s="519" t="s">
        <v>355</v>
      </c>
      <c r="B16" s="2694" t="s">
        <v>3379</v>
      </c>
      <c r="C16" s="2664">
        <f ca="1">IF(C1="",'数据-取费表'!P16,INDIRECT("'数据-取费表'!P"&amp;$K$1)+INDIRECT("'数据-取费表'!ar"&amp;$K$1))</f>
        <v>34301</v>
      </c>
      <c r="D16" s="522"/>
      <c r="E16" s="55"/>
      <c r="F16" s="2671">
        <f ca="1">1-IF('数据-取费表'!B24=0,1,IF(C1="",'数据-取费表'!N16,INDIRECT("'数据-取费表'!n"&amp;$K$1)))</f>
        <v>1</v>
      </c>
      <c r="G16" s="2678"/>
      <c r="H16" s="2678"/>
      <c r="I16" s="2678"/>
      <c r="J16" s="2678"/>
      <c r="K16" s="2679"/>
    </row>
    <row r="17" spans="1:33" s="523" customFormat="1" ht="13.5" customHeight="1">
      <c r="A17" s="519" t="s">
        <v>1533</v>
      </c>
      <c r="B17" s="2694" t="s">
        <v>3380</v>
      </c>
      <c r="C17" s="2702">
        <f ca="1">ROUND(C16*F17,0)</f>
        <v>2744</v>
      </c>
      <c r="D17" s="522"/>
      <c r="E17" s="55"/>
      <c r="F17" s="2671">
        <f>'数据-取费表'!B33</f>
        <v>0.08</v>
      </c>
      <c r="G17" s="3409" t="s">
        <v>3665</v>
      </c>
      <c r="H17" s="2678"/>
      <c r="I17" s="2678"/>
      <c r="J17" s="2678"/>
      <c r="K17" s="2679"/>
    </row>
    <row r="18" spans="1:33" s="523" customFormat="1" ht="13.5" customHeight="1">
      <c r="A18" s="519" t="s">
        <v>1534</v>
      </c>
      <c r="B18" s="2694" t="s">
        <v>3381</v>
      </c>
      <c r="C18" s="2702">
        <f ca="1">ROUND(IF(C1="",SUMIF('数据-取费表'!C:C,"住宅",'数据-取费表'!P:P)*F18,IF(INDIRECT("'数据-取费表'!c"&amp;$K$1)="住宅",INDIRECT("'数据-取费表'!P"&amp;$K$1)*F18,0)),0)</f>
        <v>2287</v>
      </c>
      <c r="D18" s="539"/>
      <c r="E18" s="55"/>
      <c r="F18" s="2671">
        <f>'数据-取费表'!B34</f>
        <v>0.1</v>
      </c>
      <c r="G18" s="2678" t="s">
        <v>1540</v>
      </c>
      <c r="H18" s="2678"/>
      <c r="I18" s="2678"/>
      <c r="J18" s="2678"/>
      <c r="K18" s="2679"/>
    </row>
    <row r="19" spans="1:33" s="523" customFormat="1" ht="13.5" customHeight="1">
      <c r="A19" s="519" t="s">
        <v>3368</v>
      </c>
      <c r="B19" s="2694" t="s">
        <v>3382</v>
      </c>
      <c r="C19" s="2702">
        <f ca="1">C20+C23+C24</f>
        <v>6370</v>
      </c>
      <c r="D19" s="539"/>
      <c r="E19" s="55"/>
      <c r="F19" s="2671"/>
      <c r="G19" s="2678"/>
      <c r="H19" s="2678"/>
      <c r="I19" s="2678"/>
      <c r="J19" s="2678"/>
      <c r="K19" s="2679"/>
    </row>
    <row r="20" spans="1:33" s="523" customFormat="1" ht="13.5" customHeight="1">
      <c r="A20" s="2656" t="s">
        <v>3371</v>
      </c>
      <c r="B20" s="2681" t="s">
        <v>1545</v>
      </c>
      <c r="C20" s="2702">
        <f ca="1">C21+C22-IF(C1="",'数据-取费表'!B29,IF(G20="已全部缴纳",C21+C22,H20))</f>
        <v>986</v>
      </c>
      <c r="D20" s="539"/>
      <c r="E20" s="12"/>
      <c r="F20" s="2672"/>
      <c r="G20" s="2682"/>
      <c r="H20" s="2683"/>
      <c r="I20" s="2684" t="s">
        <v>1546</v>
      </c>
      <c r="J20" s="55"/>
      <c r="K20" s="2680"/>
    </row>
    <row r="21" spans="1:33" s="523" customFormat="1" ht="13.5" customHeight="1">
      <c r="A21" s="2696" t="s">
        <v>3374</v>
      </c>
      <c r="B21" s="2697" t="s">
        <v>3385</v>
      </c>
      <c r="C21" s="2703">
        <f ca="1">ROUND(D21*E21/10000,0)</f>
        <v>497</v>
      </c>
      <c r="D21" s="2705">
        <f ca="1">IF(C1="",'数据-汇总表'!E5,IF(INDIRECT("'数据-取费表'!c"&amp;$K$1)="住宅",INDIRECT("'数据-取费表'!k"&amp;$K$1),0))</f>
        <v>99449</v>
      </c>
      <c r="E21" s="2703">
        <f>'数据-取费表'!B27</f>
        <v>50</v>
      </c>
      <c r="F21" s="2698"/>
      <c r="G21" s="186"/>
      <c r="H21" s="186"/>
      <c r="I21" s="186"/>
      <c r="J21" s="186"/>
      <c r="K21" s="1868"/>
    </row>
    <row r="22" spans="1:33" s="523" customFormat="1" ht="13.5" customHeight="1">
      <c r="A22" s="2696" t="s">
        <v>3375</v>
      </c>
      <c r="B22" s="2697" t="s">
        <v>3386</v>
      </c>
      <c r="C22" s="2703">
        <f ca="1">ROUND(D22*E22/10000,0)</f>
        <v>489</v>
      </c>
      <c r="D22" s="2705">
        <f ca="1">IF(C1="",'数据-汇总表'!E6,IF(INDIRECT("'数据-取费表'!c"&amp;$K$1)="住宅",INDIRECT("'数据-取费表'!s"&amp;$K$1),INDIRECT("'数据-取费表'!k"&amp;$K$1)+INDIRECT("'数据-取费表'!s"&amp;$K$1)))</f>
        <v>54380</v>
      </c>
      <c r="E22" s="2703">
        <f>'数据-取费表'!B28</f>
        <v>90</v>
      </c>
      <c r="F22" s="2698"/>
      <c r="G22" s="186"/>
      <c r="H22" s="186"/>
      <c r="I22" s="186"/>
      <c r="J22" s="186"/>
      <c r="K22" s="1868"/>
    </row>
    <row r="23" spans="1:33" s="524" customFormat="1" ht="13.5" customHeight="1">
      <c r="A23" s="2656" t="s">
        <v>3372</v>
      </c>
      <c r="B23" s="2681" t="s">
        <v>1541</v>
      </c>
      <c r="C23" s="2702">
        <f ca="1">ROUND(D23*E23*F16/10000,0)</f>
        <v>5384</v>
      </c>
      <c r="D23" s="2706">
        <f ca="1">IF(C1="",'数据-汇总表'!E3,INDIRECT("'数据-取费表'!K"&amp;$K$1)+INDIRECT("'数据-取费表'!S"&amp;$K$1))</f>
        <v>153829</v>
      </c>
      <c r="E23" s="2702">
        <f>'数据-取费表'!B35</f>
        <v>350</v>
      </c>
      <c r="F23" s="2672"/>
      <c r="G23" s="2677" t="s">
        <v>3656</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3373</v>
      </c>
      <c r="B24" s="2681" t="s">
        <v>1543</v>
      </c>
      <c r="C24" s="2702">
        <f ca="1">ROUND(D24*E24/10000,0)</f>
        <v>0</v>
      </c>
      <c r="D24" s="2706">
        <f ca="1">D23</f>
        <v>153829</v>
      </c>
      <c r="E24" s="2702">
        <f>'数据-取费表'!B32</f>
        <v>0</v>
      </c>
      <c r="F24" s="2667"/>
      <c r="G24" s="55" t="s">
        <v>1544</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3369</v>
      </c>
      <c r="B25" s="2695" t="s">
        <v>3383</v>
      </c>
      <c r="C25" s="2666">
        <f ca="1">ROUND(C16*F25,0)</f>
        <v>1029</v>
      </c>
      <c r="D25" s="2657"/>
      <c r="E25" s="2658"/>
      <c r="F25" s="2671">
        <f>'数据-取费表'!B36</f>
        <v>0.03</v>
      </c>
      <c r="G25" s="2657"/>
      <c r="H25" s="2657"/>
      <c r="I25" s="2657"/>
      <c r="J25" s="2657"/>
      <c r="K25" s="2685"/>
    </row>
    <row r="26" spans="1:33" s="524" customFormat="1" ht="13.5" customHeight="1">
      <c r="A26" s="2654" t="s">
        <v>3370</v>
      </c>
      <c r="B26" s="2694" t="s">
        <v>3384</v>
      </c>
      <c r="C26" s="2667">
        <f ca="1">ROUND(C16*F26,0)</f>
        <v>1029</v>
      </c>
      <c r="D26" s="525"/>
      <c r="E26" s="529"/>
      <c r="F26" s="2671">
        <f>'数据-取费表'!B37</f>
        <v>0.03</v>
      </c>
      <c r="G26" s="55" t="s">
        <v>1542</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1547</v>
      </c>
      <c r="C27" s="2663">
        <f ca="1">ROUND(C15*F27,0)</f>
        <v>478</v>
      </c>
      <c r="D27" s="173"/>
      <c r="E27" s="173"/>
      <c r="F27" s="2670">
        <f>'数据-取费表'!B38</f>
        <v>0.01</v>
      </c>
      <c r="G27" s="2678" t="s">
        <v>1548</v>
      </c>
      <c r="H27" s="2678"/>
      <c r="I27" s="2678"/>
      <c r="J27" s="2678"/>
      <c r="K27" s="2679"/>
    </row>
    <row r="28" spans="1:33" s="523" customFormat="1" ht="13.5" customHeight="1">
      <c r="A28" s="2493">
        <v>5</v>
      </c>
      <c r="B28" s="530" t="s">
        <v>1549</v>
      </c>
      <c r="C28" s="2663">
        <f ca="1">ROUND(C13*F28*F16,0)</f>
        <v>2354</v>
      </c>
      <c r="D28" s="173"/>
      <c r="E28" s="173"/>
      <c r="F28" s="2670">
        <f>'数据-取费表'!B39</f>
        <v>0.03</v>
      </c>
      <c r="G28" s="2678" t="s">
        <v>3657</v>
      </c>
      <c r="H28" s="2678"/>
      <c r="I28" s="2678"/>
      <c r="J28" s="2678"/>
      <c r="K28" s="2679"/>
    </row>
    <row r="29" spans="1:33" s="523" customFormat="1" ht="13.5" customHeight="1">
      <c r="A29" s="2493">
        <v>6</v>
      </c>
      <c r="B29" s="2655" t="s">
        <v>3367</v>
      </c>
      <c r="C29" s="2701" t="str">
        <f ca="1">C31&amp;"+"&amp;C30&amp;"V"</f>
        <v>2025+0.0842V</v>
      </c>
      <c r="D29" s="172"/>
      <c r="E29" s="173"/>
      <c r="F29" s="268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1551</v>
      </c>
      <c r="C30" s="2668">
        <f ca="1">ROUND(IF('数据-取费表'!B22&lt;=1,(1+F14)*F29*'数据-取费表'!B24,(1+F14)*(POWER((1+F29),'数据-取费表'!B24)-1)),4)</f>
        <v>8.4199999999999997E-2</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1533</v>
      </c>
      <c r="B31" s="2681" t="s">
        <v>3387</v>
      </c>
      <c r="C31" s="2664">
        <f ca="1">ROUND(IF('数据-取费表'!B22&lt;=1,(C15+C27+C28)*F29*'数据-取费表'!B24/2,(C15+C27+C28)*(POWER((1+F29),'数据-取费表'!B24/2)-1)),0)</f>
        <v>2025</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1555</v>
      </c>
      <c r="C32" s="2686">
        <f ca="1">ROUND(C13*F32/(1+'数据-取费表'!C43),0)</f>
        <v>0</v>
      </c>
      <c r="D32" s="2678"/>
      <c r="E32" s="2690"/>
      <c r="F32" s="2687"/>
      <c r="G32" s="4646" t="s">
        <v>3377</v>
      </c>
      <c r="H32" s="4646"/>
      <c r="I32" s="4646"/>
      <c r="J32" s="4646"/>
      <c r="K32" s="4647"/>
    </row>
    <row r="33" spans="1:11" s="176" customFormat="1" ht="13.5" customHeight="1">
      <c r="A33" s="2493">
        <v>8</v>
      </c>
      <c r="B33" s="2659" t="s">
        <v>1552</v>
      </c>
      <c r="C33" s="2704" t="str">
        <f ca="1">C35&amp;"+"&amp;C34&amp;"V"</f>
        <v>4047+0.0824V</v>
      </c>
      <c r="D33" s="172"/>
      <c r="E33" s="173"/>
      <c r="F33" s="2674">
        <f ca="1">IF(C1="",'数据-取费表'!Q16,INDIRECT("'数据-取费表'!q"&amp;$K$1))</f>
        <v>0.08</v>
      </c>
      <c r="G33" s="25"/>
      <c r="H33" s="25"/>
      <c r="I33" s="25"/>
      <c r="J33" s="25"/>
      <c r="K33" s="27"/>
    </row>
    <row r="34" spans="1:11" s="177" customFormat="1" ht="13.5" customHeight="1">
      <c r="A34" s="2700" t="s">
        <v>355</v>
      </c>
      <c r="B34" s="2681" t="s">
        <v>1553</v>
      </c>
      <c r="C34" s="2668">
        <f ca="1">ROUND((1+F14)*F33*'数据-取费表'!B24/'数据-取费表'!B22,4)</f>
        <v>8.2400000000000001E-2</v>
      </c>
      <c r="D34" s="174"/>
      <c r="E34" s="525"/>
      <c r="F34" s="2673"/>
      <c r="G34" s="55" t="s">
        <v>1554</v>
      </c>
      <c r="H34" s="55"/>
      <c r="I34" s="55"/>
      <c r="J34" s="55"/>
      <c r="K34" s="2680"/>
    </row>
    <row r="35" spans="1:11" s="177" customFormat="1" ht="13.5" customHeight="1">
      <c r="A35" s="2700" t="s">
        <v>1533</v>
      </c>
      <c r="B35" s="2681" t="s">
        <v>3387</v>
      </c>
      <c r="C35" s="2669">
        <f ca="1">ROUND((C15+C27+C28)*F33,0)</f>
        <v>4047</v>
      </c>
      <c r="D35" s="174"/>
      <c r="E35" s="525"/>
      <c r="F35" s="2673"/>
      <c r="G35" s="55"/>
      <c r="H35" s="55"/>
      <c r="I35" s="55"/>
      <c r="J35" s="55"/>
      <c r="K35" s="2680"/>
    </row>
    <row r="36" spans="1:11" s="521" customFormat="1" ht="15">
      <c r="A36" s="2493">
        <v>9</v>
      </c>
      <c r="B36" s="2677" t="s">
        <v>3376</v>
      </c>
      <c r="C36" s="2662">
        <f ca="1">ROUND((C13-C15-C27-C28-C31-C35-C32)/(1+F14+C30+C34),0)</f>
        <v>18203</v>
      </c>
      <c r="D36" s="2678"/>
      <c r="E36" s="2678"/>
      <c r="F36" s="172"/>
      <c r="G36" s="2711" t="s">
        <v>3388</v>
      </c>
      <c r="H36" s="2678"/>
      <c r="I36" s="2678"/>
      <c r="J36" s="2678"/>
      <c r="K36" s="2679"/>
    </row>
    <row r="37" spans="1:11" s="2788" customFormat="1" ht="15.75" thickBot="1">
      <c r="A37" s="2691">
        <v>10</v>
      </c>
      <c r="B37" s="2692" t="s">
        <v>3463</v>
      </c>
      <c r="C37" s="2785">
        <f ca="1">ROUND(C36*(1+F37),0)</f>
        <v>19841</v>
      </c>
      <c r="D37" s="2786"/>
      <c r="E37" s="2787"/>
      <c r="F37" s="2693">
        <v>0.09</v>
      </c>
      <c r="G37" s="2677" t="s">
        <v>3464</v>
      </c>
      <c r="H37" s="2678"/>
      <c r="I37" s="2678"/>
      <c r="J37" s="2678"/>
      <c r="K37" s="2679"/>
    </row>
    <row r="38" spans="1:11" ht="12.75" customHeight="1"/>
    <row r="44" spans="1:11" s="3209" customFormat="1" ht="19.5" thickBot="1">
      <c r="A44" s="3214" t="s">
        <v>3471</v>
      </c>
      <c r="B44" s="1861"/>
      <c r="C44" s="3215"/>
      <c r="D44" s="1861"/>
      <c r="E44" s="1861"/>
      <c r="F44" s="1861"/>
      <c r="G44" s="1861"/>
    </row>
    <row r="45" spans="1:11" s="3209" customFormat="1" ht="15">
      <c r="A45" s="3211" t="s">
        <v>3498</v>
      </c>
      <c r="B45" s="2675" t="s">
        <v>1535</v>
      </c>
      <c r="C45" s="2676" t="s">
        <v>1536</v>
      </c>
      <c r="D45" s="1164" t="s">
        <v>1537</v>
      </c>
      <c r="E45" s="1164" t="s">
        <v>1538</v>
      </c>
      <c r="F45" s="1164" t="s">
        <v>1539</v>
      </c>
      <c r="G45" s="2712" t="s">
        <v>3389</v>
      </c>
    </row>
    <row r="46" spans="1:11" s="3209" customFormat="1">
      <c r="A46" s="626">
        <v>1</v>
      </c>
      <c r="B46" s="2695" t="s">
        <v>3472</v>
      </c>
      <c r="C46" s="2666">
        <f ca="1">C13</f>
        <v>78455</v>
      </c>
      <c r="D46" s="626"/>
      <c r="E46" s="626"/>
      <c r="F46" s="626"/>
      <c r="G46" s="626"/>
    </row>
    <row r="47" spans="1:11" s="3209" customFormat="1">
      <c r="A47" s="626">
        <v>2</v>
      </c>
      <c r="B47" s="2695" t="s">
        <v>3474</v>
      </c>
      <c r="C47" s="2666" t="str">
        <f>C14</f>
        <v>0.0305V</v>
      </c>
      <c r="D47" s="626"/>
      <c r="E47" s="626"/>
      <c r="F47" s="626"/>
      <c r="G47" s="626"/>
    </row>
    <row r="48" spans="1:11" s="3209" customFormat="1">
      <c r="A48" s="626">
        <v>3</v>
      </c>
      <c r="B48" s="2695" t="s">
        <v>3473</v>
      </c>
      <c r="C48" s="2666" t="e">
        <f ca="1">C49+C59+C60+C63</f>
        <v>#VALUE!</v>
      </c>
      <c r="D48" s="626"/>
      <c r="E48" s="626"/>
      <c r="F48" s="626"/>
      <c r="G48" s="626"/>
    </row>
    <row r="49" spans="1:7" s="3209" customFormat="1">
      <c r="A49" s="3212" t="s">
        <v>355</v>
      </c>
      <c r="B49" s="2695" t="s">
        <v>3483</v>
      </c>
      <c r="C49" s="2666">
        <f ca="1">C50+C51+C52+C53+C57+C58</f>
        <v>47760</v>
      </c>
      <c r="D49" s="626"/>
      <c r="E49" s="626"/>
      <c r="F49" s="626"/>
      <c r="G49" s="626"/>
    </row>
    <row r="50" spans="1:7" s="3209" customFormat="1">
      <c r="A50" s="3213" t="s">
        <v>3484</v>
      </c>
      <c r="B50" s="2695" t="s">
        <v>3488</v>
      </c>
      <c r="C50" s="2666">
        <f ca="1">C16</f>
        <v>34301</v>
      </c>
      <c r="D50" s="626"/>
      <c r="E50" s="626"/>
      <c r="F50" s="626"/>
      <c r="G50" s="626"/>
    </row>
    <row r="51" spans="1:7" s="3209" customFormat="1">
      <c r="A51" s="3213" t="s">
        <v>3499</v>
      </c>
      <c r="B51" s="626" t="s">
        <v>3485</v>
      </c>
      <c r="C51" s="2666">
        <f t="shared" ref="C51:C53" ca="1" si="0">C17</f>
        <v>2744</v>
      </c>
      <c r="D51" s="626"/>
      <c r="E51" s="626"/>
      <c r="F51" s="626"/>
      <c r="G51" s="626"/>
    </row>
    <row r="52" spans="1:7" s="3209" customFormat="1">
      <c r="A52" s="3213" t="s">
        <v>3500</v>
      </c>
      <c r="B52" s="626" t="s">
        <v>3486</v>
      </c>
      <c r="C52" s="2666">
        <f t="shared" ca="1" si="0"/>
        <v>2287</v>
      </c>
      <c r="D52" s="626"/>
      <c r="E52" s="626"/>
      <c r="F52" s="626"/>
      <c r="G52" s="626"/>
    </row>
    <row r="53" spans="1:7" s="3209" customFormat="1">
      <c r="A53" s="3213" t="s">
        <v>3501</v>
      </c>
      <c r="B53" s="626" t="s">
        <v>3487</v>
      </c>
      <c r="C53" s="2666">
        <f t="shared" ca="1" si="0"/>
        <v>6370</v>
      </c>
      <c r="D53" s="626"/>
      <c r="E53" s="626"/>
      <c r="F53" s="626"/>
      <c r="G53" s="626"/>
    </row>
    <row r="54" spans="1:7" s="3209" customFormat="1">
      <c r="A54" s="3404" t="s">
        <v>3374</v>
      </c>
      <c r="B54" s="3405" t="s">
        <v>3491</v>
      </c>
      <c r="C54" s="3406">
        <f ca="1">C20</f>
        <v>986</v>
      </c>
      <c r="D54" s="626"/>
      <c r="E54" s="626"/>
      <c r="F54" s="626"/>
      <c r="G54" s="626"/>
    </row>
    <row r="55" spans="1:7" s="3209" customFormat="1">
      <c r="A55" s="3404" t="s">
        <v>3375</v>
      </c>
      <c r="B55" s="3405" t="s">
        <v>3492</v>
      </c>
      <c r="C55" s="3406">
        <f ca="1">C23</f>
        <v>5384</v>
      </c>
      <c r="D55" s="626"/>
      <c r="E55" s="626"/>
      <c r="F55" s="626"/>
      <c r="G55" s="626"/>
    </row>
    <row r="56" spans="1:7" s="3209" customFormat="1">
      <c r="A56" s="3404" t="s">
        <v>3651</v>
      </c>
      <c r="B56" s="3405" t="s">
        <v>3493</v>
      </c>
      <c r="C56" s="3406">
        <f ca="1">C24</f>
        <v>0</v>
      </c>
      <c r="D56" s="626"/>
      <c r="E56" s="626"/>
      <c r="F56" s="626"/>
      <c r="G56" s="626"/>
    </row>
    <row r="57" spans="1:7" s="3209" customFormat="1">
      <c r="A57" s="3213" t="s">
        <v>3502</v>
      </c>
      <c r="B57" s="626" t="s">
        <v>3489</v>
      </c>
      <c r="C57" s="2666">
        <f ca="1">C25</f>
        <v>1029</v>
      </c>
      <c r="D57" s="626"/>
      <c r="E57" s="626"/>
      <c r="F57" s="626"/>
      <c r="G57" s="626"/>
    </row>
    <row r="58" spans="1:7" s="3209" customFormat="1">
      <c r="A58" s="3213" t="s">
        <v>3503</v>
      </c>
      <c r="B58" s="626" t="s">
        <v>3490</v>
      </c>
      <c r="C58" s="2666">
        <f ca="1">C26</f>
        <v>1029</v>
      </c>
      <c r="D58" s="626"/>
      <c r="E58" s="626"/>
      <c r="F58" s="626"/>
      <c r="G58" s="626"/>
    </row>
    <row r="59" spans="1:7" s="3209" customFormat="1">
      <c r="A59" s="3212" t="s">
        <v>3482</v>
      </c>
      <c r="B59" s="2695" t="s">
        <v>3476</v>
      </c>
      <c r="C59" s="2666">
        <f ca="1">C27</f>
        <v>478</v>
      </c>
      <c r="D59" s="626"/>
      <c r="E59" s="626"/>
      <c r="F59" s="626"/>
      <c r="G59" s="626"/>
    </row>
    <row r="60" spans="1:7" s="3209" customFormat="1">
      <c r="A60" s="3212" t="s">
        <v>3494</v>
      </c>
      <c r="B60" s="2695" t="s">
        <v>3495</v>
      </c>
      <c r="C60" s="2666">
        <f ca="1">C61+C62</f>
        <v>2354</v>
      </c>
      <c r="D60" s="626"/>
      <c r="E60" s="626"/>
      <c r="F60" s="626"/>
      <c r="G60" s="626"/>
    </row>
    <row r="61" spans="1:7" s="3209" customFormat="1">
      <c r="A61" s="3213" t="s">
        <v>3484</v>
      </c>
      <c r="B61" s="2695" t="s">
        <v>3479</v>
      </c>
      <c r="C61" s="2666">
        <f ca="1">C28</f>
        <v>2354</v>
      </c>
      <c r="D61" s="626"/>
      <c r="E61" s="626"/>
      <c r="F61" s="626"/>
      <c r="G61" s="626"/>
    </row>
    <row r="62" spans="1:7" s="3209" customFormat="1">
      <c r="A62" s="3213" t="s">
        <v>3496</v>
      </c>
      <c r="B62" s="2695" t="s">
        <v>3478</v>
      </c>
      <c r="C62" s="2666">
        <f ca="1">C32</f>
        <v>0</v>
      </c>
      <c r="D62" s="626"/>
      <c r="E62" s="626"/>
      <c r="F62" s="626"/>
      <c r="G62" s="626"/>
    </row>
    <row r="63" spans="1:7" s="3209" customFormat="1">
      <c r="A63" s="3212" t="s">
        <v>3497</v>
      </c>
      <c r="B63" s="2695" t="s">
        <v>3477</v>
      </c>
      <c r="C63" s="2666" t="str">
        <f ca="1">C29</f>
        <v>2025+0.0842V</v>
      </c>
      <c r="D63" s="626"/>
      <c r="E63" s="626"/>
      <c r="F63" s="626"/>
      <c r="G63" s="626"/>
    </row>
    <row r="64" spans="1:7" s="3209" customFormat="1">
      <c r="A64" s="626">
        <v>4</v>
      </c>
      <c r="B64" s="2695" t="s">
        <v>3480</v>
      </c>
      <c r="C64" s="2666" t="str">
        <f ca="1">C33</f>
        <v>4047+0.0824V</v>
      </c>
      <c r="D64" s="626"/>
      <c r="E64" s="626"/>
      <c r="F64" s="626"/>
      <c r="G64" s="626"/>
    </row>
    <row r="65" spans="1:7" s="3209" customFormat="1">
      <c r="A65" s="626">
        <v>5</v>
      </c>
      <c r="B65" s="2695" t="s">
        <v>3481</v>
      </c>
      <c r="C65" s="2666">
        <f ca="1">C36</f>
        <v>18203</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4" zoomScaleNormal="60" zoomScaleSheetLayoutView="100" workbookViewId="0">
      <selection activeCell="M15" sqref="M1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352" t="s">
        <v>1566</v>
      </c>
      <c r="C1" s="826" t="s">
        <v>1567</v>
      </c>
      <c r="D1" s="813" t="s">
        <v>4061</v>
      </c>
      <c r="E1" s="2472" t="s">
        <v>4097</v>
      </c>
      <c r="F1" s="1353" t="s">
        <v>4098</v>
      </c>
      <c r="G1" s="823" t="s">
        <v>1568</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669</v>
      </c>
      <c r="B2" s="3714">
        <f>IF(C2="含税",D2,ROUND(D2/(1+F3),0))</f>
        <v>66047</v>
      </c>
      <c r="C2" s="2784" t="s">
        <v>4083</v>
      </c>
      <c r="D2" s="3715">
        <f>IF(E1="项目模式",IF(E2="——",ROUND(C49*D3/10000,0),ROUND(C49*D3/10000,0)-F2),IF(E1="单套模式",IF(E2="——",ROUND(C49*D3/10000,4),ROUND(C49*D3/10000,4)-F2)))</f>
        <v>71991</v>
      </c>
      <c r="E2" s="2791" t="s">
        <v>41</v>
      </c>
      <c r="F2" s="3716" t="e">
        <f ca="1">IF(E1="项目模式",SUMIF(INDIRECT("'"&amp;H2&amp;"'"&amp;"!A:A"),"承租人权益价值",INDIRECT("'"&amp;H2&amp;"'"&amp;"!c:c")),SUMIF(INDIRECT("'"&amp;H2&amp;"'"&amp;"!A:A"),"承租人权益价值（单套）",INDIRECT("'"&amp;H2&amp;"'"&amp;"!c:c")))</f>
        <v>#REF!</v>
      </c>
      <c r="G2" s="1356" t="s">
        <v>1569</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670</v>
      </c>
      <c r="B3" s="2880">
        <f>IF(E2="——",C49,ROUND(B2*10000/D3,0))</f>
        <v>7239</v>
      </c>
      <c r="C3" s="234" t="s">
        <v>1570</v>
      </c>
      <c r="D3" s="2881">
        <f>IF(D1="",'数据-汇总表'!E3,SUMIF('数据-汇总表'!$C19:$C33,D1,'数据-汇总表'!$E19:$E33))</f>
        <v>99449</v>
      </c>
      <c r="E3" s="3204" t="s">
        <v>4096</v>
      </c>
      <c r="F3" s="3845">
        <f>IF(E3="其他类型—销项税率",9%,3%)</f>
        <v>0.09</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1571</v>
      </c>
      <c r="B4" s="236"/>
      <c r="C4" s="4553" t="s">
        <v>1572</v>
      </c>
      <c r="D4" s="4554"/>
      <c r="E4" s="4555" t="s">
        <v>1573</v>
      </c>
      <c r="F4" s="4556"/>
      <c r="G4" s="4553" t="s">
        <v>1574</v>
      </c>
      <c r="H4" s="4554"/>
      <c r="I4" s="4553" t="s">
        <v>1575</v>
      </c>
      <c r="J4" s="4554"/>
      <c r="K4" s="2809" t="s">
        <v>1576</v>
      </c>
      <c r="L4" s="1974"/>
      <c r="M4" s="1975"/>
      <c r="N4" s="1975"/>
      <c r="O4" s="1975"/>
      <c r="P4" s="4557" t="s">
        <v>1577</v>
      </c>
      <c r="Q4" s="4558"/>
      <c r="R4" s="4538" t="s">
        <v>1573</v>
      </c>
      <c r="S4" s="4539"/>
      <c r="T4" s="4538" t="s">
        <v>1574</v>
      </c>
      <c r="U4" s="4539"/>
      <c r="V4" s="4565" t="s">
        <v>1575</v>
      </c>
      <c r="W4" s="4565"/>
      <c r="X4" s="909"/>
      <c r="Y4" s="4568" t="s">
        <v>1577</v>
      </c>
      <c r="Z4" s="4569"/>
      <c r="AA4" s="4533" t="s">
        <v>1573</v>
      </c>
      <c r="AB4" s="4533" t="s">
        <v>1574</v>
      </c>
      <c r="AC4" s="4533" t="s">
        <v>1575</v>
      </c>
    </row>
    <row r="5" spans="1:29" ht="15">
      <c r="A5" s="238"/>
      <c r="B5" s="239"/>
      <c r="C5" s="4592" t="s">
        <v>1578</v>
      </c>
      <c r="D5" s="4545"/>
      <c r="E5" s="4651" t="s">
        <v>4199</v>
      </c>
      <c r="F5" s="4543"/>
      <c r="G5" s="4544" t="s">
        <v>4195</v>
      </c>
      <c r="H5" s="4545"/>
      <c r="I5" s="4544" t="s">
        <v>4196</v>
      </c>
      <c r="J5" s="4545"/>
      <c r="K5" s="2810"/>
      <c r="L5" s="1974"/>
      <c r="M5" s="1975"/>
      <c r="N5" s="1975"/>
      <c r="O5" s="1975"/>
      <c r="P5" s="4559"/>
      <c r="Q5" s="4560"/>
      <c r="R5" s="4540"/>
      <c r="S5" s="4541"/>
      <c r="T5" s="4540"/>
      <c r="U5" s="4541"/>
      <c r="V5" s="4565"/>
      <c r="W5" s="4565"/>
      <c r="X5" s="909"/>
      <c r="Y5" s="4570"/>
      <c r="Z5" s="4571"/>
      <c r="AA5" s="4534"/>
      <c r="AB5" s="4534"/>
      <c r="AC5" s="4534"/>
    </row>
    <row r="6" spans="1:29" ht="15.75" thickBot="1">
      <c r="A6" s="240"/>
      <c r="B6" s="241"/>
      <c r="C6" s="4546" t="s">
        <v>1582</v>
      </c>
      <c r="D6" s="4547"/>
      <c r="E6" s="4549" t="s">
        <v>1582</v>
      </c>
      <c r="F6" s="4550"/>
      <c r="G6" s="4546" t="s">
        <v>1582</v>
      </c>
      <c r="H6" s="4547"/>
      <c r="I6" s="4546" t="s">
        <v>1582</v>
      </c>
      <c r="J6" s="4547"/>
      <c r="K6" s="2810" t="s">
        <v>1583</v>
      </c>
      <c r="L6" s="1974"/>
      <c r="M6" s="1975"/>
      <c r="N6" s="1975"/>
      <c r="O6" s="1975"/>
      <c r="P6" s="4561"/>
      <c r="Q6" s="4562"/>
      <c r="R6" s="4540"/>
      <c r="S6" s="4541"/>
      <c r="T6" s="4563"/>
      <c r="U6" s="4564"/>
      <c r="V6" s="4565"/>
      <c r="W6" s="4565"/>
      <c r="X6" s="909"/>
      <c r="Y6" s="4572"/>
      <c r="Z6" s="4573"/>
      <c r="AA6" s="4535"/>
      <c r="AB6" s="4535"/>
      <c r="AC6" s="4535"/>
    </row>
    <row r="7" spans="1:29" s="46" customFormat="1" ht="15.75" thickBot="1">
      <c r="A7" s="242" t="s">
        <v>1584</v>
      </c>
      <c r="B7" s="243"/>
      <c r="C7" s="2811">
        <f>'数据-取费表'!B2</f>
        <v>46105</v>
      </c>
      <c r="D7" s="2886">
        <v>100</v>
      </c>
      <c r="E7" s="2840">
        <f>C7</f>
        <v>46105</v>
      </c>
      <c r="F7" s="3717">
        <f>SUMIF(58:58,YEAR(E7)&amp;"-"&amp;MONTH(E7),59:59)</f>
        <v>100</v>
      </c>
      <c r="G7" s="2840">
        <f>E7</f>
        <v>46105</v>
      </c>
      <c r="H7" s="3729">
        <f>SUMIF(58:58,YEAR(G7)&amp;"-"&amp;MONTH(G7),59:59)</f>
        <v>100</v>
      </c>
      <c r="I7" s="2840">
        <f>E7</f>
        <v>46105</v>
      </c>
      <c r="J7" s="3729">
        <f>SUMIF(58:58,YEAR(I7)&amp;"-"&amp;MONTH(I7),59:59)</f>
        <v>100</v>
      </c>
      <c r="K7" s="2802"/>
      <c r="L7" s="1976"/>
      <c r="M7" s="1929"/>
      <c r="N7" s="1929"/>
      <c r="O7" s="1929"/>
      <c r="P7" s="4566" t="s">
        <v>1585</v>
      </c>
      <c r="Q7" s="4574"/>
      <c r="R7" s="3633" t="s">
        <v>18</v>
      </c>
      <c r="S7" s="3156">
        <f t="shared" ref="S7:S15" si="0">F7</f>
        <v>100</v>
      </c>
      <c r="T7" s="3633" t="s">
        <v>18</v>
      </c>
      <c r="U7" s="3156">
        <f t="shared" ref="U7:U15" si="1">H7</f>
        <v>100</v>
      </c>
      <c r="V7" s="3633" t="s">
        <v>18</v>
      </c>
      <c r="W7" s="3156">
        <f t="shared" ref="W7:W15" si="2">J7</f>
        <v>100</v>
      </c>
      <c r="X7" s="482"/>
      <c r="Y7" s="4536" t="s">
        <v>1585</v>
      </c>
      <c r="Z7" s="4537"/>
      <c r="AA7" s="28">
        <f>D7/F7</f>
        <v>1</v>
      </c>
      <c r="AB7" s="28">
        <f>D7/H7</f>
        <v>1</v>
      </c>
      <c r="AC7" s="28">
        <f>D7/J7</f>
        <v>1</v>
      </c>
    </row>
    <row r="8" spans="1:29" s="46" customFormat="1" ht="15.75" thickBot="1">
      <c r="A8" s="242" t="s">
        <v>1586</v>
      </c>
      <c r="B8" s="243"/>
      <c r="C8" s="2812" t="s">
        <v>4092</v>
      </c>
      <c r="D8" s="2886">
        <v>100</v>
      </c>
      <c r="E8" s="2865" t="s">
        <v>4092</v>
      </c>
      <c r="F8" s="3717">
        <f>SUMIF(61:61,E8,62:62)-SUMIF(61:61,C8,62:62)+100</f>
        <v>100</v>
      </c>
      <c r="G8" s="2812" t="s">
        <v>4092</v>
      </c>
      <c r="H8" s="3729">
        <f>SUMIF(61:61,G8,62:62)-SUMIF(61:61,C8,62:62)+100</f>
        <v>100</v>
      </c>
      <c r="I8" s="2865" t="s">
        <v>4092</v>
      </c>
      <c r="J8" s="3729">
        <f>SUMIF(61:61,I8,62:62)-SUMIF(61:61,C8,62:62)+100</f>
        <v>100</v>
      </c>
      <c r="K8" s="2802"/>
      <c r="L8" s="1976"/>
      <c r="M8" s="1929"/>
      <c r="N8" s="1929"/>
      <c r="O8" s="1929"/>
      <c r="P8" s="4566" t="s">
        <v>1588</v>
      </c>
      <c r="Q8" s="4567"/>
      <c r="R8" s="3633" t="s">
        <v>18</v>
      </c>
      <c r="S8" s="3156">
        <f t="shared" si="0"/>
        <v>100</v>
      </c>
      <c r="T8" s="3633" t="s">
        <v>18</v>
      </c>
      <c r="U8" s="3156">
        <f t="shared" si="1"/>
        <v>100</v>
      </c>
      <c r="V8" s="3633" t="s">
        <v>18</v>
      </c>
      <c r="W8" s="3156">
        <f t="shared" si="2"/>
        <v>100</v>
      </c>
      <c r="X8" s="482"/>
      <c r="Y8" s="4536" t="s">
        <v>1588</v>
      </c>
      <c r="Z8" s="4537"/>
      <c r="AA8" s="28">
        <f t="shared" ref="AA8:AA19" si="3">D8/F8</f>
        <v>1</v>
      </c>
      <c r="AB8" s="28">
        <f t="shared" ref="AB8:AB19" si="4">D8/H8</f>
        <v>1</v>
      </c>
      <c r="AC8" s="28">
        <f t="shared" ref="AC8:AC19" si="5">D8/J8</f>
        <v>1</v>
      </c>
    </row>
    <row r="9" spans="1:29" s="46" customFormat="1">
      <c r="A9" s="247" t="s">
        <v>1589</v>
      </c>
      <c r="B9" s="2792" t="s">
        <v>1590</v>
      </c>
      <c r="C9" s="4269" t="s">
        <v>4184</v>
      </c>
      <c r="D9" s="2887">
        <v>100</v>
      </c>
      <c r="E9" s="2841" t="s">
        <v>3261</v>
      </c>
      <c r="F9" s="3718">
        <f>SUMIF(63:63,E9,64:64)-SUMIF(63:63,C9,64:64)+100</f>
        <v>100</v>
      </c>
      <c r="G9" s="2870" t="s">
        <v>3261</v>
      </c>
      <c r="H9" s="3730">
        <f>SUMIF(63:63,G9,64:64)-SUMIF(63:63,C9,64:64)+100</f>
        <v>100</v>
      </c>
      <c r="I9" s="2870" t="s">
        <v>3261</v>
      </c>
      <c r="J9" s="3730">
        <f>SUMIF(63:63,I9,64:64)-SUMIF(63:63,C9,64:64)+100</f>
        <v>100</v>
      </c>
      <c r="K9" s="2802"/>
      <c r="L9" s="1976"/>
      <c r="M9" s="1929"/>
      <c r="N9" s="1929"/>
      <c r="O9" s="1929"/>
      <c r="P9" s="4593" t="s">
        <v>1591</v>
      </c>
      <c r="Q9" s="1698" t="str">
        <f t="shared" ref="Q9:Q15" si="6">B9</f>
        <v>用途</v>
      </c>
      <c r="R9" s="3633" t="s">
        <v>13</v>
      </c>
      <c r="S9" s="3156">
        <f t="shared" si="0"/>
        <v>100</v>
      </c>
      <c r="T9" s="3633" t="s">
        <v>13</v>
      </c>
      <c r="U9" s="3156">
        <f t="shared" si="1"/>
        <v>100</v>
      </c>
      <c r="V9" s="3633" t="s">
        <v>13</v>
      </c>
      <c r="W9" s="3156">
        <f t="shared" si="2"/>
        <v>100</v>
      </c>
      <c r="X9" s="482"/>
      <c r="Y9" s="4552"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93"/>
      <c r="Q10" s="1698" t="str">
        <f t="shared" si="6"/>
        <v>土地使用年限（年）</v>
      </c>
      <c r="R10" s="3633" t="s">
        <v>13</v>
      </c>
      <c r="S10" s="3156">
        <f t="shared" si="0"/>
        <v>100</v>
      </c>
      <c r="T10" s="3633" t="s">
        <v>13</v>
      </c>
      <c r="U10" s="3156">
        <f t="shared" si="1"/>
        <v>100</v>
      </c>
      <c r="V10" s="3633" t="s">
        <v>13</v>
      </c>
      <c r="W10" s="3156">
        <f t="shared" si="2"/>
        <v>100</v>
      </c>
      <c r="X10" s="482"/>
      <c r="Y10" s="4552"/>
      <c r="Z10" s="28" t="str">
        <f t="shared" si="7"/>
        <v>土地使用年限（年）</v>
      </c>
      <c r="AA10" s="28">
        <f t="shared" si="3"/>
        <v>1</v>
      </c>
      <c r="AB10" s="28">
        <f t="shared" si="4"/>
        <v>1</v>
      </c>
      <c r="AC10" s="28">
        <f t="shared" si="5"/>
        <v>1</v>
      </c>
    </row>
    <row r="11" spans="1:29" ht="15">
      <c r="A11" s="254"/>
      <c r="B11" s="2789" t="s">
        <v>1594</v>
      </c>
      <c r="C11" s="2815">
        <v>3.5</v>
      </c>
      <c r="D11" s="2888">
        <v>100</v>
      </c>
      <c r="E11" s="2843">
        <v>4.59</v>
      </c>
      <c r="F11" s="3719">
        <f>LOOKUP(E11,68:68,69:69)-LOOKUP(C11,68:68,69:69)+100</f>
        <v>99</v>
      </c>
      <c r="G11" s="2815">
        <v>4.3</v>
      </c>
      <c r="H11" s="3731">
        <f>LOOKUP(G11,68:68,69:69)-LOOKUP(C11,68:68,69:69)+100</f>
        <v>99</v>
      </c>
      <c r="I11" s="2815">
        <v>3.3</v>
      </c>
      <c r="J11" s="3731">
        <f>LOOKUP(I11,68:68,69:69)-LOOKUP(C11,68:68,69:69)+100</f>
        <v>101</v>
      </c>
      <c r="K11" s="2803">
        <v>1</v>
      </c>
      <c r="L11" s="1979"/>
      <c r="M11" s="1975"/>
      <c r="N11" s="1975"/>
      <c r="O11" s="1975"/>
      <c r="P11" s="4593"/>
      <c r="Q11" s="1698" t="str">
        <f t="shared" si="6"/>
        <v>容积率</v>
      </c>
      <c r="R11" s="3633" t="s">
        <v>16</v>
      </c>
      <c r="S11" s="3156">
        <f t="shared" si="0"/>
        <v>99</v>
      </c>
      <c r="T11" s="3633" t="s">
        <v>16</v>
      </c>
      <c r="U11" s="3156">
        <f t="shared" si="1"/>
        <v>99</v>
      </c>
      <c r="V11" s="3633" t="s">
        <v>16</v>
      </c>
      <c r="W11" s="3156">
        <f t="shared" si="2"/>
        <v>101</v>
      </c>
      <c r="X11" s="482"/>
      <c r="Y11" s="4552"/>
      <c r="Z11" s="28" t="str">
        <f t="shared" si="7"/>
        <v>容积率</v>
      </c>
      <c r="AA11" s="28">
        <f t="shared" si="3"/>
        <v>1.0101010101010102</v>
      </c>
      <c r="AB11" s="28">
        <f t="shared" si="4"/>
        <v>1.0101010101010102</v>
      </c>
      <c r="AC11" s="28">
        <f t="shared" si="5"/>
        <v>0.99009900990099009</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93"/>
      <c r="Q12" s="1698">
        <f t="shared" si="6"/>
        <v>111</v>
      </c>
      <c r="R12" s="3633" t="s">
        <v>16</v>
      </c>
      <c r="S12" s="3156">
        <f t="shared" si="0"/>
        <v>100</v>
      </c>
      <c r="T12" s="3633" t="s">
        <v>16</v>
      </c>
      <c r="U12" s="3156">
        <f t="shared" si="1"/>
        <v>100</v>
      </c>
      <c r="V12" s="3633" t="s">
        <v>16</v>
      </c>
      <c r="W12" s="3156">
        <f t="shared" si="2"/>
        <v>100</v>
      </c>
      <c r="X12" s="482"/>
      <c r="Y12" s="4552"/>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93"/>
      <c r="Q13" s="1698">
        <f t="shared" si="6"/>
        <v>111</v>
      </c>
      <c r="R13" s="3633" t="s">
        <v>16</v>
      </c>
      <c r="S13" s="3156">
        <f t="shared" si="0"/>
        <v>100</v>
      </c>
      <c r="T13" s="3633" t="s">
        <v>16</v>
      </c>
      <c r="U13" s="3156">
        <f t="shared" si="1"/>
        <v>100</v>
      </c>
      <c r="V13" s="3633" t="s">
        <v>16</v>
      </c>
      <c r="W13" s="3156">
        <f t="shared" si="2"/>
        <v>100</v>
      </c>
      <c r="X13" s="482"/>
      <c r="Y13" s="4552"/>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93"/>
      <c r="Q14" s="1698">
        <f t="shared" si="6"/>
        <v>111</v>
      </c>
      <c r="R14" s="3633" t="s">
        <v>16</v>
      </c>
      <c r="S14" s="3156">
        <f t="shared" si="0"/>
        <v>100</v>
      </c>
      <c r="T14" s="3633" t="s">
        <v>16</v>
      </c>
      <c r="U14" s="3156">
        <f t="shared" si="1"/>
        <v>100</v>
      </c>
      <c r="V14" s="3633" t="s">
        <v>16</v>
      </c>
      <c r="W14" s="3156">
        <f t="shared" si="2"/>
        <v>100</v>
      </c>
      <c r="X14" s="482"/>
      <c r="Y14" s="4552"/>
      <c r="Z14" s="28">
        <f t="shared" si="7"/>
        <v>111</v>
      </c>
      <c r="AA14" s="28">
        <f t="shared" si="3"/>
        <v>1</v>
      </c>
      <c r="AB14" s="28">
        <f t="shared" si="4"/>
        <v>1</v>
      </c>
      <c r="AC14" s="28">
        <f t="shared" si="5"/>
        <v>1</v>
      </c>
    </row>
    <row r="15" spans="1:29" ht="15">
      <c r="A15" s="262" t="s">
        <v>1595</v>
      </c>
      <c r="B15" s="2795" t="s">
        <v>1233</v>
      </c>
      <c r="C15" s="2819">
        <f>估价对象房地状况!C3</f>
        <v>0</v>
      </c>
      <c r="D15" s="2892">
        <v>100</v>
      </c>
      <c r="E15" s="2850"/>
      <c r="F15" s="3721">
        <f>SUMIF(76:76,E16,77:77)-SUMIF(76:76,C16,77:77)+100</f>
        <v>103</v>
      </c>
      <c r="G15" s="2844"/>
      <c r="H15" s="3721">
        <f>SUMIF(76:76,G16,77:77)-SUMIF(76:76,C16,77:77)+100</f>
        <v>103</v>
      </c>
      <c r="I15" s="2844"/>
      <c r="J15" s="3721">
        <f>SUMIF(76:76,I16,77:77)-SUMIF(76:76,C16,77:77)+100</f>
        <v>100</v>
      </c>
      <c r="K15" s="2805">
        <v>3</v>
      </c>
      <c r="L15" s="1980"/>
      <c r="M15" s="1975"/>
      <c r="N15" s="1975"/>
      <c r="O15" s="1975"/>
      <c r="P15" s="4594" t="s">
        <v>1596</v>
      </c>
      <c r="Q15" s="1507" t="str">
        <f t="shared" si="6"/>
        <v>居住社区成熟度</v>
      </c>
      <c r="R15" s="3735" t="s">
        <v>16</v>
      </c>
      <c r="S15" s="3157">
        <f t="shared" si="0"/>
        <v>103</v>
      </c>
      <c r="T15" s="3735" t="s">
        <v>16</v>
      </c>
      <c r="U15" s="3157">
        <f t="shared" si="1"/>
        <v>103</v>
      </c>
      <c r="V15" s="3735" t="s">
        <v>16</v>
      </c>
      <c r="W15" s="3157">
        <f t="shared" si="2"/>
        <v>100</v>
      </c>
      <c r="X15" s="909"/>
      <c r="Y15" s="4577" t="s">
        <v>1596</v>
      </c>
      <c r="Z15" s="907" t="str">
        <f t="shared" si="7"/>
        <v>居住社区成熟度</v>
      </c>
      <c r="AA15" s="907">
        <f t="shared" si="3"/>
        <v>0.970873786407767</v>
      </c>
      <c r="AB15" s="907">
        <f t="shared" si="4"/>
        <v>0.970873786407767</v>
      </c>
      <c r="AC15" s="907">
        <f t="shared" si="5"/>
        <v>1</v>
      </c>
    </row>
    <row r="16" spans="1:29" ht="15">
      <c r="A16" s="254"/>
      <c r="B16" s="2796"/>
      <c r="C16" s="2820" t="s">
        <v>3600</v>
      </c>
      <c r="D16" s="2893"/>
      <c r="E16" s="2854" t="s">
        <v>3601</v>
      </c>
      <c r="F16" s="3722"/>
      <c r="G16" s="2848" t="s">
        <v>3601</v>
      </c>
      <c r="H16" s="3723"/>
      <c r="I16" s="2848" t="s">
        <v>3600</v>
      </c>
      <c r="J16" s="3722"/>
      <c r="K16" s="2806"/>
      <c r="L16" s="1980"/>
      <c r="M16" s="1975"/>
      <c r="N16" s="1975"/>
      <c r="O16" s="1975"/>
      <c r="P16" s="4595"/>
      <c r="Q16" s="1507"/>
      <c r="R16" s="3735"/>
      <c r="S16" s="3157"/>
      <c r="T16" s="3735"/>
      <c r="U16" s="3157"/>
      <c r="V16" s="3735"/>
      <c r="W16" s="3157"/>
      <c r="X16" s="909"/>
      <c r="Y16" s="4578"/>
      <c r="Z16" s="907"/>
      <c r="AA16" s="907">
        <v>1</v>
      </c>
      <c r="AB16" s="907">
        <v>1</v>
      </c>
      <c r="AC16" s="907">
        <v>1</v>
      </c>
    </row>
    <row r="17" spans="1:29" ht="15">
      <c r="A17" s="254"/>
      <c r="B17" s="2797" t="s">
        <v>1235</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v>3</v>
      </c>
      <c r="L17" s="1980"/>
      <c r="M17" s="1975"/>
      <c r="N17" s="1975"/>
      <c r="O17" s="1975"/>
      <c r="P17" s="4595"/>
      <c r="Q17" s="1507" t="str">
        <f>B17</f>
        <v>交通便捷度</v>
      </c>
      <c r="R17" s="3735" t="s">
        <v>16</v>
      </c>
      <c r="S17" s="3157">
        <f>F17</f>
        <v>100</v>
      </c>
      <c r="T17" s="3735" t="s">
        <v>16</v>
      </c>
      <c r="U17" s="3157">
        <f>H17</f>
        <v>100</v>
      </c>
      <c r="V17" s="3735" t="s">
        <v>16</v>
      </c>
      <c r="W17" s="3157">
        <f>J17</f>
        <v>100</v>
      </c>
      <c r="X17" s="909"/>
      <c r="Y17" s="4578"/>
      <c r="Z17" s="907" t="str">
        <f>Q17</f>
        <v>交通便捷度</v>
      </c>
      <c r="AA17" s="907">
        <f t="shared" si="3"/>
        <v>1</v>
      </c>
      <c r="AB17" s="907">
        <f t="shared" si="4"/>
        <v>1</v>
      </c>
      <c r="AC17" s="907">
        <f t="shared" si="5"/>
        <v>1</v>
      </c>
    </row>
    <row r="18" spans="1:29" ht="15">
      <c r="A18" s="254"/>
      <c r="B18" s="2798"/>
      <c r="C18" s="2822" t="s">
        <v>3601</v>
      </c>
      <c r="D18" s="2894"/>
      <c r="E18" s="2852" t="s">
        <v>3601</v>
      </c>
      <c r="F18" s="3723"/>
      <c r="G18" s="2846" t="s">
        <v>3601</v>
      </c>
      <c r="H18" s="3722"/>
      <c r="I18" s="2846" t="s">
        <v>3601</v>
      </c>
      <c r="J18" s="3722"/>
      <c r="K18" s="2806"/>
      <c r="L18" s="1980"/>
      <c r="M18" s="1975"/>
      <c r="N18" s="1975"/>
      <c r="O18" s="1975"/>
      <c r="P18" s="4595"/>
      <c r="Q18" s="1507"/>
      <c r="R18" s="3735"/>
      <c r="S18" s="3157"/>
      <c r="T18" s="3735"/>
      <c r="U18" s="3157"/>
      <c r="V18" s="3735"/>
      <c r="W18" s="3157"/>
      <c r="X18" s="909"/>
      <c r="Y18" s="4578"/>
      <c r="Z18" s="907"/>
      <c r="AA18" s="907">
        <v>1</v>
      </c>
      <c r="AB18" s="907">
        <v>1</v>
      </c>
      <c r="AC18" s="907">
        <v>1</v>
      </c>
    </row>
    <row r="19" spans="1:29" ht="15">
      <c r="A19" s="254"/>
      <c r="B19" s="2797" t="s">
        <v>1234</v>
      </c>
      <c r="C19" s="2821">
        <f>估价对象房地状况!C7</f>
        <v>0</v>
      </c>
      <c r="D19" s="2895">
        <v>100</v>
      </c>
      <c r="E19" s="2853"/>
      <c r="F19" s="3724">
        <f>SUMIF(80:80,E20,81:81)-SUMIF(80:80,C20,81:81)+100</f>
        <v>103</v>
      </c>
      <c r="G19" s="2847"/>
      <c r="H19" s="3723">
        <f>SUMIF(80:80,G20,81:81)-SUMIF(80:80,C20,81:81)+100</f>
        <v>103</v>
      </c>
      <c r="I19" s="2847"/>
      <c r="J19" s="3723">
        <f>SUMIF(80:80,I20,81:81)-SUMIF(80:80,C20,81:81)+100</f>
        <v>100</v>
      </c>
      <c r="K19" s="2805">
        <v>3</v>
      </c>
      <c r="L19" s="1980"/>
      <c r="M19" s="1975"/>
      <c r="N19" s="1975"/>
      <c r="O19" s="1975"/>
      <c r="P19" s="4595"/>
      <c r="Q19" s="1507" t="str">
        <f>B19</f>
        <v>公共配套设施</v>
      </c>
      <c r="R19" s="3735" t="s">
        <v>16</v>
      </c>
      <c r="S19" s="3157">
        <f>F19</f>
        <v>103</v>
      </c>
      <c r="T19" s="3735" t="s">
        <v>16</v>
      </c>
      <c r="U19" s="3157">
        <f>H19</f>
        <v>103</v>
      </c>
      <c r="V19" s="3735" t="s">
        <v>16</v>
      </c>
      <c r="W19" s="3157">
        <f>J19</f>
        <v>100</v>
      </c>
      <c r="X19" s="909"/>
      <c r="Y19" s="4578"/>
      <c r="Z19" s="907" t="str">
        <f>Q19</f>
        <v>公共配套设施</v>
      </c>
      <c r="AA19" s="907">
        <f t="shared" si="3"/>
        <v>0.970873786407767</v>
      </c>
      <c r="AB19" s="907">
        <f t="shared" si="4"/>
        <v>0.970873786407767</v>
      </c>
      <c r="AC19" s="907">
        <f t="shared" si="5"/>
        <v>1</v>
      </c>
    </row>
    <row r="20" spans="1:29" ht="15">
      <c r="A20" s="254"/>
      <c r="B20" s="2798"/>
      <c r="C20" s="2820" t="s">
        <v>3600</v>
      </c>
      <c r="D20" s="2893"/>
      <c r="E20" s="2854" t="s">
        <v>3601</v>
      </c>
      <c r="F20" s="3722"/>
      <c r="G20" s="2848" t="s">
        <v>3601</v>
      </c>
      <c r="H20" s="3722"/>
      <c r="I20" s="2848" t="s">
        <v>3600</v>
      </c>
      <c r="J20" s="3722"/>
      <c r="K20" s="2806"/>
      <c r="L20" s="1980"/>
      <c r="M20" s="1975"/>
      <c r="N20" s="1975"/>
      <c r="O20" s="1975"/>
      <c r="P20" s="4595"/>
      <c r="Q20" s="1507"/>
      <c r="R20" s="3735"/>
      <c r="S20" s="3157"/>
      <c r="T20" s="3735"/>
      <c r="U20" s="3157"/>
      <c r="V20" s="3735"/>
      <c r="W20" s="3157"/>
      <c r="X20" s="909"/>
      <c r="Y20" s="4578"/>
      <c r="Z20" s="907"/>
      <c r="AA20" s="907">
        <v>1</v>
      </c>
      <c r="AB20" s="907">
        <v>1</v>
      </c>
      <c r="AC20" s="907">
        <v>1</v>
      </c>
    </row>
    <row r="21" spans="1:29" ht="15">
      <c r="A21" s="254"/>
      <c r="B21" s="2799" t="s">
        <v>1236</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v>2</v>
      </c>
      <c r="L21" s="1980"/>
      <c r="M21" s="1975"/>
      <c r="N21" s="1975"/>
      <c r="O21" s="1975"/>
      <c r="P21" s="4595"/>
      <c r="Q21" s="1507" t="str">
        <f>B21</f>
        <v>基础设施水平</v>
      </c>
      <c r="R21" s="3735" t="s">
        <v>13</v>
      </c>
      <c r="S21" s="3157">
        <f>F21</f>
        <v>100</v>
      </c>
      <c r="T21" s="3735" t="s">
        <v>13</v>
      </c>
      <c r="U21" s="3157">
        <f>H21</f>
        <v>100</v>
      </c>
      <c r="V21" s="3735" t="s">
        <v>13</v>
      </c>
      <c r="W21" s="3157">
        <f>J21</f>
        <v>100</v>
      </c>
      <c r="X21" s="909"/>
      <c r="Y21" s="4578"/>
      <c r="Z21" s="907" t="str">
        <f>Q21</f>
        <v>基础设施水平</v>
      </c>
      <c r="AA21" s="907">
        <f t="shared" ref="AA21" si="8">D21/F21</f>
        <v>1</v>
      </c>
      <c r="AB21" s="907">
        <f t="shared" ref="AB21" si="9">D21/H21</f>
        <v>1</v>
      </c>
      <c r="AC21" s="907">
        <f t="shared" ref="AC21" si="10">D21/J21</f>
        <v>1</v>
      </c>
    </row>
    <row r="22" spans="1:29" ht="15">
      <c r="A22" s="254"/>
      <c r="B22" s="2799"/>
      <c r="C22" s="2822" t="s">
        <v>3603</v>
      </c>
      <c r="D22" s="2893"/>
      <c r="E22" s="2820" t="s">
        <v>3603</v>
      </c>
      <c r="F22" s="3722"/>
      <c r="G22" s="2871" t="s">
        <v>3603</v>
      </c>
      <c r="H22" s="3722"/>
      <c r="I22" s="2820" t="s">
        <v>3603</v>
      </c>
      <c r="J22" s="3722"/>
      <c r="K22" s="2807"/>
      <c r="L22" s="1980"/>
      <c r="M22" s="1975"/>
      <c r="N22" s="1975"/>
      <c r="O22" s="1975"/>
      <c r="P22" s="4595"/>
      <c r="Q22" s="1507"/>
      <c r="R22" s="3735"/>
      <c r="S22" s="3157"/>
      <c r="T22" s="3735"/>
      <c r="U22" s="3157"/>
      <c r="V22" s="3735"/>
      <c r="W22" s="3157"/>
      <c r="X22" s="909"/>
      <c r="Y22" s="4578"/>
      <c r="Z22" s="907"/>
      <c r="AA22" s="907">
        <v>1</v>
      </c>
      <c r="AB22" s="907">
        <v>1</v>
      </c>
      <c r="AC22" s="907">
        <v>1</v>
      </c>
    </row>
    <row r="23" spans="1:29" ht="15">
      <c r="A23" s="254"/>
      <c r="B23" s="2797" t="s">
        <v>1237</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v>3</v>
      </c>
      <c r="L23" s="1980"/>
      <c r="M23" s="1975"/>
      <c r="N23" s="1975"/>
      <c r="O23" s="1975"/>
      <c r="P23" s="4595"/>
      <c r="Q23" s="1507" t="str">
        <f>B23</f>
        <v>自然及人文环境</v>
      </c>
      <c r="R23" s="3735" t="s">
        <v>16</v>
      </c>
      <c r="S23" s="3157">
        <f>F23</f>
        <v>100</v>
      </c>
      <c r="T23" s="3735" t="s">
        <v>16</v>
      </c>
      <c r="U23" s="3157">
        <f>H23</f>
        <v>100</v>
      </c>
      <c r="V23" s="3735" t="s">
        <v>16</v>
      </c>
      <c r="W23" s="3157">
        <f>J23</f>
        <v>100</v>
      </c>
      <c r="X23" s="909"/>
      <c r="Y23" s="4578"/>
      <c r="Z23" s="907" t="str">
        <f>Q23</f>
        <v>自然及人文环境</v>
      </c>
      <c r="AA23" s="907">
        <f>D23/F23</f>
        <v>1</v>
      </c>
      <c r="AB23" s="907">
        <f>D23/H23</f>
        <v>1</v>
      </c>
      <c r="AC23" s="907">
        <f>D23/J23</f>
        <v>1</v>
      </c>
    </row>
    <row r="24" spans="1:29" ht="15">
      <c r="A24" s="254"/>
      <c r="B24" s="2798"/>
      <c r="C24" s="2820" t="s">
        <v>3600</v>
      </c>
      <c r="D24" s="2893"/>
      <c r="E24" s="2854" t="s">
        <v>3600</v>
      </c>
      <c r="F24" s="3722"/>
      <c r="G24" s="2848" t="s">
        <v>3600</v>
      </c>
      <c r="H24" s="3722"/>
      <c r="I24" s="2848" t="s">
        <v>3600</v>
      </c>
      <c r="J24" s="3722"/>
      <c r="K24" s="2806"/>
      <c r="L24" s="1980"/>
      <c r="M24" s="1975"/>
      <c r="N24" s="1975"/>
      <c r="O24" s="1975"/>
      <c r="P24" s="4595"/>
      <c r="Q24" s="1507"/>
      <c r="R24" s="3735"/>
      <c r="S24" s="3157"/>
      <c r="T24" s="3735"/>
      <c r="U24" s="3157"/>
      <c r="V24" s="3735"/>
      <c r="W24" s="3157"/>
      <c r="X24" s="909"/>
      <c r="Y24" s="4578"/>
      <c r="Z24" s="907"/>
      <c r="AA24" s="907">
        <v>1</v>
      </c>
      <c r="AB24" s="907">
        <v>1</v>
      </c>
      <c r="AC24" s="907">
        <v>1</v>
      </c>
    </row>
    <row r="25" spans="1:29" ht="15">
      <c r="A25" s="254"/>
      <c r="B25" s="2789" t="s">
        <v>1597</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95"/>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78"/>
      <c r="Z25" s="907" t="str">
        <f>Q25</f>
        <v>楼层-1</v>
      </c>
      <c r="AA25" s="907">
        <f t="shared" ref="AA25:AA46" si="15">D25/F25</f>
        <v>1</v>
      </c>
      <c r="AB25" s="907">
        <f t="shared" ref="AB25:AB46" si="16">D25/H25</f>
        <v>1</v>
      </c>
      <c r="AC25" s="907">
        <f t="shared" ref="AC25:AC46" si="17">D25/J25</f>
        <v>1</v>
      </c>
    </row>
    <row r="26" spans="1:29" ht="15">
      <c r="A26" s="254"/>
      <c r="B26" s="2789" t="s">
        <v>1598</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95"/>
      <c r="Q26" s="1507" t="str">
        <f t="shared" si="11"/>
        <v>朝向</v>
      </c>
      <c r="R26" s="3735" t="s">
        <v>16</v>
      </c>
      <c r="S26" s="3157">
        <f t="shared" si="12"/>
        <v>100</v>
      </c>
      <c r="T26" s="3735" t="s">
        <v>16</v>
      </c>
      <c r="U26" s="3157">
        <f t="shared" si="13"/>
        <v>100</v>
      </c>
      <c r="V26" s="3735" t="s">
        <v>16</v>
      </c>
      <c r="W26" s="3157">
        <f t="shared" si="14"/>
        <v>100</v>
      </c>
      <c r="X26" s="909"/>
      <c r="Y26" s="4578"/>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95"/>
      <c r="Q27" s="1698">
        <f t="shared" si="11"/>
        <v>111</v>
      </c>
      <c r="R27" s="3633" t="s">
        <v>16</v>
      </c>
      <c r="S27" s="3156">
        <f t="shared" si="12"/>
        <v>100</v>
      </c>
      <c r="T27" s="3633" t="s">
        <v>16</v>
      </c>
      <c r="U27" s="3156">
        <f t="shared" si="13"/>
        <v>100</v>
      </c>
      <c r="V27" s="3633" t="s">
        <v>16</v>
      </c>
      <c r="W27" s="3156">
        <f t="shared" si="14"/>
        <v>100</v>
      </c>
      <c r="X27" s="482"/>
      <c r="Y27" s="4578"/>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95"/>
      <c r="Q28" s="1507">
        <f t="shared" si="11"/>
        <v>111</v>
      </c>
      <c r="R28" s="3735" t="s">
        <v>16</v>
      </c>
      <c r="S28" s="3157">
        <f t="shared" si="12"/>
        <v>100</v>
      </c>
      <c r="T28" s="3735" t="s">
        <v>16</v>
      </c>
      <c r="U28" s="3157">
        <f t="shared" si="13"/>
        <v>100</v>
      </c>
      <c r="V28" s="3735" t="s">
        <v>16</v>
      </c>
      <c r="W28" s="3157">
        <f t="shared" si="14"/>
        <v>100</v>
      </c>
      <c r="X28" s="909"/>
      <c r="Y28" s="4578"/>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95"/>
      <c r="Q29" s="1507">
        <f t="shared" si="11"/>
        <v>111</v>
      </c>
      <c r="R29" s="3735" t="s">
        <v>16</v>
      </c>
      <c r="S29" s="3157">
        <f t="shared" si="12"/>
        <v>100</v>
      </c>
      <c r="T29" s="3735" t="s">
        <v>16</v>
      </c>
      <c r="U29" s="3157">
        <f t="shared" si="13"/>
        <v>100</v>
      </c>
      <c r="V29" s="3735" t="s">
        <v>16</v>
      </c>
      <c r="W29" s="3157">
        <f t="shared" si="14"/>
        <v>100</v>
      </c>
      <c r="X29" s="909"/>
      <c r="Y29" s="4578"/>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95"/>
      <c r="Q30" s="1507">
        <f t="shared" si="11"/>
        <v>111</v>
      </c>
      <c r="R30" s="3735" t="s">
        <v>16</v>
      </c>
      <c r="S30" s="3157">
        <f t="shared" si="12"/>
        <v>100</v>
      </c>
      <c r="T30" s="3735" t="s">
        <v>16</v>
      </c>
      <c r="U30" s="3157">
        <f t="shared" si="13"/>
        <v>100</v>
      </c>
      <c r="V30" s="3735" t="s">
        <v>16</v>
      </c>
      <c r="W30" s="3157">
        <f t="shared" si="14"/>
        <v>100</v>
      </c>
      <c r="X30" s="909"/>
      <c r="Y30" s="4578"/>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95"/>
      <c r="Q31" s="1507">
        <f t="shared" si="11"/>
        <v>111</v>
      </c>
      <c r="R31" s="3735" t="s">
        <v>16</v>
      </c>
      <c r="S31" s="3157">
        <f t="shared" si="12"/>
        <v>100</v>
      </c>
      <c r="T31" s="3735" t="s">
        <v>16</v>
      </c>
      <c r="U31" s="3157">
        <f t="shared" si="13"/>
        <v>100</v>
      </c>
      <c r="V31" s="3735" t="s">
        <v>16</v>
      </c>
      <c r="W31" s="3157">
        <f t="shared" si="14"/>
        <v>100</v>
      </c>
      <c r="X31" s="909"/>
      <c r="Y31" s="4578"/>
      <c r="Z31" s="907">
        <f t="shared" si="18"/>
        <v>111</v>
      </c>
      <c r="AA31" s="907">
        <f t="shared" si="15"/>
        <v>1</v>
      </c>
      <c r="AB31" s="907">
        <f t="shared" si="16"/>
        <v>1</v>
      </c>
      <c r="AC31" s="907">
        <f t="shared" si="17"/>
        <v>1</v>
      </c>
    </row>
    <row r="32" spans="1:29" ht="15">
      <c r="A32" s="262" t="s">
        <v>1599</v>
      </c>
      <c r="B32" s="2792" t="s">
        <v>1600</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96" t="s">
        <v>1601</v>
      </c>
      <c r="Q32" s="1507" t="str">
        <f t="shared" si="11"/>
        <v>建筑类型</v>
      </c>
      <c r="R32" s="3735" t="s">
        <v>16</v>
      </c>
      <c r="S32" s="3157">
        <f t="shared" si="12"/>
        <v>100</v>
      </c>
      <c r="T32" s="3735" t="s">
        <v>16</v>
      </c>
      <c r="U32" s="3157">
        <f t="shared" si="13"/>
        <v>100</v>
      </c>
      <c r="V32" s="3735" t="s">
        <v>16</v>
      </c>
      <c r="W32" s="3157">
        <f t="shared" si="14"/>
        <v>100</v>
      </c>
      <c r="X32" s="909"/>
      <c r="Y32" s="4581" t="s">
        <v>1601</v>
      </c>
      <c r="Z32" s="907" t="str">
        <f t="shared" si="18"/>
        <v>建筑类型</v>
      </c>
      <c r="AA32" s="907">
        <f t="shared" si="15"/>
        <v>1</v>
      </c>
      <c r="AB32" s="907">
        <f t="shared" si="16"/>
        <v>1</v>
      </c>
      <c r="AC32" s="907">
        <f t="shared" si="17"/>
        <v>1</v>
      </c>
    </row>
    <row r="33" spans="1:29" s="279" customFormat="1" ht="15">
      <c r="A33" s="277"/>
      <c r="B33" s="2789" t="s">
        <v>1602</v>
      </c>
      <c r="C33" s="2882">
        <v>632209</v>
      </c>
      <c r="D33" s="2888">
        <v>100</v>
      </c>
      <c r="E33" s="2842">
        <v>464452.1</v>
      </c>
      <c r="F33" s="3719">
        <f>LOOKUP(E33,103:103,104:104)-LOOKUP(C33,103:103,104:104)+100</f>
        <v>99</v>
      </c>
      <c r="G33" s="2814">
        <v>637344</v>
      </c>
      <c r="H33" s="3731">
        <f>LOOKUP(G33,103:103,104:104)-LOOKUP(C33,103:103,104:104)+100</f>
        <v>100</v>
      </c>
      <c r="I33" s="2842">
        <v>557253.43999999994</v>
      </c>
      <c r="J33" s="3731">
        <f>LOOKUP(I33,103:103,104:104)-LOOKUP(C33,103:103,104:104)+100</f>
        <v>100</v>
      </c>
      <c r="K33" s="2804"/>
      <c r="L33" s="1979"/>
      <c r="M33" s="1981"/>
      <c r="N33" s="1981"/>
      <c r="O33" s="1981"/>
      <c r="P33" s="4597"/>
      <c r="Q33" s="2864" t="str">
        <f t="shared" si="11"/>
        <v>项目建筑规模</v>
      </c>
      <c r="R33" s="3736" t="s">
        <v>16</v>
      </c>
      <c r="S33" s="3158">
        <f t="shared" si="12"/>
        <v>99</v>
      </c>
      <c r="T33" s="3736" t="s">
        <v>16</v>
      </c>
      <c r="U33" s="3158">
        <f t="shared" si="13"/>
        <v>100</v>
      </c>
      <c r="V33" s="3736" t="s">
        <v>16</v>
      </c>
      <c r="W33" s="3158">
        <f t="shared" si="14"/>
        <v>100</v>
      </c>
      <c r="X33" s="484"/>
      <c r="Y33" s="4581"/>
      <c r="Z33" s="485" t="str">
        <f t="shared" si="18"/>
        <v>项目建筑规模</v>
      </c>
      <c r="AA33" s="907">
        <f t="shared" si="15"/>
        <v>1.0101010101010102</v>
      </c>
      <c r="AB33" s="907">
        <f t="shared" si="16"/>
        <v>1</v>
      </c>
      <c r="AC33" s="907">
        <f t="shared" si="17"/>
        <v>1</v>
      </c>
    </row>
    <row r="34" spans="1:29" ht="15">
      <c r="A34" s="280"/>
      <c r="B34" s="2789" t="s">
        <v>1603</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97"/>
      <c r="Q34" s="1507" t="str">
        <f t="shared" si="11"/>
        <v>建筑结构</v>
      </c>
      <c r="R34" s="3735" t="s">
        <v>16</v>
      </c>
      <c r="S34" s="3157">
        <f t="shared" si="12"/>
        <v>100</v>
      </c>
      <c r="T34" s="3735" t="s">
        <v>16</v>
      </c>
      <c r="U34" s="3157">
        <f t="shared" si="13"/>
        <v>100</v>
      </c>
      <c r="V34" s="3735" t="s">
        <v>16</v>
      </c>
      <c r="W34" s="3157">
        <f t="shared" si="14"/>
        <v>100</v>
      </c>
      <c r="X34" s="909"/>
      <c r="Y34" s="4581"/>
      <c r="Z34" s="907" t="str">
        <f t="shared" si="18"/>
        <v>建筑结构</v>
      </c>
      <c r="AA34" s="907">
        <f t="shared" si="15"/>
        <v>1</v>
      </c>
      <c r="AB34" s="907">
        <f t="shared" si="16"/>
        <v>1</v>
      </c>
      <c r="AC34" s="907">
        <f t="shared" si="17"/>
        <v>1</v>
      </c>
    </row>
    <row r="35" spans="1:29" ht="15">
      <c r="A35" s="280"/>
      <c r="B35" s="2789" t="s">
        <v>1604</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97"/>
      <c r="Q35" s="1507" t="str">
        <f t="shared" si="11"/>
        <v>建筑品质</v>
      </c>
      <c r="R35" s="3735" t="s">
        <v>16</v>
      </c>
      <c r="S35" s="3157">
        <f t="shared" si="12"/>
        <v>100</v>
      </c>
      <c r="T35" s="3735" t="s">
        <v>16</v>
      </c>
      <c r="U35" s="3157">
        <f t="shared" si="13"/>
        <v>100</v>
      </c>
      <c r="V35" s="3735" t="s">
        <v>16</v>
      </c>
      <c r="W35" s="3157">
        <f t="shared" si="14"/>
        <v>100</v>
      </c>
      <c r="X35" s="909"/>
      <c r="Y35" s="4581"/>
      <c r="Z35" s="907" t="str">
        <f t="shared" si="18"/>
        <v>建筑品质</v>
      </c>
      <c r="AA35" s="907">
        <f t="shared" si="15"/>
        <v>1</v>
      </c>
      <c r="AB35" s="907">
        <f t="shared" si="16"/>
        <v>1</v>
      </c>
      <c r="AC35" s="907">
        <f t="shared" si="17"/>
        <v>1</v>
      </c>
    </row>
    <row r="36" spans="1:29" ht="15">
      <c r="A36" s="280"/>
      <c r="B36" s="2789" t="s">
        <v>1605</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97"/>
      <c r="Q36" s="1507" t="str">
        <f t="shared" si="11"/>
        <v>公共部分装修</v>
      </c>
      <c r="R36" s="3735" t="s">
        <v>16</v>
      </c>
      <c r="S36" s="3157">
        <f t="shared" si="12"/>
        <v>100</v>
      </c>
      <c r="T36" s="3735" t="s">
        <v>16</v>
      </c>
      <c r="U36" s="3157">
        <f t="shared" si="13"/>
        <v>100</v>
      </c>
      <c r="V36" s="3735" t="s">
        <v>16</v>
      </c>
      <c r="W36" s="3157">
        <f t="shared" si="14"/>
        <v>100</v>
      </c>
      <c r="X36" s="909"/>
      <c r="Y36" s="4581"/>
      <c r="Z36" s="907" t="str">
        <f t="shared" si="18"/>
        <v>公共部分装修</v>
      </c>
      <c r="AA36" s="907">
        <f t="shared" si="15"/>
        <v>1</v>
      </c>
      <c r="AB36" s="907">
        <f t="shared" si="16"/>
        <v>1</v>
      </c>
      <c r="AC36" s="907">
        <f t="shared" si="17"/>
        <v>1</v>
      </c>
    </row>
    <row r="37" spans="1:29" s="46" customFormat="1" ht="15">
      <c r="A37" s="281"/>
      <c r="B37" s="2789" t="s">
        <v>1606</v>
      </c>
      <c r="C37" s="2827">
        <v>1</v>
      </c>
      <c r="D37" s="2888">
        <v>100</v>
      </c>
      <c r="E37" s="2827">
        <f>E51</f>
        <v>0.92</v>
      </c>
      <c r="F37" s="3719">
        <f>LOOKUP(E37,112:112,113:113)-LOOKUP(C37,112:112,113:113)+100</f>
        <v>99</v>
      </c>
      <c r="G37" s="2875">
        <f>G51</f>
        <v>0.83</v>
      </c>
      <c r="H37" s="3731">
        <f>LOOKUP(G37,112:112,113:113)-LOOKUP(C37,112:112,113:113)+100</f>
        <v>97</v>
      </c>
      <c r="I37" s="2876">
        <f>I51</f>
        <v>0.93</v>
      </c>
      <c r="J37" s="3731">
        <f>LOOKUP(I37,112:112,113:113)-LOOKUP(C37,112:112,113:113)+100</f>
        <v>99</v>
      </c>
      <c r="K37" s="2803">
        <v>1</v>
      </c>
      <c r="L37" s="1976"/>
      <c r="M37" s="1929"/>
      <c r="N37" s="1929"/>
      <c r="O37" s="1929"/>
      <c r="P37" s="4597"/>
      <c r="Q37" s="1698" t="str">
        <f t="shared" si="11"/>
        <v>成新度</v>
      </c>
      <c r="R37" s="3633" t="s">
        <v>16</v>
      </c>
      <c r="S37" s="3156">
        <f t="shared" si="12"/>
        <v>99</v>
      </c>
      <c r="T37" s="3633" t="s">
        <v>16</v>
      </c>
      <c r="U37" s="3156">
        <f t="shared" si="13"/>
        <v>97</v>
      </c>
      <c r="V37" s="3633" t="s">
        <v>16</v>
      </c>
      <c r="W37" s="3156">
        <f t="shared" si="14"/>
        <v>99</v>
      </c>
      <c r="X37" s="482"/>
      <c r="Y37" s="4581"/>
      <c r="Z37" s="28" t="str">
        <f t="shared" si="18"/>
        <v>成新度</v>
      </c>
      <c r="AA37" s="28">
        <f t="shared" si="15"/>
        <v>1.0101010101010102</v>
      </c>
      <c r="AB37" s="28">
        <f t="shared" si="16"/>
        <v>1.0309278350515463</v>
      </c>
      <c r="AC37" s="28">
        <f t="shared" si="17"/>
        <v>1.0101010101010102</v>
      </c>
    </row>
    <row r="38" spans="1:29" ht="15">
      <c r="A38" s="280"/>
      <c r="B38" s="2789" t="s">
        <v>1607</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97" t="s">
        <v>1601</v>
      </c>
      <c r="Q38" s="1507" t="str">
        <f t="shared" si="11"/>
        <v>物业管理</v>
      </c>
      <c r="R38" s="3735" t="s">
        <v>16</v>
      </c>
      <c r="S38" s="3157">
        <f t="shared" si="12"/>
        <v>100</v>
      </c>
      <c r="T38" s="3735" t="s">
        <v>16</v>
      </c>
      <c r="U38" s="3157">
        <f t="shared" si="13"/>
        <v>100</v>
      </c>
      <c r="V38" s="3735" t="s">
        <v>16</v>
      </c>
      <c r="W38" s="3157">
        <f t="shared" si="14"/>
        <v>100</v>
      </c>
      <c r="X38" s="909"/>
      <c r="Y38" s="4581" t="s">
        <v>1601</v>
      </c>
      <c r="Z38" s="907" t="str">
        <f t="shared" si="18"/>
        <v>物业管理</v>
      </c>
      <c r="AA38" s="907">
        <f t="shared" si="15"/>
        <v>1</v>
      </c>
      <c r="AB38" s="907">
        <f t="shared" si="16"/>
        <v>1</v>
      </c>
      <c r="AC38" s="907">
        <f t="shared" si="17"/>
        <v>1</v>
      </c>
    </row>
    <row r="39" spans="1:29" ht="15">
      <c r="A39" s="280"/>
      <c r="B39" s="2789" t="s">
        <v>1608</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97"/>
      <c r="Q39" s="1507" t="str">
        <f t="shared" si="11"/>
        <v>市政基础设施</v>
      </c>
      <c r="R39" s="3735" t="s">
        <v>16</v>
      </c>
      <c r="S39" s="3157">
        <f t="shared" si="12"/>
        <v>100</v>
      </c>
      <c r="T39" s="3735" t="s">
        <v>16</v>
      </c>
      <c r="U39" s="3157">
        <f t="shared" si="13"/>
        <v>100</v>
      </c>
      <c r="V39" s="3735" t="s">
        <v>16</v>
      </c>
      <c r="W39" s="3157">
        <f t="shared" si="14"/>
        <v>100</v>
      </c>
      <c r="X39" s="909"/>
      <c r="Y39" s="4581"/>
      <c r="Z39" s="907" t="str">
        <f t="shared" si="18"/>
        <v>市政基础设施</v>
      </c>
      <c r="AA39" s="907">
        <f t="shared" si="15"/>
        <v>1</v>
      </c>
      <c r="AB39" s="907">
        <f t="shared" si="16"/>
        <v>1</v>
      </c>
      <c r="AC39" s="907">
        <f t="shared" si="17"/>
        <v>1</v>
      </c>
    </row>
    <row r="40" spans="1:29" ht="15">
      <c r="A40" s="280"/>
      <c r="B40" s="2789" t="s">
        <v>1609</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97"/>
      <c r="Q40" s="1507" t="str">
        <f t="shared" si="11"/>
        <v>房型</v>
      </c>
      <c r="R40" s="3735" t="s">
        <v>16</v>
      </c>
      <c r="S40" s="3157">
        <f t="shared" si="12"/>
        <v>100</v>
      </c>
      <c r="T40" s="3735" t="s">
        <v>16</v>
      </c>
      <c r="U40" s="3157">
        <f t="shared" si="13"/>
        <v>100</v>
      </c>
      <c r="V40" s="3735" t="s">
        <v>16</v>
      </c>
      <c r="W40" s="3157">
        <f t="shared" si="14"/>
        <v>100</v>
      </c>
      <c r="X40" s="909"/>
      <c r="Y40" s="4581"/>
      <c r="Z40" s="907" t="str">
        <f t="shared" si="18"/>
        <v>房型</v>
      </c>
      <c r="AA40" s="907">
        <f t="shared" si="15"/>
        <v>1</v>
      </c>
      <c r="AB40" s="907">
        <f t="shared" si="16"/>
        <v>1</v>
      </c>
      <c r="AC40" s="907">
        <f t="shared" si="17"/>
        <v>1</v>
      </c>
    </row>
    <row r="41" spans="1:29" s="279" customFormat="1" ht="28.5">
      <c r="A41" s="277"/>
      <c r="B41" s="2789" t="s">
        <v>1610</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97"/>
      <c r="Q41" s="2864" t="str">
        <f t="shared" si="11"/>
        <v>单套/主力户型建筑面积</v>
      </c>
      <c r="R41" s="3736" t="s">
        <v>16</v>
      </c>
      <c r="S41" s="3158">
        <f t="shared" si="12"/>
        <v>100</v>
      </c>
      <c r="T41" s="3736" t="s">
        <v>16</v>
      </c>
      <c r="U41" s="3158">
        <f t="shared" si="13"/>
        <v>100</v>
      </c>
      <c r="V41" s="3736" t="s">
        <v>16</v>
      </c>
      <c r="W41" s="3158">
        <f t="shared" si="14"/>
        <v>100</v>
      </c>
      <c r="X41" s="484"/>
      <c r="Y41" s="4581"/>
      <c r="Z41" s="485" t="str">
        <f t="shared" si="18"/>
        <v>单套/主力户型建筑面积</v>
      </c>
      <c r="AA41" s="907">
        <f t="shared" si="15"/>
        <v>1</v>
      </c>
      <c r="AB41" s="907">
        <f t="shared" si="16"/>
        <v>1</v>
      </c>
      <c r="AC41" s="907">
        <f t="shared" si="17"/>
        <v>1</v>
      </c>
    </row>
    <row r="42" spans="1:29" ht="15">
      <c r="A42" s="280"/>
      <c r="B42" s="2789" t="s">
        <v>1611</v>
      </c>
      <c r="C42" s="4271" t="s">
        <v>4188</v>
      </c>
      <c r="D42" s="2890">
        <v>100</v>
      </c>
      <c r="E42" s="4270" t="s">
        <v>4185</v>
      </c>
      <c r="F42" s="3728">
        <f>SUMIF(122:122,E42,123:123)-SUMIF(122:122,C42,123:123)+100</f>
        <v>94</v>
      </c>
      <c r="G42" s="4271" t="s">
        <v>4185</v>
      </c>
      <c r="H42" s="3725">
        <f>SUMIF(122:122,G42,123:123)-SUMIF(122:122,C42,123:123)+100</f>
        <v>94</v>
      </c>
      <c r="I42" s="4270" t="s">
        <v>4187</v>
      </c>
      <c r="J42" s="3725">
        <f>SUMIF(122:122,I42,123:123)-SUMIF(122:122,C42,123:123)+100</f>
        <v>100</v>
      </c>
      <c r="K42" s="2803">
        <v>2</v>
      </c>
      <c r="L42" s="1980"/>
      <c r="M42" s="1975"/>
      <c r="N42" s="1975"/>
      <c r="O42" s="1975"/>
      <c r="P42" s="4597"/>
      <c r="Q42" s="1507" t="str">
        <f t="shared" si="11"/>
        <v>内部装修</v>
      </c>
      <c r="R42" s="3735" t="s">
        <v>16</v>
      </c>
      <c r="S42" s="3157">
        <f t="shared" si="12"/>
        <v>94</v>
      </c>
      <c r="T42" s="3735" t="s">
        <v>16</v>
      </c>
      <c r="U42" s="3157">
        <f t="shared" si="13"/>
        <v>94</v>
      </c>
      <c r="V42" s="3735" t="s">
        <v>16</v>
      </c>
      <c r="W42" s="3157">
        <f t="shared" si="14"/>
        <v>100</v>
      </c>
      <c r="X42" s="909"/>
      <c r="Y42" s="4581"/>
      <c r="Z42" s="907" t="str">
        <f t="shared" si="18"/>
        <v>内部装修</v>
      </c>
      <c r="AA42" s="907">
        <f t="shared" si="15"/>
        <v>1.0638297872340425</v>
      </c>
      <c r="AB42" s="907">
        <f t="shared" si="16"/>
        <v>1.0638297872340425</v>
      </c>
      <c r="AC42" s="907">
        <f t="shared" si="17"/>
        <v>1</v>
      </c>
    </row>
    <row r="43" spans="1:29" ht="15">
      <c r="A43" s="280"/>
      <c r="B43" s="2789" t="s">
        <v>1612</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97"/>
      <c r="Q43" s="1507" t="str">
        <f t="shared" si="11"/>
        <v>内部装修维护情况</v>
      </c>
      <c r="R43" s="3735" t="s">
        <v>16</v>
      </c>
      <c r="S43" s="3157">
        <f t="shared" si="12"/>
        <v>100</v>
      </c>
      <c r="T43" s="3735" t="s">
        <v>16</v>
      </c>
      <c r="U43" s="3157">
        <f t="shared" si="13"/>
        <v>100</v>
      </c>
      <c r="V43" s="3735" t="s">
        <v>16</v>
      </c>
      <c r="W43" s="3157">
        <f t="shared" si="14"/>
        <v>100</v>
      </c>
      <c r="X43" s="909"/>
      <c r="Y43" s="4581"/>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97"/>
      <c r="Q44" s="1698">
        <f t="shared" si="11"/>
        <v>111</v>
      </c>
      <c r="R44" s="3633" t="s">
        <v>16</v>
      </c>
      <c r="S44" s="3156">
        <f t="shared" si="12"/>
        <v>100</v>
      </c>
      <c r="T44" s="3633" t="s">
        <v>16</v>
      </c>
      <c r="U44" s="3156">
        <f t="shared" si="13"/>
        <v>100</v>
      </c>
      <c r="V44" s="3633" t="s">
        <v>16</v>
      </c>
      <c r="W44" s="3156">
        <f t="shared" si="14"/>
        <v>100</v>
      </c>
      <c r="X44" s="482"/>
      <c r="Y44" s="4581"/>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97"/>
      <c r="Q45" s="1507">
        <f t="shared" si="11"/>
        <v>111</v>
      </c>
      <c r="R45" s="3735" t="s">
        <v>16</v>
      </c>
      <c r="S45" s="3157">
        <f t="shared" si="12"/>
        <v>100</v>
      </c>
      <c r="T45" s="3735" t="s">
        <v>16</v>
      </c>
      <c r="U45" s="3157">
        <f t="shared" si="13"/>
        <v>100</v>
      </c>
      <c r="V45" s="3735" t="s">
        <v>16</v>
      </c>
      <c r="W45" s="3157">
        <f t="shared" si="14"/>
        <v>100</v>
      </c>
      <c r="X45" s="909"/>
      <c r="Y45" s="4581"/>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98"/>
      <c r="Q46" s="1507">
        <f t="shared" si="11"/>
        <v>111</v>
      </c>
      <c r="R46" s="3735" t="s">
        <v>15</v>
      </c>
      <c r="S46" s="3157">
        <f t="shared" si="12"/>
        <v>100</v>
      </c>
      <c r="T46" s="3735" t="s">
        <v>15</v>
      </c>
      <c r="U46" s="3157">
        <f t="shared" si="13"/>
        <v>100</v>
      </c>
      <c r="V46" s="3735" t="s">
        <v>15</v>
      </c>
      <c r="W46" s="3157">
        <f t="shared" si="14"/>
        <v>100</v>
      </c>
      <c r="X46" s="909"/>
      <c r="Y46" s="4599"/>
      <c r="Z46" s="907">
        <f t="shared" si="18"/>
        <v>111</v>
      </c>
      <c r="AA46" s="907">
        <f t="shared" si="15"/>
        <v>1</v>
      </c>
      <c r="AB46" s="907">
        <f t="shared" si="16"/>
        <v>1</v>
      </c>
      <c r="AC46" s="907">
        <f t="shared" si="17"/>
        <v>1</v>
      </c>
    </row>
    <row r="47" spans="1:29" ht="15">
      <c r="A47" s="286" t="s">
        <v>1613</v>
      </c>
      <c r="B47" s="287"/>
      <c r="C47" s="765" t="s">
        <v>14</v>
      </c>
      <c r="D47" s="288"/>
      <c r="E47" s="3205">
        <v>6801</v>
      </c>
      <c r="F47" s="766"/>
      <c r="G47" s="3206">
        <v>6785</v>
      </c>
      <c r="H47" s="767"/>
      <c r="I47" s="3205">
        <v>7601</v>
      </c>
      <c r="J47" s="767"/>
      <c r="K47" s="2808"/>
      <c r="L47" s="1982"/>
      <c r="M47" s="1975"/>
      <c r="N47" s="1975"/>
      <c r="O47" s="1975"/>
      <c r="P47" s="4551" t="str">
        <f>A47</f>
        <v>成交单价（元/平方米）</v>
      </c>
      <c r="Q47" s="4551"/>
      <c r="R47" s="4582">
        <f>E47</f>
        <v>6801</v>
      </c>
      <c r="S47" s="4582"/>
      <c r="T47" s="4582">
        <f>G47</f>
        <v>6785</v>
      </c>
      <c r="U47" s="4582"/>
      <c r="V47" s="4582">
        <f>I47</f>
        <v>7601</v>
      </c>
      <c r="W47" s="4582"/>
      <c r="X47" s="265"/>
      <c r="Y47" s="486"/>
      <c r="Z47" s="265"/>
      <c r="AA47" s="265"/>
      <c r="AB47" s="265"/>
      <c r="AC47" s="265"/>
    </row>
    <row r="48" spans="1:29" ht="15.75" thickBot="1">
      <c r="A48" s="289" t="s">
        <v>1614</v>
      </c>
      <c r="B48" s="290"/>
      <c r="C48" s="3733">
        <f>R49</f>
        <v>7239</v>
      </c>
      <c r="D48" s="3846" t="s">
        <v>2040</v>
      </c>
      <c r="E48" s="2885">
        <f>R48</f>
        <v>7029</v>
      </c>
      <c r="F48" s="2801"/>
      <c r="G48" s="2884">
        <f>T48</f>
        <v>7085</v>
      </c>
      <c r="H48" s="2801"/>
      <c r="I48" s="2885">
        <f>V48</f>
        <v>7602</v>
      </c>
      <c r="J48" s="2801"/>
      <c r="K48" s="2855">
        <f>F48+H48+J48</f>
        <v>0</v>
      </c>
      <c r="L48" s="1982"/>
      <c r="M48" s="1975"/>
      <c r="N48" s="1975"/>
      <c r="O48" s="1975"/>
      <c r="P48" s="4551" t="str">
        <f>A48</f>
        <v>比较价值（元/平方米）</v>
      </c>
      <c r="Q48" s="4551"/>
      <c r="R48" s="4582">
        <f>IF(F1="售价",ROUND(PRODUCT(R47,AA7:AA46),0),ROUND(PRODUCT(R47,AA7:AA46),1))</f>
        <v>7029</v>
      </c>
      <c r="S48" s="4582"/>
      <c r="T48" s="4582">
        <f>IF(F1="售价",ROUND(PRODUCT(T47,AB7:AB46),0),ROUND(PRODUCT(T47,AB7:AB46),1))</f>
        <v>7085</v>
      </c>
      <c r="U48" s="4582"/>
      <c r="V48" s="4582">
        <f>IF(F1="售价",ROUND(PRODUCT(V47,AC7:AC46),0),ROUND(PRODUCT(V47,AC7:AC46),1))</f>
        <v>7602</v>
      </c>
      <c r="W48" s="4582"/>
      <c r="X48" s="265"/>
      <c r="Y48" s="265"/>
      <c r="Z48" s="265"/>
      <c r="AA48" s="265"/>
      <c r="AB48" s="265"/>
      <c r="AC48" s="265"/>
    </row>
    <row r="49" spans="1:29" ht="15.75" thickBot="1">
      <c r="A49" s="291" t="s">
        <v>1615</v>
      </c>
      <c r="B49" s="292"/>
      <c r="C49" s="3734">
        <f>R49</f>
        <v>7239</v>
      </c>
      <c r="D49" s="241"/>
      <c r="E49" s="241"/>
      <c r="F49" s="241"/>
      <c r="G49" s="241"/>
      <c r="H49" s="241"/>
      <c r="I49" s="241"/>
      <c r="J49" s="241"/>
      <c r="K49" s="1372"/>
      <c r="L49" s="1982"/>
      <c r="M49" s="1975"/>
      <c r="N49" s="1975"/>
      <c r="O49" s="1975"/>
      <c r="P49" s="4583" t="str">
        <f>A49</f>
        <v>估价对象XX用房的比较价值（楼面单价，元/平方米）</v>
      </c>
      <c r="Q49" s="4584"/>
      <c r="R49" s="4585">
        <f>IF(F1="售价",ROUND(IF(D48="简单平均",AVERAGE(R48:V48),R48*F48+T48*H48+V48*J48),0),ROUND(IF(D48="简单平均",AVERAGE(R48:V48),R48*F48+T48*H48+V48*J48),1))</f>
        <v>7239</v>
      </c>
      <c r="S49" s="4585"/>
      <c r="T49" s="4585"/>
      <c r="U49" s="4585"/>
      <c r="V49" s="4585"/>
      <c r="W49" s="4585"/>
      <c r="X49" s="265"/>
      <c r="Y49" s="265"/>
      <c r="Z49" s="265"/>
      <c r="AA49" s="265"/>
      <c r="AB49" s="265"/>
      <c r="AC49" s="265"/>
    </row>
    <row r="50" spans="1:29">
      <c r="A50" s="1975"/>
      <c r="B50" s="1975"/>
      <c r="C50" s="1975"/>
      <c r="D50" s="1975"/>
      <c r="E50" s="1975">
        <v>2021</v>
      </c>
      <c r="F50" s="1975"/>
      <c r="G50" s="1986">
        <v>2016</v>
      </c>
      <c r="H50" s="1975"/>
      <c r="I50" s="1975">
        <v>2022</v>
      </c>
      <c r="J50" s="1975"/>
      <c r="K50" s="1987"/>
      <c r="L50" s="1983"/>
      <c r="M50" s="1975"/>
      <c r="N50" s="1975"/>
      <c r="O50" s="1975"/>
    </row>
    <row r="51" spans="1:29">
      <c r="A51" s="1975"/>
      <c r="B51" s="1975"/>
      <c r="C51" s="1975"/>
      <c r="D51" s="1975"/>
      <c r="E51" s="1975">
        <f>ROUND(1-(2026-E50)/60,2)</f>
        <v>0.92</v>
      </c>
      <c r="F51" s="1975"/>
      <c r="G51" s="1975">
        <f>ROUND(1-(2026-G50)/60,2)</f>
        <v>0.83</v>
      </c>
      <c r="H51" s="1975"/>
      <c r="I51" s="1975">
        <f>ROUND(1-(2026-I50)/60,2)</f>
        <v>0.93</v>
      </c>
      <c r="J51" s="1975"/>
      <c r="K51" s="1987"/>
      <c r="L51" s="1983"/>
      <c r="M51" s="1975"/>
      <c r="N51" s="1975"/>
      <c r="O51" s="1975"/>
    </row>
    <row r="52" spans="1:29" ht="13.5" customHeight="1">
      <c r="A52" s="1975"/>
      <c r="B52" s="1975"/>
      <c r="C52" s="296" t="s">
        <v>1616</v>
      </c>
      <c r="D52" s="297"/>
      <c r="E52" s="298">
        <f>IF(E47&lt;E48,E48/E47-1,E47/E48-1)</f>
        <v>3.3524481693868458E-2</v>
      </c>
      <c r="F52" s="299" t="str">
        <f>IF(OR(E52&gt;=0.3,E52&lt;=-0.3),"超过30%","")</f>
        <v/>
      </c>
      <c r="G52" s="298">
        <f>IF(G47&lt;G48,G48/G47-1,G47/G48-1)</f>
        <v>4.4215180545320587E-2</v>
      </c>
      <c r="H52" s="299" t="str">
        <f>IF(OR(G52&gt;=0.3,G52&lt;=-0.3),"超过30%","")</f>
        <v/>
      </c>
      <c r="I52" s="298">
        <f>IF(I47&lt;I48,I48/I47-1,I47/I48-1)</f>
        <v>1.315616366268646E-4</v>
      </c>
      <c r="J52" s="299" t="str">
        <f>IF(OR(I52&gt;=0.3,I52&lt;=-0.3),"超过30%","")</f>
        <v/>
      </c>
      <c r="K52" s="1987"/>
      <c r="L52" s="1983"/>
      <c r="M52" s="1975"/>
      <c r="N52" s="1975"/>
      <c r="O52" s="1975"/>
    </row>
    <row r="53" spans="1:29" ht="13.5" customHeight="1">
      <c r="A53" s="1975"/>
      <c r="B53" s="1975"/>
      <c r="C53" s="296" t="s">
        <v>1617</v>
      </c>
      <c r="D53" s="300"/>
      <c r="E53" s="298">
        <f>IF(E48&lt;G48,G48/E48-1,E48/G48-1)</f>
        <v>7.9669938824868947E-3</v>
      </c>
      <c r="F53" s="299" t="str">
        <f>IF(OR(E53&gt;=0.2,E53&lt;=-0.2),"超过20%","")</f>
        <v/>
      </c>
      <c r="G53" s="298">
        <f>IF(G48&lt;I48,I48/G48-1,G48/I48-1)</f>
        <v>7.2971065631616039E-2</v>
      </c>
      <c r="H53" s="299" t="str">
        <f>IF(OR(G53&gt;=0.2,G53&lt;=-0.2),"超过20%","")</f>
        <v/>
      </c>
      <c r="I53" s="298">
        <f>IF(I48&lt;E48,E48/I48-1,I48/E48-1)</f>
        <v>8.1519419547588567E-2</v>
      </c>
      <c r="J53" s="299" t="str">
        <f>IF(OR(I53&gt;=0.2,I53&lt;=-0.2),"超过20%","")</f>
        <v/>
      </c>
      <c r="K53" s="1987"/>
      <c r="L53" s="1983"/>
      <c r="M53" s="1975"/>
      <c r="N53" s="1975"/>
      <c r="O53" s="1975"/>
    </row>
    <row r="54" spans="1:29" s="301" customFormat="1" ht="13.5" customHeight="1">
      <c r="A54" s="1985"/>
      <c r="B54" s="1985"/>
      <c r="C54" s="296" t="s">
        <v>1618</v>
      </c>
      <c r="D54" s="300"/>
      <c r="E54" s="298">
        <f>IF(E47&lt;G47,G47/E47-1,E47/G47-1)</f>
        <v>2.358142962417098E-3</v>
      </c>
      <c r="F54" s="299" t="str">
        <f>IF(OR(E54&gt;=0.3,E54&lt;=-0.3),"超过30%","")</f>
        <v/>
      </c>
      <c r="G54" s="298">
        <f>IF(G47&lt;I47,I47/G47-1,G47/I47-1)</f>
        <v>0.120265291083272</v>
      </c>
      <c r="H54" s="299" t="str">
        <f>IF(OR(G54&gt;=0.3,G54&lt;=-0.3),"超过30%","")</f>
        <v/>
      </c>
      <c r="I54" s="298">
        <f>IF(I47&lt;E47,E47/I47-1,I47/E47-1)</f>
        <v>0.11762976032936323</v>
      </c>
      <c r="J54" s="299" t="str">
        <f>IF(OR(I54&gt;=0.3,I54&lt;=-0.3),"超过30%","")</f>
        <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1619</v>
      </c>
      <c r="B57" s="265"/>
      <c r="C57" s="477"/>
      <c r="D57" s="477"/>
      <c r="E57" s="477"/>
      <c r="F57" s="478"/>
      <c r="G57" s="478"/>
      <c r="H57" s="477"/>
      <c r="I57" s="477"/>
      <c r="J57" s="477"/>
      <c r="K57" s="619"/>
      <c r="L57" s="620"/>
      <c r="M57" s="618"/>
      <c r="N57" s="618"/>
      <c r="O57" s="618"/>
      <c r="P57" s="1375"/>
      <c r="Q57" s="302"/>
    </row>
    <row r="58" spans="1:29" s="305" customFormat="1" ht="15">
      <c r="A58" s="303" t="s">
        <v>1620</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1621</v>
      </c>
      <c r="B60" s="313"/>
      <c r="C60" s="314"/>
      <c r="D60" s="315"/>
      <c r="E60" s="315"/>
      <c r="F60" s="315"/>
      <c r="G60" s="315"/>
      <c r="H60" s="315"/>
      <c r="I60" s="315"/>
      <c r="J60" s="315"/>
      <c r="K60" s="315"/>
      <c r="L60" s="315"/>
      <c r="M60" s="316"/>
      <c r="N60" s="315"/>
      <c r="O60" s="316"/>
      <c r="P60" s="1377"/>
      <c r="Q60" s="302"/>
    </row>
    <row r="61" spans="1:29" s="46" customFormat="1" ht="15">
      <c r="A61" s="318" t="s">
        <v>1622</v>
      </c>
      <c r="B61" s="307"/>
      <c r="C61" s="319" t="s">
        <v>1623</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1624</v>
      </c>
      <c r="B63" s="322" t="s">
        <v>1590</v>
      </c>
      <c r="C63" s="323" t="str">
        <f>C9</f>
        <v>住宅</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1593</v>
      </c>
      <c r="C65" s="372"/>
      <c r="D65" s="372"/>
      <c r="E65" s="372"/>
      <c r="F65" s="372"/>
      <c r="G65" s="372"/>
      <c r="H65" s="372"/>
      <c r="I65" s="372"/>
      <c r="J65" s="372"/>
      <c r="K65" s="372"/>
      <c r="L65" s="372"/>
      <c r="M65" s="372"/>
      <c r="N65" s="612"/>
      <c r="O65" s="612"/>
      <c r="P65" s="1379"/>
      <c r="Q65" s="302"/>
    </row>
    <row r="66" spans="1:17" ht="15.75" thickBot="1">
      <c r="A66" s="254"/>
      <c r="B66" s="336" t="s">
        <v>3862</v>
      </c>
      <c r="C66" s="329"/>
      <c r="D66" s="329"/>
      <c r="E66" s="329"/>
      <c r="F66" s="329"/>
      <c r="G66" s="329"/>
      <c r="H66" s="329"/>
      <c r="I66" s="329"/>
      <c r="J66" s="329"/>
      <c r="K66" s="329"/>
      <c r="L66" s="329"/>
      <c r="M66" s="330"/>
      <c r="N66" s="612"/>
      <c r="O66" s="612"/>
      <c r="P66" s="1379"/>
      <c r="Q66" s="302"/>
    </row>
    <row r="67" spans="1:17" ht="15.75" thickTop="1">
      <c r="A67" s="254"/>
      <c r="B67" s="339" t="s">
        <v>1594</v>
      </c>
      <c r="C67" s="340" t="str">
        <f>C68&amp;"（含）"&amp;"-"&amp;D68</f>
        <v>0（含）-0.5</v>
      </c>
      <c r="D67" s="340" t="str">
        <f t="shared" ref="D67:L67" si="20">D68&amp;"（含）"&amp;"-"&amp;E68</f>
        <v>0.5（含）-1</v>
      </c>
      <c r="E67" s="340" t="str">
        <f t="shared" si="20"/>
        <v>1（含）-1.5</v>
      </c>
      <c r="F67" s="340" t="str">
        <f t="shared" si="20"/>
        <v>1.5（含）-2</v>
      </c>
      <c r="G67" s="340" t="str">
        <f t="shared" si="20"/>
        <v>2（含）-2.5</v>
      </c>
      <c r="H67" s="340" t="str">
        <f t="shared" si="20"/>
        <v>2.5（含）-3</v>
      </c>
      <c r="I67" s="340" t="str">
        <f t="shared" si="20"/>
        <v>3（含）-3.5</v>
      </c>
      <c r="J67" s="340" t="str">
        <f t="shared" si="20"/>
        <v>3.5（含）-4</v>
      </c>
      <c r="K67" s="340" t="str">
        <f>K68&amp;"（含）"&amp;"-"&amp;L68</f>
        <v>4（含）-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v>2.5</v>
      </c>
      <c r="I68" s="342">
        <v>3</v>
      </c>
      <c r="J68" s="342">
        <v>3.5</v>
      </c>
      <c r="K68" s="343">
        <v>4</v>
      </c>
      <c r="L68" s="344"/>
      <c r="M68" s="345"/>
      <c r="N68" s="611"/>
      <c r="O68" s="611"/>
      <c r="P68" s="1379"/>
      <c r="Q68" s="302"/>
    </row>
    <row r="69" spans="1:17" ht="15.75" thickBot="1">
      <c r="A69" s="254"/>
      <c r="B69" s="328"/>
      <c r="C69" s="337">
        <v>100</v>
      </c>
      <c r="D69" s="337">
        <f t="shared" ref="D69:M69" si="21">C69-$K11</f>
        <v>99</v>
      </c>
      <c r="E69" s="337">
        <f t="shared" si="21"/>
        <v>98</v>
      </c>
      <c r="F69" s="337">
        <f t="shared" si="21"/>
        <v>97</v>
      </c>
      <c r="G69" s="337">
        <f t="shared" si="21"/>
        <v>96</v>
      </c>
      <c r="H69" s="337">
        <f t="shared" si="21"/>
        <v>95</v>
      </c>
      <c r="I69" s="337">
        <f t="shared" si="21"/>
        <v>94</v>
      </c>
      <c r="J69" s="337">
        <f t="shared" si="21"/>
        <v>93</v>
      </c>
      <c r="K69" s="337">
        <f t="shared" si="21"/>
        <v>92</v>
      </c>
      <c r="L69" s="337">
        <f t="shared" si="21"/>
        <v>91</v>
      </c>
      <c r="M69" s="338">
        <f t="shared" si="21"/>
        <v>90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1595</v>
      </c>
      <c r="B76" s="322" t="s">
        <v>1625</v>
      </c>
      <c r="C76" s="364" t="s">
        <v>1626</v>
      </c>
      <c r="D76" s="364" t="s">
        <v>1627</v>
      </c>
      <c r="E76" s="364" t="s">
        <v>1628</v>
      </c>
      <c r="F76" s="364" t="s">
        <v>1629</v>
      </c>
      <c r="G76" s="364" t="s">
        <v>1630</v>
      </c>
      <c r="H76" s="323"/>
      <c r="I76" s="323"/>
      <c r="J76" s="323"/>
      <c r="K76" s="365"/>
      <c r="L76" s="366"/>
      <c r="M76" s="367"/>
      <c r="N76" s="611"/>
      <c r="O76" s="611"/>
      <c r="P76" s="1383"/>
      <c r="Q76" s="302"/>
    </row>
    <row r="77" spans="1:17" ht="15.75" thickBot="1">
      <c r="A77" s="254"/>
      <c r="B77" s="336"/>
      <c r="C77" s="337">
        <v>100</v>
      </c>
      <c r="D77" s="337">
        <f>C77-$K15</f>
        <v>97</v>
      </c>
      <c r="E77" s="337">
        <f>D77-$K15</f>
        <v>94</v>
      </c>
      <c r="F77" s="337">
        <f>E77-$K15</f>
        <v>91</v>
      </c>
      <c r="G77" s="337">
        <f>F77-$K15</f>
        <v>88</v>
      </c>
      <c r="H77" s="337"/>
      <c r="I77" s="337"/>
      <c r="J77" s="337"/>
      <c r="K77" s="337"/>
      <c r="L77" s="337"/>
      <c r="M77" s="338"/>
      <c r="N77" s="612"/>
      <c r="O77" s="612"/>
      <c r="P77" s="1379"/>
      <c r="Q77" s="302"/>
    </row>
    <row r="78" spans="1:17" ht="15.75" thickTop="1">
      <c r="A78" s="254"/>
      <c r="B78" s="331" t="s">
        <v>1631</v>
      </c>
      <c r="C78" s="368" t="s">
        <v>1626</v>
      </c>
      <c r="D78" s="368" t="s">
        <v>1627</v>
      </c>
      <c r="E78" s="368" t="s">
        <v>1628</v>
      </c>
      <c r="F78" s="368" t="s">
        <v>1629</v>
      </c>
      <c r="G78" s="368" t="s">
        <v>1630</v>
      </c>
      <c r="H78" s="332"/>
      <c r="I78" s="332"/>
      <c r="J78" s="332"/>
      <c r="K78" s="333"/>
      <c r="L78" s="334"/>
      <c r="M78" s="335"/>
      <c r="N78" s="611"/>
      <c r="O78" s="611"/>
      <c r="P78" s="1379"/>
      <c r="Q78" s="302"/>
    </row>
    <row r="79" spans="1:17" ht="15.75" thickBot="1">
      <c r="A79" s="254"/>
      <c r="B79" s="336"/>
      <c r="C79" s="337">
        <v>100</v>
      </c>
      <c r="D79" s="337">
        <f>C79-$K17</f>
        <v>97</v>
      </c>
      <c r="E79" s="337">
        <f>D79-$K17</f>
        <v>94</v>
      </c>
      <c r="F79" s="337">
        <f>E79-$K17</f>
        <v>91</v>
      </c>
      <c r="G79" s="337">
        <f>F79-$K17</f>
        <v>88</v>
      </c>
      <c r="H79" s="337"/>
      <c r="I79" s="337"/>
      <c r="J79" s="337"/>
      <c r="K79" s="337"/>
      <c r="L79" s="337"/>
      <c r="M79" s="338"/>
      <c r="N79" s="612"/>
      <c r="O79" s="612"/>
      <c r="P79" s="1379"/>
      <c r="Q79" s="302"/>
    </row>
    <row r="80" spans="1:17" ht="15.75" thickTop="1">
      <c r="A80" s="254"/>
      <c r="B80" s="331" t="s">
        <v>1632</v>
      </c>
      <c r="C80" s="368" t="s">
        <v>1626</v>
      </c>
      <c r="D80" s="368" t="s">
        <v>1627</v>
      </c>
      <c r="E80" s="368" t="s">
        <v>1628</v>
      </c>
      <c r="F80" s="368" t="s">
        <v>1629</v>
      </c>
      <c r="G80" s="368" t="s">
        <v>1630</v>
      </c>
      <c r="H80" s="332"/>
      <c r="I80" s="332"/>
      <c r="J80" s="332"/>
      <c r="K80" s="333"/>
      <c r="L80" s="334"/>
      <c r="M80" s="335"/>
      <c r="N80" s="611"/>
      <c r="O80" s="611"/>
      <c r="P80" s="1379"/>
      <c r="Q80" s="302"/>
    </row>
    <row r="81" spans="1:17" ht="15.75" thickBot="1">
      <c r="A81" s="254"/>
      <c r="B81" s="336"/>
      <c r="C81" s="337">
        <v>100</v>
      </c>
      <c r="D81" s="337">
        <f>C81-$K19</f>
        <v>97</v>
      </c>
      <c r="E81" s="337">
        <f>D81-$K19</f>
        <v>94</v>
      </c>
      <c r="F81" s="337">
        <f>E81-$K19</f>
        <v>91</v>
      </c>
      <c r="G81" s="337">
        <f>F81-$K19</f>
        <v>88</v>
      </c>
      <c r="H81" s="337"/>
      <c r="I81" s="337"/>
      <c r="J81" s="337"/>
      <c r="K81" s="337"/>
      <c r="L81" s="337"/>
      <c r="M81" s="338"/>
      <c r="N81" s="612"/>
      <c r="O81" s="612"/>
      <c r="P81" s="1379"/>
      <c r="Q81" s="302"/>
    </row>
    <row r="82" spans="1:17" ht="15.75" thickTop="1">
      <c r="A82" s="254"/>
      <c r="B82" s="339" t="s">
        <v>1236</v>
      </c>
      <c r="C82" s="332" t="s">
        <v>1633</v>
      </c>
      <c r="D82" s="332" t="s">
        <v>1634</v>
      </c>
      <c r="E82" s="332" t="s">
        <v>1635</v>
      </c>
      <c r="F82" s="332" t="s">
        <v>1636</v>
      </c>
      <c r="G82" s="332" t="s">
        <v>1637</v>
      </c>
      <c r="H82" s="332"/>
      <c r="I82" s="332"/>
      <c r="J82" s="332"/>
      <c r="K82" s="332"/>
      <c r="L82" s="332"/>
      <c r="M82" s="757"/>
      <c r="N82" s="612"/>
      <c r="O82" s="612"/>
      <c r="P82" s="1379"/>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79"/>
      <c r="Q83" s="302"/>
    </row>
    <row r="84" spans="1:17" ht="15.75" thickTop="1">
      <c r="A84" s="254"/>
      <c r="B84" s="331" t="s">
        <v>1638</v>
      </c>
      <c r="C84" s="368" t="s">
        <v>1626</v>
      </c>
      <c r="D84" s="368" t="s">
        <v>1627</v>
      </c>
      <c r="E84" s="368" t="s">
        <v>1628</v>
      </c>
      <c r="F84" s="368" t="s">
        <v>1629</v>
      </c>
      <c r="G84" s="368" t="s">
        <v>1630</v>
      </c>
      <c r="H84" s="332"/>
      <c r="I84" s="332"/>
      <c r="J84" s="332"/>
      <c r="K84" s="333"/>
      <c r="L84" s="334"/>
      <c r="M84" s="335"/>
      <c r="N84" s="611"/>
      <c r="O84" s="611"/>
      <c r="P84" s="1379"/>
      <c r="Q84" s="302"/>
    </row>
    <row r="85" spans="1:17" ht="15.75" thickBot="1">
      <c r="A85" s="254"/>
      <c r="B85" s="336"/>
      <c r="C85" s="337">
        <v>100</v>
      </c>
      <c r="D85" s="337">
        <f>C85-$K23</f>
        <v>97</v>
      </c>
      <c r="E85" s="337">
        <f>D85-$K23</f>
        <v>94</v>
      </c>
      <c r="F85" s="337">
        <f>E85-$K23</f>
        <v>91</v>
      </c>
      <c r="G85" s="337">
        <f>F85-$K23</f>
        <v>88</v>
      </c>
      <c r="H85" s="337"/>
      <c r="I85" s="337"/>
      <c r="J85" s="337"/>
      <c r="K85" s="337"/>
      <c r="L85" s="337"/>
      <c r="M85" s="338"/>
      <c r="N85" s="612"/>
      <c r="O85" s="612"/>
      <c r="P85" s="1379"/>
      <c r="Q85" s="302"/>
    </row>
    <row r="86" spans="1:17" s="46" customFormat="1" ht="15.75" thickTop="1">
      <c r="A86" s="257"/>
      <c r="B86" s="331" t="s">
        <v>1639</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1640</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1599</v>
      </c>
      <c r="B100" s="322" t="s">
        <v>1641</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29.25" thickTop="1">
      <c r="A102" s="254"/>
      <c r="B102" s="331" t="s">
        <v>1642</v>
      </c>
      <c r="C102" s="368" t="str">
        <f>C103&amp;"(含)"&amp;"-"&amp;D103</f>
        <v>0(含)-200000</v>
      </c>
      <c r="D102" s="368" t="str">
        <f t="shared" ref="D102:L102" si="26">D103&amp;"(含)"&amp;"-"&amp;E103</f>
        <v>200000(含)-500000</v>
      </c>
      <c r="E102" s="368" t="str">
        <f t="shared" si="26"/>
        <v>500000(含)-1000000</v>
      </c>
      <c r="F102" s="368" t="str">
        <f t="shared" si="26"/>
        <v>1000000(含)-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v>0</v>
      </c>
      <c r="D103" s="5">
        <v>200000</v>
      </c>
      <c r="E103" s="5">
        <v>500000</v>
      </c>
      <c r="F103" s="5">
        <v>1000000</v>
      </c>
      <c r="G103" s="5"/>
      <c r="H103" s="5"/>
      <c r="I103" s="5"/>
      <c r="J103" s="383"/>
      <c r="K103" s="383"/>
      <c r="L103" s="384"/>
      <c r="M103" s="385"/>
      <c r="N103" s="613"/>
      <c r="O103" s="613"/>
      <c r="P103" s="1380"/>
      <c r="Q103" s="351"/>
    </row>
    <row r="104" spans="1:17" s="279" customFormat="1" ht="15.75" thickBot="1">
      <c r="A104" s="346"/>
      <c r="B104" s="336"/>
      <c r="C104" s="352">
        <v>100</v>
      </c>
      <c r="D104" s="329">
        <v>101</v>
      </c>
      <c r="E104" s="329">
        <v>102</v>
      </c>
      <c r="F104" s="329">
        <v>103</v>
      </c>
      <c r="G104" s="329"/>
      <c r="H104" s="329"/>
      <c r="I104" s="329"/>
      <c r="J104" s="329"/>
      <c r="K104" s="329"/>
      <c r="L104" s="329"/>
      <c r="M104" s="329"/>
      <c r="N104" s="612"/>
      <c r="O104" s="612"/>
      <c r="P104" s="1380"/>
      <c r="Q104" s="351"/>
    </row>
    <row r="105" spans="1:17" ht="15" thickTop="1">
      <c r="A105" s="280"/>
      <c r="B105" s="331" t="s">
        <v>1643</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1644</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1645</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1171</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101</v>
      </c>
      <c r="E113" s="337">
        <f>D113+$K37</f>
        <v>102</v>
      </c>
      <c r="F113" s="337">
        <f>E113+$K37</f>
        <v>103</v>
      </c>
      <c r="G113" s="337">
        <f>F113+$K37</f>
        <v>104</v>
      </c>
      <c r="H113" s="337">
        <f>G113+$K37</f>
        <v>105</v>
      </c>
      <c r="I113" s="337">
        <f t="shared" ref="I113:M113" si="32">H113+$K37</f>
        <v>106</v>
      </c>
      <c r="J113" s="337">
        <f t="shared" si="32"/>
        <v>107</v>
      </c>
      <c r="K113" s="337">
        <f t="shared" si="32"/>
        <v>108</v>
      </c>
      <c r="L113" s="337">
        <f t="shared" si="32"/>
        <v>109</v>
      </c>
      <c r="M113" s="337">
        <f t="shared" si="32"/>
        <v>110</v>
      </c>
      <c r="N113" s="613"/>
      <c r="O113" s="613"/>
      <c r="P113" s="1380"/>
      <c r="Q113" s="351"/>
    </row>
    <row r="114" spans="1:17" ht="15" thickTop="1">
      <c r="A114" s="280"/>
      <c r="B114" s="331" t="s">
        <v>1646</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1647</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1648</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1610</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1649</v>
      </c>
      <c r="C122" s="4262" t="s">
        <v>4188</v>
      </c>
      <c r="D122" s="4262" t="s">
        <v>4190</v>
      </c>
      <c r="E122" s="4262" t="s">
        <v>4191</v>
      </c>
      <c r="F122" s="4272" t="s">
        <v>4186</v>
      </c>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7">
        <f t="shared" si="35"/>
        <v>80</v>
      </c>
      <c r="N123" s="612"/>
      <c r="O123" s="612"/>
      <c r="P123" s="1379"/>
      <c r="Q123" s="302"/>
    </row>
    <row r="124" spans="1:17" ht="15" thickTop="1">
      <c r="A124" s="280"/>
      <c r="B124" s="331" t="s">
        <v>1650</v>
      </c>
      <c r="C124" s="368" t="s">
        <v>1626</v>
      </c>
      <c r="D124" s="368" t="s">
        <v>1627</v>
      </c>
      <c r="E124" s="368" t="s">
        <v>1628</v>
      </c>
      <c r="F124" s="368" t="s">
        <v>1629</v>
      </c>
      <c r="G124" s="368" t="s">
        <v>1630</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1651</v>
      </c>
    </row>
    <row r="137" spans="1:17" ht="15">
      <c r="B137" s="1386" t="s">
        <v>1652</v>
      </c>
      <c r="C137" s="1387"/>
      <c r="D137" s="1387"/>
      <c r="E137" s="1387"/>
      <c r="F137" s="1387"/>
      <c r="G137" s="1388"/>
      <c r="H137" s="1389"/>
      <c r="I137" s="1390" t="s">
        <v>1653</v>
      </c>
      <c r="J137" s="1387"/>
      <c r="K137" s="1391"/>
    </row>
    <row r="138" spans="1:17" ht="15">
      <c r="B138" s="1392"/>
      <c r="C138" s="51" t="s">
        <v>1654</v>
      </c>
      <c r="D138" s="51" t="s">
        <v>1655</v>
      </c>
      <c r="E138" s="1393" t="s">
        <v>1656</v>
      </c>
      <c r="F138" s="1394" t="s">
        <v>1657</v>
      </c>
      <c r="G138" s="51" t="s">
        <v>1655</v>
      </c>
      <c r="H138" s="52" t="s">
        <v>1656</v>
      </c>
      <c r="I138" s="1395"/>
      <c r="J138" s="51" t="s">
        <v>1658</v>
      </c>
      <c r="K138" s="52" t="s">
        <v>1659</v>
      </c>
    </row>
    <row r="139" spans="1:17" ht="15">
      <c r="B139" s="555">
        <v>6</v>
      </c>
      <c r="C139" s="556">
        <v>96</v>
      </c>
      <c r="D139" s="1396" t="s">
        <v>1660</v>
      </c>
      <c r="E139" s="557">
        <v>100</v>
      </c>
      <c r="F139" s="558">
        <v>102.5</v>
      </c>
      <c r="G139" s="1396" t="s">
        <v>1660</v>
      </c>
      <c r="H139" s="559">
        <v>105</v>
      </c>
      <c r="I139" s="1397" t="s">
        <v>1661</v>
      </c>
      <c r="J139" s="556">
        <v>20</v>
      </c>
      <c r="K139" s="560">
        <f>C145/(J139-2)</f>
        <v>4.0555555555555553E-3</v>
      </c>
    </row>
    <row r="140" spans="1:17" ht="15">
      <c r="B140" s="561">
        <v>5</v>
      </c>
      <c r="C140" s="562">
        <v>100</v>
      </c>
      <c r="D140" s="562"/>
      <c r="E140" s="563"/>
      <c r="F140" s="564">
        <v>102</v>
      </c>
      <c r="G140" s="562"/>
      <c r="H140" s="565"/>
      <c r="I140" s="1398" t="s">
        <v>1662</v>
      </c>
      <c r="J140" s="166">
        <f>ROUNDUP((J139-1)/2,0)</f>
        <v>10</v>
      </c>
      <c r="K140" s="566">
        <v>100</v>
      </c>
    </row>
    <row r="141" spans="1:17" ht="15">
      <c r="B141" s="561">
        <v>4</v>
      </c>
      <c r="C141" s="562">
        <v>102</v>
      </c>
      <c r="D141" s="562"/>
      <c r="E141" s="563"/>
      <c r="F141" s="564">
        <v>101.5</v>
      </c>
      <c r="G141" s="562"/>
      <c r="H141" s="565"/>
      <c r="I141" s="1398" t="s">
        <v>1663</v>
      </c>
      <c r="J141" s="166">
        <v>1</v>
      </c>
      <c r="K141" s="567">
        <f>ROUND(100+(J141-J140)*K139*100,1)</f>
        <v>96.4</v>
      </c>
    </row>
    <row r="142" spans="1:17" ht="15">
      <c r="B142" s="561">
        <v>3</v>
      </c>
      <c r="C142" s="562">
        <v>103</v>
      </c>
      <c r="D142" s="562"/>
      <c r="E142" s="563"/>
      <c r="F142" s="564">
        <v>101</v>
      </c>
      <c r="G142" s="562"/>
      <c r="H142" s="565"/>
      <c r="I142" s="1398" t="s">
        <v>1664</v>
      </c>
      <c r="J142" s="166">
        <f>J139</f>
        <v>20</v>
      </c>
      <c r="K142" s="568">
        <v>95</v>
      </c>
    </row>
    <row r="143" spans="1:17" ht="15">
      <c r="B143" s="561">
        <v>2</v>
      </c>
      <c r="C143" s="562">
        <v>100</v>
      </c>
      <c r="D143" s="562"/>
      <c r="E143" s="563"/>
      <c r="F143" s="564">
        <v>100.5</v>
      </c>
      <c r="G143" s="562"/>
      <c r="H143" s="565"/>
      <c r="I143" s="1398" t="s">
        <v>1665</v>
      </c>
      <c r="J143" s="562">
        <v>15</v>
      </c>
      <c r="K143" s="567">
        <f>ROUND(100+(J143-J140)*K139*100,1)</f>
        <v>102</v>
      </c>
    </row>
    <row r="144" spans="1:17" ht="15">
      <c r="B144" s="561">
        <v>1</v>
      </c>
      <c r="C144" s="562">
        <v>98</v>
      </c>
      <c r="D144" s="1399" t="s">
        <v>1666</v>
      </c>
      <c r="E144" s="563">
        <v>102</v>
      </c>
      <c r="F144" s="569">
        <v>100</v>
      </c>
      <c r="G144" s="1399" t="s">
        <v>1666</v>
      </c>
      <c r="H144" s="565">
        <v>105</v>
      </c>
      <c r="I144" s="1398" t="s">
        <v>1665</v>
      </c>
      <c r="J144" s="562">
        <v>18</v>
      </c>
      <c r="K144" s="567">
        <f>ROUND(100+(J144-J140)*K139*100,1)</f>
        <v>103.2</v>
      </c>
    </row>
    <row r="145" spans="2:11" ht="15.75" thickBot="1">
      <c r="B145" s="1400" t="s">
        <v>1667</v>
      </c>
      <c r="C145" s="570">
        <f>ROUND(MAX(C139:C144)/MIN(C139:C144)-1,3)</f>
        <v>7.2999999999999995E-2</v>
      </c>
      <c r="D145" s="571"/>
      <c r="E145" s="571"/>
      <c r="F145" s="1401" t="s">
        <v>1668</v>
      </c>
      <c r="G145" s="1402"/>
      <c r="H145" s="1403"/>
      <c r="I145" s="1404" t="s">
        <v>1665</v>
      </c>
      <c r="J145" s="572">
        <v>8</v>
      </c>
      <c r="K145" s="573">
        <f>ROUND(100+(J145-J140)*K139*100,1)</f>
        <v>99.2</v>
      </c>
    </row>
    <row r="147" spans="2:11">
      <c r="B147" s="1385" t="s">
        <v>1669</v>
      </c>
    </row>
    <row r="148" spans="2:11">
      <c r="B148" s="1385" t="s">
        <v>1670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43" priority="14"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F7:F46 H7:H46 J7:J46">
    <cfRule type="cellIs" dxfId="40" priority="1" operator="notEqual">
      <formula>100</formula>
    </cfRule>
  </conditionalFormatting>
  <conditionalFormatting sqref="F48">
    <cfRule type="expression" dxfId="39" priority="4">
      <formula>$D$48="简单平均"</formula>
    </cfRule>
  </conditionalFormatting>
  <conditionalFormatting sqref="F52:F54 H52:H54 J52:J54">
    <cfRule type="containsText" dxfId="38" priority="15" stopIfTrue="1" operator="containsText" text="超过">
      <formula>NOT(ISERROR(SEARCH("超过",F52)))</formula>
    </cfRule>
  </conditionalFormatting>
  <conditionalFormatting sqref="G52">
    <cfRule type="expression" dxfId="37" priority="9" stopIfTrue="1">
      <formula>$H$52="超过30%"</formula>
    </cfRule>
  </conditionalFormatting>
  <conditionalFormatting sqref="G53">
    <cfRule type="expression" dxfId="36" priority="8" stopIfTrue="1">
      <formula>$H$53="超过20%"</formula>
    </cfRule>
  </conditionalFormatting>
  <conditionalFormatting sqref="G54">
    <cfRule type="expression" dxfId="35" priority="12" stopIfTrue="1">
      <formula>$H$54="超过30%"</formula>
    </cfRule>
  </conditionalFormatting>
  <conditionalFormatting sqref="H48">
    <cfRule type="expression" dxfId="34" priority="3">
      <formula>$D$48="简单平均"</formula>
    </cfRule>
  </conditionalFormatting>
  <conditionalFormatting sqref="I52">
    <cfRule type="expression" dxfId="33" priority="7" stopIfTrue="1">
      <formula>$J$52="超过30%"</formula>
    </cfRule>
  </conditionalFormatting>
  <conditionalFormatting sqref="I53">
    <cfRule type="expression" dxfId="32" priority="6" stopIfTrue="1">
      <formula>$J$53="超过20%"</formula>
    </cfRule>
  </conditionalFormatting>
  <conditionalFormatting sqref="I54">
    <cfRule type="expression" dxfId="31" priority="5" stopIfTrue="1">
      <formula>$J$54="超过30%"</formula>
    </cfRule>
  </conditionalFormatting>
  <conditionalFormatting sqref="J48">
    <cfRule type="expression" dxfId="30"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9ED30-A949-48D2-9CAF-525DBBD5F407}">
  <dimension ref="A1"/>
  <sheetViews>
    <sheetView topLeftCell="A13" zoomScale="70" zoomScaleNormal="70" workbookViewId="0">
      <selection activeCell="Q99" sqref="Q99"/>
    </sheetView>
  </sheetViews>
  <sheetFormatPr defaultRowHeight="13.5"/>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890</v>
      </c>
    </row>
    <row r="2" spans="1:5" ht="78" customHeight="1">
      <c r="A2" s="4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0"/>
      <c r="C2" s="4280"/>
      <c r="D2" s="4280"/>
      <c r="E2" s="4280"/>
    </row>
    <row r="3" spans="1:5" ht="18">
      <c r="A3" s="4281" t="str">
        <f>IF(项目基本情况!B9="房地产市场价值","估价结果一览表（市场价值不需“结果表-1”）","估价结果一览表")</f>
        <v>估价结果一览表</v>
      </c>
      <c r="B3" s="4281"/>
      <c r="C3" s="4281"/>
      <c r="D3" s="4281"/>
      <c r="E3" s="4281"/>
    </row>
    <row r="4" spans="1:5" ht="19.5" thickBot="1">
      <c r="A4" s="1035"/>
      <c r="B4" s="4279" t="s">
        <v>899</v>
      </c>
      <c r="C4" s="4279"/>
      <c r="D4" s="4279"/>
      <c r="E4" s="1035"/>
    </row>
    <row r="5" spans="1:5" ht="16.5" thickTop="1">
      <c r="B5" s="4277" t="s">
        <v>891</v>
      </c>
      <c r="C5" s="1036" t="s">
        <v>892</v>
      </c>
      <c r="D5" s="540">
        <f ca="1">结果表!H101</f>
        <v>20028.535800000001</v>
      </c>
    </row>
    <row r="6" spans="1:5" ht="31.5">
      <c r="B6" s="4277"/>
      <c r="C6" s="1036" t="s">
        <v>893</v>
      </c>
      <c r="D6" s="540" t="str">
        <f ca="1">NUMBERSTRING(INT(D5*10000),2)&amp;"元整"</f>
        <v>贰亿零贰拾捌万伍仟叁佰伍拾捌元整</v>
      </c>
    </row>
    <row r="7" spans="1:5" ht="15.75">
      <c r="B7" s="4282"/>
      <c r="C7" s="1037" t="s">
        <v>894</v>
      </c>
      <c r="D7" s="541">
        <f ca="1">结果表!H102</f>
        <v>85</v>
      </c>
    </row>
    <row r="8" spans="1:5" ht="15.75">
      <c r="B8" s="4283" t="str">
        <f>结果表!E103</f>
        <v>2.估价师知悉的法定优先受偿款</v>
      </c>
      <c r="C8" s="1038" t="s">
        <v>895</v>
      </c>
      <c r="D8" s="541">
        <f>结果表!H103</f>
        <v>0</v>
      </c>
    </row>
    <row r="9" spans="1:5" ht="15.75">
      <c r="B9" s="4285"/>
      <c r="C9" s="1036" t="s">
        <v>893</v>
      </c>
      <c r="D9" s="540" t="str">
        <f>NUMBERSTRING(INT(D8*10000),2)&amp;"元整"</f>
        <v>零元整</v>
      </c>
    </row>
    <row r="10" spans="1:5" ht="15">
      <c r="B10" s="1039" t="s">
        <v>898</v>
      </c>
      <c r="C10" s="1040" t="s">
        <v>896</v>
      </c>
      <c r="D10" s="542">
        <f>结果表!H104</f>
        <v>0</v>
      </c>
    </row>
    <row r="11" spans="1:5" ht="15">
      <c r="B11" s="1039" t="s">
        <v>900</v>
      </c>
      <c r="C11" s="1040" t="s">
        <v>901</v>
      </c>
      <c r="D11" s="542">
        <f>结果表!H105</f>
        <v>0</v>
      </c>
    </row>
    <row r="12" spans="1:5" ht="15">
      <c r="B12" s="1039" t="s">
        <v>902</v>
      </c>
      <c r="C12" s="1040" t="s">
        <v>901</v>
      </c>
      <c r="D12" s="542">
        <f>结果表!H106</f>
        <v>0</v>
      </c>
    </row>
    <row r="13" spans="1:5" ht="15.75">
      <c r="B13" s="4276" t="str">
        <f>结果表!E107</f>
        <v>3.房地产抵押价值</v>
      </c>
      <c r="C13" s="1041" t="s">
        <v>892</v>
      </c>
      <c r="D13" s="543">
        <f ca="1">结果表!H107</f>
        <v>20028.535800000001</v>
      </c>
    </row>
    <row r="14" spans="1:5" ht="31.5">
      <c r="B14" s="4277"/>
      <c r="C14" s="1036" t="s">
        <v>893</v>
      </c>
      <c r="D14" s="540" t="str">
        <f ca="1">NUMBERSTRING(INT(D13*10000),2)&amp;"元整"</f>
        <v>贰亿零贰拾捌万伍仟叁佰伍拾捌元整</v>
      </c>
    </row>
    <row r="15" spans="1:5" ht="15">
      <c r="B15" s="4282"/>
      <c r="C15" s="1037" t="s">
        <v>903</v>
      </c>
      <c r="D15" s="548">
        <f ca="1">结果表!H108</f>
        <v>85</v>
      </c>
    </row>
    <row r="16" spans="1:5" ht="15">
      <c r="B16" s="4283" t="str">
        <f>结果表!E109</f>
        <v>——</v>
      </c>
      <c r="C16" s="1041" t="s">
        <v>904</v>
      </c>
      <c r="D16" s="1042" t="str">
        <f>结果表!H109</f>
        <v>——</v>
      </c>
    </row>
    <row r="17" spans="1:5" ht="15.75">
      <c r="B17" s="4284"/>
      <c r="C17" s="1036" t="s">
        <v>905</v>
      </c>
      <c r="D17" s="540" t="e">
        <f>NUMBERSTRING(INT(D16*10000),2)&amp;"元整"</f>
        <v>#VALUE!</v>
      </c>
    </row>
    <row r="18" spans="1:5" ht="15">
      <c r="B18" s="4285"/>
      <c r="C18" s="1037" t="s">
        <v>894</v>
      </c>
      <c r="D18" s="548" t="str">
        <f>结果表!H110</f>
        <v>——</v>
      </c>
    </row>
    <row r="19" spans="1:5" ht="15.75">
      <c r="B19" s="4276" t="str">
        <f>结果表!E111</f>
        <v>——</v>
      </c>
      <c r="C19" s="1041" t="s">
        <v>892</v>
      </c>
      <c r="D19" s="541" t="str">
        <f>结果表!H111</f>
        <v>——</v>
      </c>
    </row>
    <row r="20" spans="1:5" ht="15.75">
      <c r="B20" s="4277"/>
      <c r="C20" s="1036" t="s">
        <v>905</v>
      </c>
      <c r="D20" s="540" t="e">
        <f>NUMBERSTRING(INT(D19*10000),2)&amp;"元整"</f>
        <v>#VALUE!</v>
      </c>
    </row>
    <row r="21" spans="1:5" ht="15.75" thickBot="1">
      <c r="B21" s="4278"/>
      <c r="C21" s="1043" t="s">
        <v>903</v>
      </c>
      <c r="D21" s="549" t="str">
        <f>结果表!H112</f>
        <v>——</v>
      </c>
    </row>
    <row r="22" spans="1:5" ht="15" thickTop="1">
      <c r="B22" s="1044" t="s">
        <v>906</v>
      </c>
    </row>
    <row r="24" spans="1:5" ht="18.75">
      <c r="A24" s="1045"/>
      <c r="B24" s="1046" t="s">
        <v>897</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3209</v>
      </c>
      <c r="C1" s="812" t="s">
        <v>1567</v>
      </c>
      <c r="D1" s="813"/>
      <c r="E1" s="2475"/>
      <c r="F1" s="1353"/>
      <c r="G1" s="815" t="s">
        <v>1672</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1429</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1431</v>
      </c>
      <c r="B3" s="2880" t="e">
        <f>IF(AND(E2="——",B37="元/平方米"),C39,ROUND(B2*10000/D3,0))</f>
        <v>#DIV/0!</v>
      </c>
      <c r="C3" s="234" t="s">
        <v>1673</v>
      </c>
      <c r="D3" s="2880">
        <f>SUMIF('数据-汇总表'!$C19:$C33,D1,'数据-汇总表'!$E19:$E33)</f>
        <v>0</v>
      </c>
      <c r="E3" s="234" t="s">
        <v>1737</v>
      </c>
      <c r="F3" s="392">
        <f>SUMIF('数据-取费表'!A5:A15,D1,'数据-取费表'!AH5:AH15)</f>
        <v>0</v>
      </c>
      <c r="G3" s="3847" t="s">
        <v>3465</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1674</v>
      </c>
      <c r="B4" s="236"/>
      <c r="C4" s="4586" t="s">
        <v>1675</v>
      </c>
      <c r="D4" s="4614"/>
      <c r="E4" s="4615" t="s">
        <v>1676</v>
      </c>
      <c r="F4" s="4616"/>
      <c r="G4" s="4586" t="s">
        <v>1677</v>
      </c>
      <c r="H4" s="4614"/>
      <c r="I4" s="4586" t="s">
        <v>1678</v>
      </c>
      <c r="J4" s="4614"/>
      <c r="K4" s="393" t="s">
        <v>1679</v>
      </c>
      <c r="L4" s="1974"/>
      <c r="M4" s="1975"/>
      <c r="N4" s="1975"/>
      <c r="O4" s="1975"/>
      <c r="P4" s="4629" t="s">
        <v>1680</v>
      </c>
      <c r="Q4" s="4630"/>
      <c r="R4" s="4568" t="s">
        <v>1676</v>
      </c>
      <c r="S4" s="4569"/>
      <c r="T4" s="4568" t="s">
        <v>1677</v>
      </c>
      <c r="U4" s="4569"/>
      <c r="V4" s="4590" t="s">
        <v>1678</v>
      </c>
      <c r="W4" s="4590"/>
      <c r="X4" s="909"/>
      <c r="Y4" s="4568" t="s">
        <v>1680</v>
      </c>
      <c r="Z4" s="4569"/>
      <c r="AA4" s="4533" t="s">
        <v>1676</v>
      </c>
      <c r="AB4" s="4534" t="s">
        <v>1677</v>
      </c>
      <c r="AC4" s="4533" t="s">
        <v>1678</v>
      </c>
    </row>
    <row r="5" spans="1:29" ht="15">
      <c r="A5" s="238"/>
      <c r="B5" s="239"/>
      <c r="C5" s="4605" t="s">
        <v>1578</v>
      </c>
      <c r="D5" s="4606"/>
      <c r="E5" s="4603" t="s">
        <v>1579</v>
      </c>
      <c r="F5" s="4604"/>
      <c r="G5" s="4605" t="s">
        <v>1580</v>
      </c>
      <c r="H5" s="4606"/>
      <c r="I5" s="4605" t="s">
        <v>1581</v>
      </c>
      <c r="J5" s="4606"/>
      <c r="K5" s="393"/>
      <c r="L5" s="1974"/>
      <c r="M5" s="1975"/>
      <c r="N5" s="1975"/>
      <c r="O5" s="1975"/>
      <c r="P5" s="4631"/>
      <c r="Q5" s="4632"/>
      <c r="R5" s="4570"/>
      <c r="S5" s="4571"/>
      <c r="T5" s="4570"/>
      <c r="U5" s="4571"/>
      <c r="V5" s="4590"/>
      <c r="W5" s="4590"/>
      <c r="X5" s="909"/>
      <c r="Y5" s="4570"/>
      <c r="Z5" s="4571"/>
      <c r="AA5" s="4534"/>
      <c r="AB5" s="4534"/>
      <c r="AC5" s="4534"/>
    </row>
    <row r="6" spans="1:29" ht="15.75" thickBot="1">
      <c r="A6" s="240"/>
      <c r="B6" s="241"/>
      <c r="C6" s="4607" t="s">
        <v>1582</v>
      </c>
      <c r="D6" s="4608"/>
      <c r="E6" s="4609" t="s">
        <v>1582</v>
      </c>
      <c r="F6" s="4610"/>
      <c r="G6" s="4607" t="s">
        <v>1582</v>
      </c>
      <c r="H6" s="4608"/>
      <c r="I6" s="4607" t="s">
        <v>1582</v>
      </c>
      <c r="J6" s="4608"/>
      <c r="K6" s="393" t="s">
        <v>1583</v>
      </c>
      <c r="L6" s="1974"/>
      <c r="M6" s="1975"/>
      <c r="N6" s="1975"/>
      <c r="O6" s="1975"/>
      <c r="P6" s="4633"/>
      <c r="Q6" s="4634"/>
      <c r="R6" s="4570"/>
      <c r="S6" s="4571"/>
      <c r="T6" s="4572"/>
      <c r="U6" s="4573"/>
      <c r="V6" s="4590"/>
      <c r="W6" s="4590"/>
      <c r="X6" s="909"/>
      <c r="Y6" s="4572"/>
      <c r="Z6" s="4573"/>
      <c r="AA6" s="4535"/>
      <c r="AB6" s="4535"/>
      <c r="AC6" s="4535"/>
    </row>
    <row r="7" spans="1:29" s="46" customFormat="1" ht="15.75" thickBot="1">
      <c r="A7" s="242" t="s">
        <v>1584</v>
      </c>
      <c r="B7" s="243"/>
      <c r="C7" s="244">
        <f>'数据-取费表'!B2</f>
        <v>46105</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36" t="s">
        <v>1585</v>
      </c>
      <c r="Q7" s="4635"/>
      <c r="R7" s="3766" t="s">
        <v>13</v>
      </c>
      <c r="S7" s="3769">
        <f t="shared" ref="S7:S14" si="0">F7</f>
        <v>0</v>
      </c>
      <c r="T7" s="3766" t="s">
        <v>13</v>
      </c>
      <c r="U7" s="3769">
        <f t="shared" ref="U7:U14" si="1">H7</f>
        <v>0</v>
      </c>
      <c r="V7" s="3766" t="s">
        <v>13</v>
      </c>
      <c r="W7" s="3769">
        <f t="shared" ref="W7:W14" si="2">J7</f>
        <v>0</v>
      </c>
      <c r="X7" s="482"/>
      <c r="Y7" s="4536" t="s">
        <v>1585</v>
      </c>
      <c r="Z7" s="4537"/>
      <c r="AA7" s="28" t="e">
        <f>D7/F7</f>
        <v>#DIV/0!</v>
      </c>
      <c r="AB7" s="28" t="e">
        <f>D7/H7</f>
        <v>#DIV/0!</v>
      </c>
      <c r="AC7" s="28" t="e">
        <f>D7/J7</f>
        <v>#DIV/0!</v>
      </c>
    </row>
    <row r="8" spans="1:29" s="46" customFormat="1" ht="15.75" thickBot="1">
      <c r="A8" s="242" t="s">
        <v>1586</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36" t="s">
        <v>1588</v>
      </c>
      <c r="Q8" s="4537"/>
      <c r="R8" s="3766" t="s">
        <v>13</v>
      </c>
      <c r="S8" s="3769">
        <f t="shared" si="0"/>
        <v>100</v>
      </c>
      <c r="T8" s="3766" t="s">
        <v>13</v>
      </c>
      <c r="U8" s="3769">
        <f t="shared" si="1"/>
        <v>100</v>
      </c>
      <c r="V8" s="3766" t="s">
        <v>13</v>
      </c>
      <c r="W8" s="3769">
        <f t="shared" si="2"/>
        <v>100</v>
      </c>
      <c r="X8" s="482"/>
      <c r="Y8" s="4536" t="s">
        <v>1588</v>
      </c>
      <c r="Z8" s="4537"/>
      <c r="AA8" s="28">
        <f t="shared" ref="AA8:AA36" si="3">D8/F8</f>
        <v>1</v>
      </c>
      <c r="AB8" s="28">
        <f t="shared" ref="AB8:AB36" si="4">D8/H8</f>
        <v>1</v>
      </c>
      <c r="AC8" s="28">
        <f t="shared" ref="AC8:AC36" si="5">D8/J8</f>
        <v>1</v>
      </c>
    </row>
    <row r="9" spans="1:29" s="46" customFormat="1">
      <c r="A9" s="31" t="s">
        <v>1589</v>
      </c>
      <c r="B9" s="412" t="s">
        <v>1590</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589" t="s">
        <v>1591</v>
      </c>
      <c r="Q9" s="389" t="str">
        <f t="shared" ref="Q9:Q14" si="6">B9</f>
        <v>用途</v>
      </c>
      <c r="R9" s="3766" t="s">
        <v>13</v>
      </c>
      <c r="S9" s="3769">
        <f t="shared" si="0"/>
        <v>100</v>
      </c>
      <c r="T9" s="3766" t="s">
        <v>13</v>
      </c>
      <c r="U9" s="3769">
        <f t="shared" si="1"/>
        <v>100</v>
      </c>
      <c r="V9" s="3766" t="s">
        <v>13</v>
      </c>
      <c r="W9" s="3769">
        <f t="shared" si="2"/>
        <v>100</v>
      </c>
      <c r="X9" s="482"/>
      <c r="Y9" s="4552" t="s">
        <v>1592</v>
      </c>
      <c r="Z9" s="28" t="str">
        <f t="shared" ref="Z9:Z14" si="7">Q9</f>
        <v>用途</v>
      </c>
      <c r="AA9" s="28">
        <f t="shared" si="3"/>
        <v>1</v>
      </c>
      <c r="AB9" s="28">
        <f t="shared" si="4"/>
        <v>1</v>
      </c>
      <c r="AC9" s="28">
        <f t="shared" si="5"/>
        <v>1</v>
      </c>
    </row>
    <row r="10" spans="1:29" s="253" customFormat="1" ht="27">
      <c r="A10" s="413"/>
      <c r="B10" s="414" t="s">
        <v>1593</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9"/>
      <c r="Q10" s="389" t="str">
        <f t="shared" si="6"/>
        <v>土地使用年限（年）</v>
      </c>
      <c r="R10" s="3766" t="s">
        <v>13</v>
      </c>
      <c r="S10" s="3769">
        <f t="shared" si="0"/>
        <v>100</v>
      </c>
      <c r="T10" s="3766" t="s">
        <v>13</v>
      </c>
      <c r="U10" s="3769">
        <f t="shared" si="1"/>
        <v>100</v>
      </c>
      <c r="V10" s="3766" t="s">
        <v>13</v>
      </c>
      <c r="W10" s="3769">
        <f t="shared" si="2"/>
        <v>100</v>
      </c>
      <c r="X10" s="482"/>
      <c r="Y10" s="4552"/>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9"/>
      <c r="Q11" s="389">
        <f t="shared" si="6"/>
        <v>111</v>
      </c>
      <c r="R11" s="3766" t="s">
        <v>13</v>
      </c>
      <c r="S11" s="3769">
        <f t="shared" si="0"/>
        <v>100</v>
      </c>
      <c r="T11" s="3766" t="s">
        <v>13</v>
      </c>
      <c r="U11" s="3769">
        <f t="shared" si="1"/>
        <v>100</v>
      </c>
      <c r="V11" s="3766" t="s">
        <v>13</v>
      </c>
      <c r="W11" s="3769">
        <f t="shared" si="2"/>
        <v>100</v>
      </c>
      <c r="X11" s="482"/>
      <c r="Y11" s="4552"/>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9"/>
      <c r="Q12" s="389">
        <f t="shared" si="6"/>
        <v>111</v>
      </c>
      <c r="R12" s="3766" t="s">
        <v>13</v>
      </c>
      <c r="S12" s="3769">
        <f t="shared" si="0"/>
        <v>100</v>
      </c>
      <c r="T12" s="3766" t="s">
        <v>13</v>
      </c>
      <c r="U12" s="3769">
        <f t="shared" si="1"/>
        <v>100</v>
      </c>
      <c r="V12" s="3766" t="s">
        <v>13</v>
      </c>
      <c r="W12" s="3769">
        <f t="shared" si="2"/>
        <v>100</v>
      </c>
      <c r="X12" s="482"/>
      <c r="Y12" s="4552"/>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589"/>
      <c r="Q13" s="389">
        <f t="shared" si="6"/>
        <v>111</v>
      </c>
      <c r="R13" s="3766" t="s">
        <v>13</v>
      </c>
      <c r="S13" s="3769">
        <f t="shared" si="0"/>
        <v>100</v>
      </c>
      <c r="T13" s="3766" t="s">
        <v>13</v>
      </c>
      <c r="U13" s="3769">
        <f t="shared" si="1"/>
        <v>100</v>
      </c>
      <c r="V13" s="3766" t="s">
        <v>13</v>
      </c>
      <c r="W13" s="3769">
        <f t="shared" si="2"/>
        <v>100</v>
      </c>
      <c r="X13" s="482"/>
      <c r="Y13" s="4552"/>
      <c r="Z13" s="28">
        <f t="shared" si="7"/>
        <v>111</v>
      </c>
      <c r="AA13" s="28">
        <f t="shared" si="3"/>
        <v>1</v>
      </c>
      <c r="AB13" s="28">
        <f t="shared" si="4"/>
        <v>1</v>
      </c>
      <c r="AC13" s="28">
        <f t="shared" si="5"/>
        <v>1</v>
      </c>
    </row>
    <row r="14" spans="1:29" ht="15">
      <c r="A14" s="235" t="s">
        <v>1595</v>
      </c>
      <c r="B14" s="403" t="s">
        <v>1738</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77" t="s">
        <v>1596</v>
      </c>
      <c r="Q14" s="906" t="str">
        <f t="shared" si="6"/>
        <v>交通便捷度</v>
      </c>
      <c r="R14" s="3767" t="s">
        <v>13</v>
      </c>
      <c r="S14" s="3770">
        <f t="shared" si="0"/>
        <v>100</v>
      </c>
      <c r="T14" s="3767" t="s">
        <v>13</v>
      </c>
      <c r="U14" s="3770">
        <f t="shared" si="1"/>
        <v>100</v>
      </c>
      <c r="V14" s="3767" t="s">
        <v>13</v>
      </c>
      <c r="W14" s="3770">
        <f t="shared" si="2"/>
        <v>100</v>
      </c>
      <c r="X14" s="909"/>
      <c r="Y14" s="4577" t="s">
        <v>1596</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78"/>
      <c r="Q15" s="906"/>
      <c r="R15" s="3767"/>
      <c r="S15" s="3770"/>
      <c r="T15" s="3767"/>
      <c r="U15" s="3770"/>
      <c r="V15" s="3767"/>
      <c r="W15" s="3770"/>
      <c r="X15" s="909"/>
      <c r="Y15" s="4578"/>
      <c r="Z15" s="907"/>
      <c r="AA15" s="907">
        <v>1</v>
      </c>
      <c r="AB15" s="907">
        <v>1</v>
      </c>
      <c r="AC15" s="907">
        <v>1</v>
      </c>
    </row>
    <row r="16" spans="1:29" ht="15">
      <c r="A16" s="238"/>
      <c r="B16" s="405" t="s">
        <v>1717</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78"/>
      <c r="Q16" s="906" t="str">
        <f>B16</f>
        <v>公共配套设施</v>
      </c>
      <c r="R16" s="3767" t="s">
        <v>13</v>
      </c>
      <c r="S16" s="3770">
        <f>F16</f>
        <v>100</v>
      </c>
      <c r="T16" s="3767" t="s">
        <v>13</v>
      </c>
      <c r="U16" s="3770">
        <f>H16</f>
        <v>100</v>
      </c>
      <c r="V16" s="3767" t="s">
        <v>13</v>
      </c>
      <c r="W16" s="3770">
        <f>J16</f>
        <v>100</v>
      </c>
      <c r="X16" s="909"/>
      <c r="Y16" s="4578"/>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78"/>
      <c r="Q17" s="906"/>
      <c r="R17" s="3767"/>
      <c r="S17" s="3770"/>
      <c r="T17" s="3767"/>
      <c r="U17" s="3770"/>
      <c r="V17" s="3767"/>
      <c r="W17" s="3770"/>
      <c r="X17" s="909"/>
      <c r="Y17" s="4578"/>
      <c r="Z17" s="907"/>
      <c r="AA17" s="907">
        <v>1</v>
      </c>
      <c r="AB17" s="907">
        <v>1</v>
      </c>
      <c r="AC17" s="907">
        <v>1</v>
      </c>
    </row>
    <row r="18" spans="1:29" ht="15">
      <c r="A18" s="238"/>
      <c r="B18" s="407" t="s">
        <v>1718</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78"/>
      <c r="Q18" s="906" t="str">
        <f>B18</f>
        <v>基础设施水平</v>
      </c>
      <c r="R18" s="3767" t="s">
        <v>13</v>
      </c>
      <c r="S18" s="3770">
        <f>F18</f>
        <v>100</v>
      </c>
      <c r="T18" s="3767" t="s">
        <v>13</v>
      </c>
      <c r="U18" s="3770">
        <f>H18</f>
        <v>100</v>
      </c>
      <c r="V18" s="3767" t="s">
        <v>13</v>
      </c>
      <c r="W18" s="3770">
        <f>J18</f>
        <v>100</v>
      </c>
      <c r="X18" s="909"/>
      <c r="Y18" s="4578"/>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78"/>
      <c r="Q19" s="906"/>
      <c r="R19" s="3767"/>
      <c r="S19" s="3770"/>
      <c r="T19" s="3767"/>
      <c r="U19" s="3770"/>
      <c r="V19" s="3767"/>
      <c r="W19" s="3770"/>
      <c r="X19" s="909"/>
      <c r="Y19" s="4578"/>
      <c r="Z19" s="907"/>
      <c r="AA19" s="907">
        <v>1</v>
      </c>
      <c r="AB19" s="907">
        <v>1</v>
      </c>
      <c r="AC19" s="907">
        <v>1</v>
      </c>
    </row>
    <row r="20" spans="1:29" ht="15">
      <c r="A20" s="238"/>
      <c r="B20" s="405" t="s">
        <v>1739</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78"/>
      <c r="Q20" s="906" t="str">
        <f>B20</f>
        <v>自然及人文环境</v>
      </c>
      <c r="R20" s="3767" t="s">
        <v>13</v>
      </c>
      <c r="S20" s="3770">
        <f>F20</f>
        <v>100</v>
      </c>
      <c r="T20" s="3767" t="s">
        <v>13</v>
      </c>
      <c r="U20" s="3770">
        <f>H20</f>
        <v>100</v>
      </c>
      <c r="V20" s="3767" t="s">
        <v>13</v>
      </c>
      <c r="W20" s="3770">
        <f>J20</f>
        <v>100</v>
      </c>
      <c r="X20" s="909"/>
      <c r="Y20" s="4578"/>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78"/>
      <c r="Q21" s="906"/>
      <c r="R21" s="3767"/>
      <c r="S21" s="3770"/>
      <c r="T21" s="3767"/>
      <c r="U21" s="3770"/>
      <c r="V21" s="3767"/>
      <c r="W21" s="3770"/>
      <c r="X21" s="909"/>
      <c r="Y21" s="4578"/>
      <c r="Z21" s="907"/>
      <c r="AA21" s="907">
        <v>1</v>
      </c>
      <c r="AB21" s="907">
        <v>1</v>
      </c>
      <c r="AC21" s="907">
        <v>1</v>
      </c>
    </row>
    <row r="22" spans="1:29" ht="15">
      <c r="A22" s="238"/>
      <c r="B22" s="405" t="s">
        <v>1740</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78"/>
      <c r="Q22" s="906" t="str">
        <f>B22</f>
        <v>楼层</v>
      </c>
      <c r="R22" s="3767" t="s">
        <v>13</v>
      </c>
      <c r="S22" s="3770">
        <f>F22</f>
        <v>100</v>
      </c>
      <c r="T22" s="3767" t="s">
        <v>13</v>
      </c>
      <c r="U22" s="3770">
        <f>H22</f>
        <v>100</v>
      </c>
      <c r="V22" s="3767" t="s">
        <v>13</v>
      </c>
      <c r="W22" s="3770">
        <f>J22</f>
        <v>100</v>
      </c>
      <c r="X22" s="909"/>
      <c r="Y22" s="4578"/>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78"/>
      <c r="Q23" s="906">
        <f>B23</f>
        <v>111</v>
      </c>
      <c r="R23" s="3767" t="s">
        <v>13</v>
      </c>
      <c r="S23" s="3770">
        <f>F23</f>
        <v>100</v>
      </c>
      <c r="T23" s="3767" t="s">
        <v>13</v>
      </c>
      <c r="U23" s="3770">
        <f>H23</f>
        <v>100</v>
      </c>
      <c r="V23" s="3767" t="s">
        <v>13</v>
      </c>
      <c r="W23" s="3770">
        <f>J23</f>
        <v>100</v>
      </c>
      <c r="X23" s="909"/>
      <c r="Y23" s="4578"/>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78"/>
      <c r="Q24" s="906">
        <f t="shared" ref="Q24:Q36" si="11">B24</f>
        <v>111</v>
      </c>
      <c r="R24" s="3767" t="s">
        <v>13</v>
      </c>
      <c r="S24" s="3770">
        <f>F24</f>
        <v>100</v>
      </c>
      <c r="T24" s="3767" t="s">
        <v>13</v>
      </c>
      <c r="U24" s="3770">
        <f>H24</f>
        <v>100</v>
      </c>
      <c r="V24" s="3767" t="s">
        <v>13</v>
      </c>
      <c r="W24" s="3770">
        <f>J24</f>
        <v>100</v>
      </c>
      <c r="X24" s="909"/>
      <c r="Y24" s="4578"/>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78"/>
      <c r="Q25" s="389">
        <f t="shared" si="11"/>
        <v>111</v>
      </c>
      <c r="R25" s="3766" t="s">
        <v>13</v>
      </c>
      <c r="S25" s="3769">
        <f>F25</f>
        <v>100</v>
      </c>
      <c r="T25" s="3766" t="s">
        <v>13</v>
      </c>
      <c r="U25" s="3769">
        <f>H25</f>
        <v>100</v>
      </c>
      <c r="V25" s="3766" t="s">
        <v>13</v>
      </c>
      <c r="W25" s="3769">
        <f>J25</f>
        <v>100</v>
      </c>
      <c r="X25" s="482"/>
      <c r="Y25" s="4578"/>
      <c r="Z25" s="28">
        <f>Q25</f>
        <v>111</v>
      </c>
      <c r="AA25" s="907">
        <f>D25/F25</f>
        <v>1</v>
      </c>
      <c r="AB25" s="907">
        <f>D25/H25</f>
        <v>1</v>
      </c>
      <c r="AC25" s="907">
        <f>D25/J25</f>
        <v>1</v>
      </c>
    </row>
    <row r="26" spans="1:29" ht="28.5">
      <c r="A26" s="420" t="s">
        <v>1599</v>
      </c>
      <c r="B26" s="33" t="s">
        <v>1741</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36" t="s">
        <v>1601</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81" t="s">
        <v>1601</v>
      </c>
      <c r="Z26" s="907" t="str">
        <f t="shared" ref="Z26:Z36" si="15">Q26</f>
        <v>配套类型</v>
      </c>
      <c r="AA26" s="907" t="e">
        <f t="shared" si="3"/>
        <v>#DIV/0!</v>
      </c>
      <c r="AB26" s="907" t="e">
        <f t="shared" si="4"/>
        <v>#DIV/0!</v>
      </c>
      <c r="AC26" s="907" t="e">
        <f t="shared" si="5"/>
        <v>#DIV/0!</v>
      </c>
    </row>
    <row r="27" spans="1:29" s="279" customFormat="1" ht="15">
      <c r="A27" s="421"/>
      <c r="B27" s="422" t="s">
        <v>1742</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81"/>
      <c r="Q27" s="483" t="str">
        <f t="shared" si="11"/>
        <v>项目停车位配比</v>
      </c>
      <c r="R27" s="3768" t="s">
        <v>13</v>
      </c>
      <c r="S27" s="3771">
        <f t="shared" si="12"/>
        <v>100</v>
      </c>
      <c r="T27" s="3768" t="s">
        <v>13</v>
      </c>
      <c r="U27" s="3771">
        <f t="shared" si="13"/>
        <v>100</v>
      </c>
      <c r="V27" s="3768" t="s">
        <v>13</v>
      </c>
      <c r="W27" s="3771">
        <f t="shared" si="14"/>
        <v>100</v>
      </c>
      <c r="X27" s="484"/>
      <c r="Y27" s="4581"/>
      <c r="Z27" s="485" t="str">
        <f t="shared" si="15"/>
        <v>项目停车位配比</v>
      </c>
      <c r="AA27" s="907">
        <f t="shared" si="3"/>
        <v>1</v>
      </c>
      <c r="AB27" s="907">
        <f t="shared" si="4"/>
        <v>1</v>
      </c>
      <c r="AC27" s="907">
        <f t="shared" si="5"/>
        <v>1</v>
      </c>
    </row>
    <row r="28" spans="1:29" ht="15">
      <c r="A28" s="424"/>
      <c r="B28" s="422" t="s">
        <v>1743</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81"/>
      <c r="Q28" s="906" t="str">
        <f t="shared" si="11"/>
        <v>公共部分装修</v>
      </c>
      <c r="R28" s="3767" t="s">
        <v>13</v>
      </c>
      <c r="S28" s="3770">
        <f t="shared" si="12"/>
        <v>100</v>
      </c>
      <c r="T28" s="3767" t="s">
        <v>13</v>
      </c>
      <c r="U28" s="3770">
        <f t="shared" si="13"/>
        <v>100</v>
      </c>
      <c r="V28" s="3767" t="s">
        <v>13</v>
      </c>
      <c r="W28" s="3770">
        <f t="shared" si="14"/>
        <v>100</v>
      </c>
      <c r="X28" s="909"/>
      <c r="Y28" s="4581"/>
      <c r="Z28" s="907" t="str">
        <f t="shared" si="15"/>
        <v>公共部分装修</v>
      </c>
      <c r="AA28" s="907">
        <f t="shared" si="3"/>
        <v>1</v>
      </c>
      <c r="AB28" s="907">
        <f t="shared" si="4"/>
        <v>1</v>
      </c>
      <c r="AC28" s="907">
        <f t="shared" si="5"/>
        <v>1</v>
      </c>
    </row>
    <row r="29" spans="1:29" ht="15">
      <c r="A29" s="424"/>
      <c r="B29" s="422" t="s">
        <v>1744</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81"/>
      <c r="Q29" s="906" t="str">
        <f t="shared" si="11"/>
        <v>成新率</v>
      </c>
      <c r="R29" s="3767" t="s">
        <v>13</v>
      </c>
      <c r="S29" s="3770" t="e">
        <f t="shared" si="12"/>
        <v>#N/A</v>
      </c>
      <c r="T29" s="3767" t="s">
        <v>13</v>
      </c>
      <c r="U29" s="3770" t="e">
        <f t="shared" si="13"/>
        <v>#N/A</v>
      </c>
      <c r="V29" s="3767" t="s">
        <v>13</v>
      </c>
      <c r="W29" s="3770" t="e">
        <f t="shared" si="14"/>
        <v>#N/A</v>
      </c>
      <c r="X29" s="909"/>
      <c r="Y29" s="4581"/>
      <c r="Z29" s="907" t="str">
        <f t="shared" si="15"/>
        <v>成新率</v>
      </c>
      <c r="AA29" s="907" t="e">
        <f t="shared" si="3"/>
        <v>#N/A</v>
      </c>
      <c r="AB29" s="907" t="e">
        <f t="shared" si="4"/>
        <v>#N/A</v>
      </c>
      <c r="AC29" s="907" t="e">
        <f t="shared" si="5"/>
        <v>#N/A</v>
      </c>
    </row>
    <row r="30" spans="1:29" ht="15">
      <c r="A30" s="424"/>
      <c r="B30" s="422" t="s">
        <v>1745</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81"/>
      <c r="Q30" s="906" t="str">
        <f t="shared" si="11"/>
        <v>物业等级</v>
      </c>
      <c r="R30" s="3767" t="s">
        <v>13</v>
      </c>
      <c r="S30" s="3770">
        <f t="shared" si="12"/>
        <v>100</v>
      </c>
      <c r="T30" s="3767" t="s">
        <v>13</v>
      </c>
      <c r="U30" s="3770">
        <f t="shared" si="13"/>
        <v>100</v>
      </c>
      <c r="V30" s="3767" t="s">
        <v>13</v>
      </c>
      <c r="W30" s="3770">
        <f t="shared" si="14"/>
        <v>100</v>
      </c>
      <c r="X30" s="909"/>
      <c r="Y30" s="4581"/>
      <c r="Z30" s="907" t="str">
        <f t="shared" si="15"/>
        <v>物业等级</v>
      </c>
      <c r="AA30" s="907">
        <f t="shared" si="3"/>
        <v>1</v>
      </c>
      <c r="AB30" s="907">
        <f t="shared" si="4"/>
        <v>1</v>
      </c>
      <c r="AC30" s="907">
        <f t="shared" si="5"/>
        <v>1</v>
      </c>
    </row>
    <row r="31" spans="1:29" s="46" customFormat="1" ht="15">
      <c r="A31" s="426"/>
      <c r="B31" s="422" t="s">
        <v>1746</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81"/>
      <c r="Q31" s="389" t="str">
        <f t="shared" si="11"/>
        <v>停车位面积</v>
      </c>
      <c r="R31" s="3766" t="s">
        <v>13</v>
      </c>
      <c r="S31" s="3769" t="e">
        <f t="shared" si="12"/>
        <v>#N/A</v>
      </c>
      <c r="T31" s="3766" t="s">
        <v>13</v>
      </c>
      <c r="U31" s="3769" t="e">
        <f t="shared" si="13"/>
        <v>#N/A</v>
      </c>
      <c r="V31" s="3766" t="s">
        <v>13</v>
      </c>
      <c r="W31" s="3769" t="e">
        <f t="shared" si="14"/>
        <v>#N/A</v>
      </c>
      <c r="X31" s="482"/>
      <c r="Y31" s="4581"/>
      <c r="Z31" s="28" t="str">
        <f t="shared" si="15"/>
        <v>停车位面积</v>
      </c>
      <c r="AA31" s="28" t="e">
        <f t="shared" si="3"/>
        <v>#N/A</v>
      </c>
      <c r="AB31" s="28" t="e">
        <f t="shared" si="4"/>
        <v>#N/A</v>
      </c>
      <c r="AC31" s="28" t="e">
        <f t="shared" si="5"/>
        <v>#N/A</v>
      </c>
    </row>
    <row r="32" spans="1:29" ht="15">
      <c r="A32" s="424"/>
      <c r="B32" s="422" t="s">
        <v>1747</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81" t="s">
        <v>1601</v>
      </c>
      <c r="Q32" s="906" t="str">
        <f t="shared" si="11"/>
        <v>车位类型</v>
      </c>
      <c r="R32" s="3767" t="s">
        <v>13</v>
      </c>
      <c r="S32" s="3770">
        <f t="shared" si="12"/>
        <v>100</v>
      </c>
      <c r="T32" s="3767" t="s">
        <v>13</v>
      </c>
      <c r="U32" s="3770">
        <f t="shared" si="13"/>
        <v>100</v>
      </c>
      <c r="V32" s="3767" t="s">
        <v>13</v>
      </c>
      <c r="W32" s="3770">
        <f t="shared" si="14"/>
        <v>100</v>
      </c>
      <c r="X32" s="909"/>
      <c r="Y32" s="4581" t="s">
        <v>1601</v>
      </c>
      <c r="Z32" s="907" t="str">
        <f t="shared" si="15"/>
        <v>车位类型</v>
      </c>
      <c r="AA32" s="907">
        <f t="shared" si="3"/>
        <v>1</v>
      </c>
      <c r="AB32" s="907">
        <f t="shared" si="4"/>
        <v>1</v>
      </c>
      <c r="AC32" s="907">
        <f t="shared" si="5"/>
        <v>1</v>
      </c>
    </row>
    <row r="33" spans="1:29" ht="15">
      <c r="A33" s="424"/>
      <c r="B33" s="422" t="s">
        <v>1748</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81"/>
      <c r="Q33" s="906" t="str">
        <f t="shared" si="11"/>
        <v>是否直接入户</v>
      </c>
      <c r="R33" s="3767" t="s">
        <v>13</v>
      </c>
      <c r="S33" s="3770">
        <f t="shared" si="12"/>
        <v>100</v>
      </c>
      <c r="T33" s="3767" t="s">
        <v>13</v>
      </c>
      <c r="U33" s="3770">
        <f t="shared" si="13"/>
        <v>100</v>
      </c>
      <c r="V33" s="3767" t="s">
        <v>13</v>
      </c>
      <c r="W33" s="3770">
        <f t="shared" si="14"/>
        <v>100</v>
      </c>
      <c r="X33" s="909"/>
      <c r="Y33" s="4581"/>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81"/>
      <c r="Q34" s="906">
        <f t="shared" si="11"/>
        <v>111</v>
      </c>
      <c r="R34" s="3767" t="s">
        <v>13</v>
      </c>
      <c r="S34" s="3770">
        <f t="shared" si="12"/>
        <v>100</v>
      </c>
      <c r="T34" s="3767" t="s">
        <v>13</v>
      </c>
      <c r="U34" s="3770">
        <f t="shared" si="13"/>
        <v>100</v>
      </c>
      <c r="V34" s="3767" t="s">
        <v>13</v>
      </c>
      <c r="W34" s="3770">
        <f t="shared" si="14"/>
        <v>100</v>
      </c>
      <c r="X34" s="909"/>
      <c r="Y34" s="4581"/>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81"/>
      <c r="Q35" s="483">
        <f t="shared" si="11"/>
        <v>111</v>
      </c>
      <c r="R35" s="3768" t="s">
        <v>13</v>
      </c>
      <c r="S35" s="3771">
        <f t="shared" si="12"/>
        <v>100</v>
      </c>
      <c r="T35" s="3768" t="s">
        <v>13</v>
      </c>
      <c r="U35" s="3771">
        <f t="shared" si="13"/>
        <v>100</v>
      </c>
      <c r="V35" s="3768" t="s">
        <v>13</v>
      </c>
      <c r="W35" s="3771">
        <f t="shared" si="14"/>
        <v>100</v>
      </c>
      <c r="X35" s="484"/>
      <c r="Y35" s="4581"/>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81"/>
      <c r="Q36" s="906">
        <f t="shared" si="11"/>
        <v>111</v>
      </c>
      <c r="R36" s="3767" t="s">
        <v>13</v>
      </c>
      <c r="S36" s="3770">
        <f t="shared" si="12"/>
        <v>100</v>
      </c>
      <c r="T36" s="3767" t="s">
        <v>13</v>
      </c>
      <c r="U36" s="3770">
        <f t="shared" si="13"/>
        <v>100</v>
      </c>
      <c r="V36" s="3767" t="s">
        <v>13</v>
      </c>
      <c r="W36" s="3770">
        <f t="shared" si="14"/>
        <v>100</v>
      </c>
      <c r="X36" s="909"/>
      <c r="Y36" s="4581"/>
      <c r="Z36" s="907">
        <f t="shared" si="15"/>
        <v>111</v>
      </c>
      <c r="AA36" s="907">
        <f t="shared" si="3"/>
        <v>1</v>
      </c>
      <c r="AB36" s="907">
        <f t="shared" si="4"/>
        <v>1</v>
      </c>
      <c r="AC36" s="907">
        <f t="shared" si="5"/>
        <v>1</v>
      </c>
    </row>
    <row r="37" spans="1:29" ht="15">
      <c r="A37" s="286" t="s">
        <v>1749</v>
      </c>
      <c r="B37" s="1426" t="s">
        <v>3229</v>
      </c>
      <c r="C37" s="765" t="s">
        <v>0</v>
      </c>
      <c r="D37" s="288"/>
      <c r="E37" s="3205"/>
      <c r="F37" s="3153"/>
      <c r="G37" s="3206"/>
      <c r="H37" s="3154"/>
      <c r="I37" s="3205"/>
      <c r="J37" s="3154"/>
      <c r="K37" s="3207"/>
      <c r="L37" s="1982"/>
      <c r="M37" s="1975"/>
      <c r="N37" s="1975"/>
      <c r="O37" s="1975"/>
      <c r="P37" s="4589" t="str">
        <f>A37</f>
        <v>成交单价</v>
      </c>
      <c r="Q37" s="4589"/>
      <c r="R37" s="4590">
        <f>E37</f>
        <v>0</v>
      </c>
      <c r="S37" s="4590"/>
      <c r="T37" s="4590">
        <f>G37</f>
        <v>0</v>
      </c>
      <c r="U37" s="4590"/>
      <c r="V37" s="4590">
        <f>I37</f>
        <v>0</v>
      </c>
      <c r="W37" s="4590"/>
      <c r="X37" s="265"/>
      <c r="Y37" s="486"/>
      <c r="Z37" s="265"/>
      <c r="AA37" s="265"/>
      <c r="AB37" s="265"/>
      <c r="AC37" s="265"/>
    </row>
    <row r="38" spans="1:29" ht="15.75" thickBot="1">
      <c r="A38" s="289" t="s">
        <v>1750</v>
      </c>
      <c r="B38" s="290" t="str">
        <f>B37</f>
        <v>元/平方米</v>
      </c>
      <c r="C38" s="3733" t="e">
        <f>R39</f>
        <v>#DIV/0!</v>
      </c>
      <c r="D38" s="3846" t="s">
        <v>2040</v>
      </c>
      <c r="E38" s="3744" t="e">
        <f>R38</f>
        <v>#DIV/0!</v>
      </c>
      <c r="F38" s="2801"/>
      <c r="G38" s="3733" t="e">
        <f>T38</f>
        <v>#DIV/0!</v>
      </c>
      <c r="H38" s="2801"/>
      <c r="I38" s="3744" t="e">
        <f>V38</f>
        <v>#DIV/0!</v>
      </c>
      <c r="J38" s="2801"/>
      <c r="K38" s="2855">
        <f>F38+H38+J38</f>
        <v>0</v>
      </c>
      <c r="L38" s="1982"/>
      <c r="M38" s="1975"/>
      <c r="N38" s="1975"/>
      <c r="O38" s="1975"/>
      <c r="P38" s="4589" t="str">
        <f>A38</f>
        <v>比较价值（元/平方米）</v>
      </c>
      <c r="Q38" s="4589"/>
      <c r="R38" s="4590" t="e">
        <f>IF(F1="售价",ROUND(PRODUCT(R37,AA7:AA36),0),ROUND(PRODUCT(R37,AA7:AA36),1))</f>
        <v>#DIV/0!</v>
      </c>
      <c r="S38" s="4590"/>
      <c r="T38" s="4590" t="e">
        <f>IF(F1="售价",ROUND(PRODUCT(T37,AB7:AB36),0),ROUND(PRODUCT(T37,AB7:AB36),1))</f>
        <v>#DIV/0!</v>
      </c>
      <c r="U38" s="4590"/>
      <c r="V38" s="4590" t="e">
        <f>IF(F1="售价",ROUND(PRODUCT(V37,AC7:AC36),0),ROUND(PRODUCT(V37,AC7:AC36),1))</f>
        <v>#DIV/0!</v>
      </c>
      <c r="W38" s="4590"/>
      <c r="X38" s="265"/>
      <c r="Y38" s="265"/>
      <c r="Z38" s="265"/>
      <c r="AA38" s="265"/>
      <c r="AB38" s="265"/>
      <c r="AC38" s="265"/>
    </row>
    <row r="39" spans="1:29" ht="15.75" thickBot="1">
      <c r="A39" s="291" t="s">
        <v>1751</v>
      </c>
      <c r="B39" s="292"/>
      <c r="C39" s="3745" t="e">
        <f>R39</f>
        <v>#DIV/0!</v>
      </c>
      <c r="D39" s="241"/>
      <c r="E39" s="241"/>
      <c r="F39" s="241"/>
      <c r="G39" s="241"/>
      <c r="H39" s="241"/>
      <c r="I39" s="241"/>
      <c r="J39" s="241"/>
      <c r="K39" s="399"/>
      <c r="L39" s="1982"/>
      <c r="M39" s="1975"/>
      <c r="N39" s="1975"/>
      <c r="O39" s="1975"/>
      <c r="P39" s="4637" t="str">
        <f>A39</f>
        <v>估价对象XX用房的比较价值（楼面单价，元/平方米）</v>
      </c>
      <c r="Q39" s="4638"/>
      <c r="R39" s="4639" t="e">
        <f>IF(F1="售价",ROUND(IF(D38="简单平均",AVERAGE(R38:W38),R38*F38+T38*H38+V38*J38),0),ROUND(IF(D38="简单平均",AVERAGE(R38:V38),R38*F38+T38*H38+V38*J38),1))</f>
        <v>#DIV/0!</v>
      </c>
      <c r="S39" s="4639"/>
      <c r="T39" s="4639"/>
      <c r="U39" s="4639"/>
      <c r="V39" s="4639"/>
      <c r="W39" s="463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1752</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1753</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1754</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1755</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1756</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1621</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1586</v>
      </c>
      <c r="B51" s="307"/>
      <c r="C51" s="319" t="s">
        <v>1681</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1624</v>
      </c>
      <c r="B53" s="322" t="s">
        <v>1590</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1593</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3865</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1595</v>
      </c>
      <c r="B63" s="322" t="s">
        <v>1631</v>
      </c>
      <c r="C63" s="364" t="s">
        <v>1626</v>
      </c>
      <c r="D63" s="364" t="s">
        <v>1627</v>
      </c>
      <c r="E63" s="364" t="s">
        <v>1628</v>
      </c>
      <c r="F63" s="364" t="s">
        <v>1629</v>
      </c>
      <c r="G63" s="364" t="s">
        <v>1630</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1632</v>
      </c>
      <c r="C65" s="368" t="s">
        <v>1626</v>
      </c>
      <c r="D65" s="368" t="s">
        <v>1627</v>
      </c>
      <c r="E65" s="368" t="s">
        <v>1628</v>
      </c>
      <c r="F65" s="368" t="s">
        <v>1629</v>
      </c>
      <c r="G65" s="368" t="s">
        <v>1630</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1718</v>
      </c>
      <c r="C67" s="428" t="s">
        <v>1704</v>
      </c>
      <c r="D67" s="428" t="s">
        <v>1705</v>
      </c>
      <c r="E67" s="428" t="s">
        <v>1706</v>
      </c>
      <c r="F67" s="428" t="s">
        <v>1707</v>
      </c>
      <c r="G67" s="428" t="s">
        <v>1708</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1638</v>
      </c>
      <c r="C69" s="368" t="s">
        <v>1626</v>
      </c>
      <c r="D69" s="368" t="s">
        <v>1627</v>
      </c>
      <c r="E69" s="368" t="s">
        <v>1628</v>
      </c>
      <c r="F69" s="368" t="s">
        <v>1629</v>
      </c>
      <c r="G69" s="368" t="s">
        <v>1630</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1757</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1599</v>
      </c>
      <c r="B79" s="322" t="s">
        <v>1758</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1759</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1645</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1760</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1761</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1762</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1763</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1764</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29" priority="13" stopIfTrue="1">
      <formula>$F$42="超过30%"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F7:F36 H7:H36 J7:J36">
    <cfRule type="cellIs" dxfId="26" priority="1" operator="notEqual">
      <formula>100</formula>
    </cfRule>
  </conditionalFormatting>
  <conditionalFormatting sqref="F38">
    <cfRule type="expression" dxfId="25" priority="4">
      <formula>$D$38="简单平均"</formula>
    </cfRule>
  </conditionalFormatting>
  <conditionalFormatting sqref="F42:F44 H42:H44 J42:J44">
    <cfRule type="containsText" dxfId="24" priority="14" stopIfTrue="1" operator="containsText" text="超过">
      <formula>NOT(ISERROR(SEARCH("超过",F42)))</formula>
    </cfRule>
  </conditionalFormatting>
  <conditionalFormatting sqref="G42">
    <cfRule type="expression" dxfId="23" priority="9" stopIfTrue="1">
      <formula>$H$52+$H$42="超过30%"</formula>
    </cfRule>
  </conditionalFormatting>
  <conditionalFormatting sqref="G43">
    <cfRule type="expression" dxfId="22" priority="8" stopIfTrue="1">
      <formula>$H$43="超过20%"</formula>
    </cfRule>
  </conditionalFormatting>
  <conditionalFormatting sqref="G44">
    <cfRule type="expression" dxfId="21" priority="12" stopIfTrue="1">
      <formula>$H$54+$H$44="超过30%"</formula>
    </cfRule>
  </conditionalFormatting>
  <conditionalFormatting sqref="H38">
    <cfRule type="expression" dxfId="20" priority="3">
      <formula>$D$38="简单平均"</formula>
    </cfRule>
  </conditionalFormatting>
  <conditionalFormatting sqref="I42">
    <cfRule type="expression" dxfId="19" priority="7" stopIfTrue="1">
      <formula>$J$52+$J$42="超过30%"</formula>
    </cfRule>
  </conditionalFormatting>
  <conditionalFormatting sqref="I43">
    <cfRule type="expression" dxfId="18" priority="6" stopIfTrue="1">
      <formula>$J$53+$J$43="超过20%"</formula>
    </cfRule>
  </conditionalFormatting>
  <conditionalFormatting sqref="I44">
    <cfRule type="expression" dxfId="17" priority="5" stopIfTrue="1">
      <formula>$J$44="超过30%"</formula>
    </cfRule>
  </conditionalFormatting>
  <conditionalFormatting sqref="J38">
    <cfRule type="expression" dxfId="16"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I23" sqref="I2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859</v>
      </c>
      <c r="B1" s="481"/>
      <c r="C1" s="2782" t="s">
        <v>658</v>
      </c>
      <c r="D1" s="914" t="s">
        <v>4084</v>
      </c>
      <c r="E1" s="915" t="s">
        <v>663</v>
      </c>
      <c r="F1" s="3412">
        <f ca="1">J62</f>
        <v>31.64</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43">
        <f ca="1">IF(D2="含税",ROUND((C28+J31+L55)*(1+F31),0),C28+J31+L55)</f>
        <v>1164</v>
      </c>
      <c r="C2" s="932" t="s">
        <v>788</v>
      </c>
      <c r="D2" s="3323" t="s">
        <v>4083</v>
      </c>
      <c r="E2" s="937"/>
      <c r="F2" s="938"/>
      <c r="G2" s="1966"/>
      <c r="H2" s="1956"/>
      <c r="I2" s="1956"/>
      <c r="J2" s="1956"/>
      <c r="K2" s="1957"/>
      <c r="L2" s="1956"/>
      <c r="M2" s="1956"/>
    </row>
    <row r="3" spans="1:37" ht="18" customHeight="1" thickBot="1">
      <c r="A3" s="939" t="s">
        <v>789</v>
      </c>
      <c r="B3" s="2754">
        <f ca="1">IF(ISERROR(B2*10000/F32),0,ROUND(B2*10000/F32,0))</f>
        <v>7248</v>
      </c>
      <c r="C3" s="932" t="s">
        <v>790</v>
      </c>
      <c r="D3" s="932"/>
      <c r="E3" s="937"/>
      <c r="F3" s="938"/>
      <c r="G3" s="1966"/>
      <c r="H3" s="467" t="s">
        <v>858</v>
      </c>
      <c r="I3" s="933"/>
      <c r="J3" s="933"/>
      <c r="K3" s="934"/>
      <c r="L3" s="933"/>
      <c r="M3" s="933"/>
    </row>
    <row r="4" spans="1:37" s="118" customFormat="1" ht="18" customHeight="1">
      <c r="A4" s="2723" t="s">
        <v>3866</v>
      </c>
      <c r="B4" s="2724" t="s">
        <v>3867</v>
      </c>
      <c r="C4" s="3569" t="s">
        <v>3805</v>
      </c>
      <c r="D4" s="2724" t="s">
        <v>3868</v>
      </c>
      <c r="E4" s="3999" t="s">
        <v>3869</v>
      </c>
      <c r="F4" s="4000"/>
      <c r="G4" s="4001"/>
      <c r="H4" s="2723" t="s">
        <v>3866</v>
      </c>
      <c r="I4" s="2724" t="s">
        <v>3867</v>
      </c>
      <c r="J4" s="3569" t="s">
        <v>3805</v>
      </c>
      <c r="K4" s="2724" t="s">
        <v>3868</v>
      </c>
      <c r="L4" s="3999" t="s">
        <v>3869</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3392</v>
      </c>
      <c r="C5" s="4093">
        <f ca="1">ROUND(C6+C10+C12,0)</f>
        <v>79</v>
      </c>
      <c r="D5" s="4002" t="s">
        <v>3872</v>
      </c>
      <c r="E5" s="4003"/>
      <c r="F5" s="4004"/>
      <c r="G5" s="4001"/>
      <c r="H5" s="183">
        <v>1</v>
      </c>
      <c r="I5" s="3913" t="s">
        <v>3392</v>
      </c>
      <c r="J5" s="4093">
        <f ca="1">ROUND(J6+J10+J12,0)</f>
        <v>0</v>
      </c>
      <c r="K5" s="4002" t="s">
        <v>3872</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3783</v>
      </c>
      <c r="C6" s="3855">
        <f ca="1">C7-C9</f>
        <v>79.140000000000015</v>
      </c>
      <c r="D6" s="2715" t="s">
        <v>3787</v>
      </c>
      <c r="E6" s="2713" t="s">
        <v>3390</v>
      </c>
      <c r="F6" s="3028">
        <f ca="1">INDIRECT("'数据-取费表'!u"&amp;$G$1)</f>
        <v>1.5</v>
      </c>
      <c r="G6" s="935"/>
      <c r="H6" s="707" t="s">
        <v>392</v>
      </c>
      <c r="I6" s="2714" t="s">
        <v>3783</v>
      </c>
      <c r="J6" s="4087">
        <f ca="1">J7-J9</f>
        <v>0</v>
      </c>
      <c r="K6" s="2715" t="s">
        <v>3787</v>
      </c>
      <c r="L6" s="2713" t="s">
        <v>3390</v>
      </c>
      <c r="M6" s="3028">
        <f ca="1">INDIRECT("'数据-取费表'!z"&amp;$G$1)</f>
        <v>0</v>
      </c>
    </row>
    <row r="7" spans="1:37" ht="18" customHeight="1">
      <c r="A7" s="4496" t="s">
        <v>391</v>
      </c>
      <c r="B7" s="4493" t="s">
        <v>3781</v>
      </c>
      <c r="C7" s="4652">
        <f ca="1">ROUND(F6*F7*F8/10000,2)</f>
        <v>87.93</v>
      </c>
      <c r="D7" s="4495" t="s">
        <v>3461</v>
      </c>
      <c r="E7" s="714" t="s">
        <v>680</v>
      </c>
      <c r="F7" s="2761">
        <f ca="1">IF(INDIRECT("'数据-取费表'!ah"&amp;$G$1)="",INDIRECT("'数据-取费表'!k"&amp;$G$1),INDIRECT("'数据-取费表'!ah"&amp;$G$1))</f>
        <v>1606</v>
      </c>
      <c r="G7" s="935"/>
      <c r="H7" s="4496" t="s">
        <v>391</v>
      </c>
      <c r="I7" s="4493" t="s">
        <v>3781</v>
      </c>
      <c r="J7" s="4656">
        <f ca="1">ROUND(M6*M8*M7/10000,2)</f>
        <v>0</v>
      </c>
      <c r="K7" s="4495" t="s">
        <v>3461</v>
      </c>
      <c r="L7" s="186" t="s">
        <v>680</v>
      </c>
      <c r="M7" s="2761">
        <f ca="1">F7</f>
        <v>1606</v>
      </c>
    </row>
    <row r="8" spans="1:37" ht="18" customHeight="1">
      <c r="A8" s="4497"/>
      <c r="B8" s="4494"/>
      <c r="C8" s="4652"/>
      <c r="D8" s="4495"/>
      <c r="E8" s="186" t="str">
        <f ca="1">IF(F8=1,"年",IF(F8=12,"月","天"))</f>
        <v>天</v>
      </c>
      <c r="F8" s="3413">
        <f ca="1">INDIRECT("'数据-取费表'!ai"&amp;$G$1)</f>
        <v>365</v>
      </c>
      <c r="G8" s="935"/>
      <c r="H8" s="4497"/>
      <c r="I8" s="4494"/>
      <c r="J8" s="4656"/>
      <c r="K8" s="4495"/>
      <c r="L8" s="186" t="str">
        <f ca="1">IF(M8=1,"年",IF(M8=12,"月","天"))</f>
        <v>天</v>
      </c>
      <c r="M8" s="3413">
        <f ca="1">INDIRECT("'数据-取费表'!ai"&amp;$G$1)</f>
        <v>365</v>
      </c>
    </row>
    <row r="9" spans="1:37" ht="18" customHeight="1">
      <c r="A9" s="2700" t="s">
        <v>3391</v>
      </c>
      <c r="B9" s="4086" t="s">
        <v>3782</v>
      </c>
      <c r="C9" s="4085">
        <f ca="1">ROUND(C7*F9,2)</f>
        <v>8.7899999999999991</v>
      </c>
      <c r="D9" s="2715" t="s">
        <v>3786</v>
      </c>
      <c r="E9" s="186" t="s">
        <v>682</v>
      </c>
      <c r="F9" s="2767">
        <f ca="1">INDIRECT("'数据-取费表'!w"&amp;$G$1)</f>
        <v>0.1</v>
      </c>
      <c r="G9" s="935"/>
      <c r="H9" s="2700" t="s">
        <v>3391</v>
      </c>
      <c r="I9" s="4086" t="s">
        <v>3782</v>
      </c>
      <c r="J9" s="4087">
        <f ca="1">ROUND(J7*M9,2)</f>
        <v>0</v>
      </c>
      <c r="K9" s="2715" t="s">
        <v>3786</v>
      </c>
      <c r="L9" s="197" t="s">
        <v>682</v>
      </c>
      <c r="M9" s="2829">
        <f ca="1">INDIRECT("'数据-取费表'!ab"&amp;$G$1)</f>
        <v>0</v>
      </c>
    </row>
    <row r="10" spans="1:37" ht="18" customHeight="1">
      <c r="A10" s="707" t="s">
        <v>396</v>
      </c>
      <c r="B10" s="917" t="s">
        <v>683</v>
      </c>
      <c r="C10" s="4087">
        <f ca="1">ROUND(IF(F10="押一",C6/12*F11,IF(F10="押二",C6/12*2*F11,IF(F10="押三",C6/12*3*F11,C11*F11))),2)</f>
        <v>0.1</v>
      </c>
      <c r="D10" s="59" t="s">
        <v>2019</v>
      </c>
      <c r="E10" s="197" t="s">
        <v>684</v>
      </c>
      <c r="F10" s="2763" t="s">
        <v>4086</v>
      </c>
      <c r="G10" s="935"/>
      <c r="H10" s="707" t="s">
        <v>396</v>
      </c>
      <c r="I10" s="917" t="s">
        <v>683</v>
      </c>
      <c r="J10" s="4088">
        <f ca="1">ROUND(IF(M10="押一",J6/12*M11,IF(M10="押二",J6/12*2*M11,IF(M10="押三",J6/12*3*M11,J11*M11))),2)</f>
        <v>0</v>
      </c>
      <c r="K10" s="59" t="s">
        <v>2018</v>
      </c>
      <c r="L10" s="197" t="s">
        <v>684</v>
      </c>
      <c r="M10" s="2763"/>
    </row>
    <row r="11" spans="1:37" ht="18" customHeight="1">
      <c r="A11" s="192"/>
      <c r="B11" s="3023" t="str">
        <f>IF(OR(F10="自定义",F10=" "),"（自定义押金）","")</f>
        <v/>
      </c>
      <c r="C11" s="2718"/>
      <c r="D11" s="919"/>
      <c r="E11" s="197" t="s">
        <v>685</v>
      </c>
      <c r="F11" s="2829">
        <f ca="1">'数据-取费表'!B40</f>
        <v>1.4999999999999999E-2</v>
      </c>
      <c r="G11" s="935"/>
      <c r="H11" s="715"/>
      <c r="I11" s="3023" t="str">
        <f>IF(OR(M10="自定义",M10=" "),"（自定义押金）","")</f>
        <v/>
      </c>
      <c r="J11" s="2718"/>
      <c r="K11" s="464"/>
      <c r="L11" s="197" t="s">
        <v>685</v>
      </c>
      <c r="M11" s="3434">
        <f ca="1">'数据-取费表'!B40</f>
        <v>1.4999999999999999E-2</v>
      </c>
    </row>
    <row r="12" spans="1:37" ht="18" customHeight="1" thickBot="1">
      <c r="A12" s="720" t="s">
        <v>431</v>
      </c>
      <c r="B12" s="920" t="s">
        <v>686</v>
      </c>
      <c r="C12" s="2744"/>
      <c r="D12" s="722"/>
      <c r="E12" s="727"/>
      <c r="F12" s="723"/>
      <c r="G12" s="935"/>
      <c r="H12" s="720" t="s">
        <v>431</v>
      </c>
      <c r="I12" s="920" t="s">
        <v>686</v>
      </c>
      <c r="J12" s="2744"/>
      <c r="K12" s="735"/>
      <c r="L12" s="727"/>
      <c r="M12" s="2830"/>
    </row>
    <row r="13" spans="1:37" s="118" customFormat="1" ht="18" customHeight="1" thickTop="1">
      <c r="A13" s="716" t="s">
        <v>3666</v>
      </c>
      <c r="B13" s="717" t="s">
        <v>3873</v>
      </c>
      <c r="C13" s="3853">
        <f ca="1">ROUND(C14+C22+C24+C26,0)</f>
        <v>13</v>
      </c>
      <c r="D13" s="4005" t="s">
        <v>3874</v>
      </c>
      <c r="E13" s="4006"/>
      <c r="F13" s="4004"/>
      <c r="G13" s="4001"/>
      <c r="H13" s="716" t="s">
        <v>3666</v>
      </c>
      <c r="I13" s="717" t="s">
        <v>3873</v>
      </c>
      <c r="J13" s="3853">
        <f ca="1">ROUND(J14+J22+J24+J26,0)</f>
        <v>7</v>
      </c>
      <c r="K13" s="4007" t="s">
        <v>3875</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3957</v>
      </c>
      <c r="C14" s="4087">
        <f ca="1">ROUND(IF(AND(项目基本情况!B11="自然人",项目基本情况!B10="北京市",M56="住宅"),C6*F14,C15+C19+C20),2)</f>
        <v>10.87</v>
      </c>
      <c r="D14" s="900" t="s">
        <v>3435</v>
      </c>
      <c r="E14" s="900" t="str">
        <f>IF(M56="非住宅","","综合税率")</f>
        <v/>
      </c>
      <c r="F14" s="3837" t="str">
        <f>IF(M56="非住宅","",IF(F6*F7*F8/12/(1+'数据-取费表'!F30)&gt;100000,4%,2.5%))</f>
        <v/>
      </c>
      <c r="G14" s="935"/>
      <c r="H14" s="658" t="s">
        <v>392</v>
      </c>
      <c r="I14" s="2713" t="s">
        <v>3957</v>
      </c>
      <c r="J14" s="4087">
        <f ca="1">ROUND(IF(AND(项目基本情况!B11="自然人",项目基本情况!B10="北京市",M56="住宅"),J6*M14/(1+'数据-取费表'!C43),J15+J19+J20),2)</f>
        <v>5.52</v>
      </c>
      <c r="K14" s="2740" t="s">
        <v>3434</v>
      </c>
      <c r="L14" s="900" t="str">
        <f>E14</f>
        <v/>
      </c>
      <c r="M14" s="3837" t="str">
        <f>IF(M56="非住宅","",IF(M6*M7*M8/12/(1+'数据-取费表'!F30)&gt;100000,4%,2.5%))</f>
        <v/>
      </c>
    </row>
    <row r="15" spans="1:37" s="946" customFormat="1" ht="18" customHeight="1">
      <c r="A15" s="2700" t="s">
        <v>3393</v>
      </c>
      <c r="B15" s="2713" t="s">
        <v>3953</v>
      </c>
      <c r="C15" s="4087">
        <f ca="1">C18</f>
        <v>0.83</v>
      </c>
      <c r="D15" s="2430" t="s">
        <v>3962</v>
      </c>
      <c r="E15" s="4090"/>
      <c r="F15" s="4122"/>
      <c r="G15" s="945"/>
      <c r="H15" s="2700" t="s">
        <v>391</v>
      </c>
      <c r="I15" s="2713" t="s">
        <v>3953</v>
      </c>
      <c r="J15" s="4087">
        <f ca="1">J18</f>
        <v>-0.01</v>
      </c>
      <c r="K15" s="2430" t="s">
        <v>3952</v>
      </c>
      <c r="L15" s="4090"/>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3278</v>
      </c>
      <c r="B16" s="2717" t="s">
        <v>3394</v>
      </c>
      <c r="C16" s="2720">
        <f ca="1">ROUND(C6*F16,2)</f>
        <v>7.12</v>
      </c>
      <c r="D16" s="994" t="s">
        <v>3844</v>
      </c>
      <c r="E16" s="2721" t="s">
        <v>3396</v>
      </c>
      <c r="F16" s="2765">
        <v>0.09</v>
      </c>
      <c r="G16" s="935"/>
      <c r="H16" s="2505" t="s">
        <v>3278</v>
      </c>
      <c r="I16" s="2717" t="s">
        <v>3394</v>
      </c>
      <c r="J16" s="2720">
        <f ca="1">ROUND(J6*M16,2)</f>
        <v>0</v>
      </c>
      <c r="K16" s="3979" t="s">
        <v>3850</v>
      </c>
      <c r="L16" s="2721" t="s">
        <v>3396</v>
      </c>
      <c r="M16" s="2765">
        <v>0.09</v>
      </c>
    </row>
    <row r="17" spans="1:37" s="946" customFormat="1" ht="18" customHeight="1">
      <c r="A17" s="2505" t="s">
        <v>3279</v>
      </c>
      <c r="B17" s="2717" t="s">
        <v>3395</v>
      </c>
      <c r="C17" s="2741">
        <f ca="1">ROUND(C22*F16+((C24+C26)*F17),2)</f>
        <v>0.19</v>
      </c>
      <c r="D17" s="3978" t="s">
        <v>3845</v>
      </c>
      <c r="E17" s="2722"/>
      <c r="F17" s="2765">
        <v>0.06</v>
      </c>
      <c r="G17" s="945"/>
      <c r="H17" s="2505" t="s">
        <v>3279</v>
      </c>
      <c r="I17" s="2717" t="s">
        <v>3395</v>
      </c>
      <c r="J17" s="2741">
        <f ca="1">ROUND(J22*M16+((J24+J26)*M17),2)</f>
        <v>0.11</v>
      </c>
      <c r="K17" s="3978" t="s">
        <v>3845</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3950</v>
      </c>
      <c r="B18" s="2717" t="s">
        <v>3971</v>
      </c>
      <c r="C18" s="2741">
        <f ca="1">ROUND((C16-C17)*F18,2)</f>
        <v>0.83</v>
      </c>
      <c r="D18" s="2740" t="s">
        <v>3972</v>
      </c>
      <c r="E18" s="186" t="s">
        <v>3973</v>
      </c>
      <c r="F18" s="2765">
        <f>'数据-取费表'!B44</f>
        <v>0.12000000000000001</v>
      </c>
      <c r="G18" s="945"/>
      <c r="H18" s="2505" t="s">
        <v>3950</v>
      </c>
      <c r="I18" s="2717" t="s">
        <v>3949</v>
      </c>
      <c r="J18" s="2741">
        <f ca="1">ROUND((J16-J17)*M18,2)</f>
        <v>-0.01</v>
      </c>
      <c r="K18" s="2740" t="s">
        <v>3972</v>
      </c>
      <c r="L18" s="186" t="s">
        <v>3973</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3958</v>
      </c>
      <c r="C19" s="4087">
        <f ca="1">IF(AND(项目基本情况!B11="自然人",M56="住宅"),"——",IF(D19="按不含税租金收入（有效毛租金收入）计税",ROUND(C6*F19,2),IF(D19="按房产原值计税",ROUND(C51*F19*0.7,2),INDIRECT("'数据-取费表'!Aj"&amp;$G$1))))</f>
        <v>9.5</v>
      </c>
      <c r="D19" s="2716" t="s">
        <v>4085</v>
      </c>
      <c r="E19" s="186" t="s">
        <v>695</v>
      </c>
      <c r="F19" s="2765">
        <f>IF(D19="按票据","——",IF(D19="按不含税租金收入（有效毛租金收入）计税",'数据-取费表'!B52,'数据-取费表'!B51))</f>
        <v>0.12</v>
      </c>
      <c r="G19" s="945"/>
      <c r="H19" s="2700" t="s">
        <v>393</v>
      </c>
      <c r="I19" s="2713" t="s">
        <v>3959</v>
      </c>
      <c r="J19" s="4087">
        <f ca="1">IF(K19="按不含税租金收入（有效毛租金收入）计税",ROUND(J6*M19,2),ROUND(C51*M19*0.7,2))</f>
        <v>4.99</v>
      </c>
      <c r="K19" s="921"/>
      <c r="L19" s="186" t="s">
        <v>695</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664</v>
      </c>
      <c r="B20" s="927" t="s">
        <v>3955</v>
      </c>
      <c r="C20" s="4088">
        <f ca="1">IF(AND(项目基本情况!B11="自然人",M56="住宅"),"——",ROUND(F20*F21/10000,2))</f>
        <v>0.54</v>
      </c>
      <c r="D20" s="207" t="s">
        <v>714</v>
      </c>
      <c r="E20" s="186" t="s">
        <v>715</v>
      </c>
      <c r="F20" s="2766">
        <f>'数据-取费表'!B53</f>
        <v>24</v>
      </c>
      <c r="G20" s="935"/>
      <c r="H20" s="4091" t="s">
        <v>664</v>
      </c>
      <c r="I20" s="927" t="s">
        <v>3955</v>
      </c>
      <c r="J20" s="4088">
        <f ca="1">ROUND(M20*M21/10000,2)</f>
        <v>0.54</v>
      </c>
      <c r="K20" s="207" t="s">
        <v>714</v>
      </c>
      <c r="L20" s="186" t="s">
        <v>715</v>
      </c>
      <c r="M20" s="2766">
        <f>'数据-取费表'!B53</f>
        <v>24</v>
      </c>
    </row>
    <row r="21" spans="1:37" s="946" customFormat="1" ht="18" customHeight="1">
      <c r="A21" s="209"/>
      <c r="B21" s="738"/>
      <c r="C21" s="4089"/>
      <c r="D21" s="210"/>
      <c r="E21" s="186" t="s">
        <v>719</v>
      </c>
      <c r="F21" s="2761">
        <f ca="1">INDIRECT("'数据-取费表'!r"&amp;$G$1)</f>
        <v>225.24</v>
      </c>
      <c r="G21" s="945"/>
      <c r="H21" s="209"/>
      <c r="I21" s="195"/>
      <c r="J21" s="4089"/>
      <c r="K21" s="210"/>
      <c r="L21" s="186" t="s">
        <v>719</v>
      </c>
      <c r="M21" s="2761">
        <f ca="1">INDIRECT("'数据-取费表'!r"&amp;$G$1)</f>
        <v>225.24</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721</v>
      </c>
      <c r="C22" s="3860">
        <f ca="1">ROUND(C51*F22,2)</f>
        <v>1.19</v>
      </c>
      <c r="D22" s="1776" t="s">
        <v>3806</v>
      </c>
      <c r="E22" s="186" t="s">
        <v>695</v>
      </c>
      <c r="F22" s="2767">
        <f ca="1">INDIRECT("'数据-取费表'!Ak"&amp;$G$1)</f>
        <v>2E-3</v>
      </c>
      <c r="G22" s="945"/>
      <c r="H22" s="3859" t="s">
        <v>396</v>
      </c>
      <c r="I22" s="56" t="s">
        <v>721</v>
      </c>
      <c r="J22" s="3860">
        <f ca="1">ROUND(J35*M22,2)</f>
        <v>1.19</v>
      </c>
      <c r="K22" s="1776" t="s">
        <v>722</v>
      </c>
      <c r="L22" s="186" t="s">
        <v>695</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3807</v>
      </c>
      <c r="F23" s="3413">
        <f ca="1">C51</f>
        <v>594</v>
      </c>
      <c r="G23" s="945"/>
      <c r="H23" s="209"/>
      <c r="I23" s="195"/>
      <c r="J23" s="3861"/>
      <c r="K23" s="3926"/>
      <c r="L23" s="2713" t="s">
        <v>3807</v>
      </c>
      <c r="M23" s="3413">
        <f ca="1">J35</f>
        <v>594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725</v>
      </c>
      <c r="C24" s="3860">
        <f ca="1">ROUND(C53*F24,2)</f>
        <v>0.59</v>
      </c>
      <c r="D24" s="1776" t="s">
        <v>3432</v>
      </c>
      <c r="E24" s="186" t="s">
        <v>727</v>
      </c>
      <c r="F24" s="2767">
        <f ca="1">INDIRECT("'数据-取费表'!Al"&amp;$G$1)</f>
        <v>1E-3</v>
      </c>
      <c r="G24" s="935"/>
      <c r="H24" s="3859" t="s">
        <v>431</v>
      </c>
      <c r="I24" s="56" t="s">
        <v>725</v>
      </c>
      <c r="J24" s="3860">
        <f ca="1">ROUND(J37*M24,2)</f>
        <v>0</v>
      </c>
      <c r="K24" s="1776" t="s">
        <v>3810</v>
      </c>
      <c r="L24" s="186" t="s">
        <v>727</v>
      </c>
      <c r="M24" s="2767">
        <f ca="1">INDIRECT("'数据-取费表'!Al"&amp;$G$1)</f>
        <v>1E-3</v>
      </c>
    </row>
    <row r="25" spans="1:37" ht="18" customHeight="1">
      <c r="A25" s="209"/>
      <c r="B25" s="195"/>
      <c r="C25" s="3861"/>
      <c r="D25" s="3926"/>
      <c r="E25" s="3925" t="s">
        <v>3808</v>
      </c>
      <c r="F25" s="3413">
        <f ca="1">C53</f>
        <v>594</v>
      </c>
      <c r="G25" s="935"/>
      <c r="H25" s="209"/>
      <c r="I25" s="195"/>
      <c r="J25" s="3861"/>
      <c r="K25" s="3926"/>
      <c r="L25" s="3925" t="s">
        <v>3808</v>
      </c>
      <c r="M25" s="3413">
        <f ca="1">J37</f>
        <v>0</v>
      </c>
    </row>
    <row r="26" spans="1:37" s="946" customFormat="1" ht="18" customHeight="1" thickBot="1">
      <c r="A26" s="726" t="s">
        <v>668</v>
      </c>
      <c r="B26" s="727" t="s">
        <v>711</v>
      </c>
      <c r="C26" s="2719">
        <f ca="1">ROUND(C5*F26,2)</f>
        <v>0.79</v>
      </c>
      <c r="D26" s="729" t="s">
        <v>3851</v>
      </c>
      <c r="E26" s="727" t="s">
        <v>727</v>
      </c>
      <c r="F26" s="2830">
        <f ca="1">INDIRECT("'数据-取费表'!Am"&amp;$G$1)</f>
        <v>0.01</v>
      </c>
      <c r="G26" s="945"/>
      <c r="H26" s="726" t="s">
        <v>668</v>
      </c>
      <c r="I26" s="727" t="s">
        <v>711</v>
      </c>
      <c r="J26" s="2719">
        <f ca="1">ROUND(J5*M26,2)</f>
        <v>0</v>
      </c>
      <c r="K26" s="729" t="s">
        <v>3853</v>
      </c>
      <c r="L26" s="727" t="s">
        <v>727</v>
      </c>
      <c r="M26" s="2830">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3667</v>
      </c>
      <c r="B27" s="731" t="s">
        <v>3876</v>
      </c>
      <c r="C27" s="3853">
        <f ca="1">C5-C13</f>
        <v>66</v>
      </c>
      <c r="D27" s="4009" t="s">
        <v>3877</v>
      </c>
      <c r="E27" s="4010"/>
      <c r="F27" s="4011"/>
      <c r="G27" s="498"/>
      <c r="H27" s="716" t="s">
        <v>3290</v>
      </c>
      <c r="I27" s="731" t="s">
        <v>3876</v>
      </c>
      <c r="J27" s="3853">
        <f ca="1">J5-J13</f>
        <v>-7</v>
      </c>
      <c r="K27" s="4009" t="s">
        <v>3877</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28">
        <f ca="1">IF(C5&lt;&gt;0,ROUND(C27*(1-((1+F30)/(1+F28))^F29)/(F28-F30),0),0)</f>
        <v>1164</v>
      </c>
      <c r="D28" s="4013" t="s">
        <v>3879</v>
      </c>
      <c r="E28" s="2725" t="s">
        <v>3880</v>
      </c>
      <c r="F28" s="2767">
        <f ca="1">INDIRECT("'数据-取费表'!I"&amp;$G$1)</f>
        <v>5.5E-2</v>
      </c>
      <c r="G28" s="4001"/>
      <c r="H28" s="183" t="s">
        <v>3668</v>
      </c>
      <c r="I28" s="184" t="s">
        <v>3881</v>
      </c>
      <c r="J28" s="3928">
        <f ca="1">IF(J5&lt;&gt;0,ROUND(J27*(1-((1+M30)/(1+M28))^M29)/(M28-M30),0),0)</f>
        <v>0</v>
      </c>
      <c r="K28" s="4013" t="s">
        <v>3879</v>
      </c>
      <c r="L28" s="4014" t="s">
        <v>3880</v>
      </c>
      <c r="M28" s="2829">
        <f ca="1">INDIRECT("'数据-取费表'!I"&amp;$G$1)</f>
        <v>5.5E-2</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3882</v>
      </c>
      <c r="E29" s="2725" t="s">
        <v>3883</v>
      </c>
      <c r="F29" s="2768">
        <f ca="1">IF(INDIRECT("'数据-取费表'!af"&amp;$G$1)=0,INDIRECT("'数据-取费表'!ae"&amp;$G$1),INDIRECT("'数据-取费表'!af"&amp;$G$1))</f>
        <v>31.64</v>
      </c>
      <c r="G29" s="4001"/>
      <c r="H29" s="188"/>
      <c r="I29" s="189"/>
      <c r="J29" s="3929"/>
      <c r="K29" s="64" t="s">
        <v>3884</v>
      </c>
      <c r="L29" s="2725" t="s">
        <v>3883</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3885</v>
      </c>
      <c r="F30" s="2767">
        <f ca="1">INDIRECT("'数据-取费表'!v"&amp;$G$1)</f>
        <v>1.4999999999999999E-2</v>
      </c>
      <c r="G30" s="4001"/>
      <c r="H30" s="192"/>
      <c r="I30" s="193"/>
      <c r="J30" s="3930"/>
      <c r="K30" s="64"/>
      <c r="L30" s="2725" t="s">
        <v>3885</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3669</v>
      </c>
      <c r="B31" s="3835" t="s">
        <v>3886</v>
      </c>
      <c r="C31" s="3838">
        <f ca="1">ROUND(C28*(1+F31),0)</f>
        <v>1269</v>
      </c>
      <c r="D31" s="4016" t="s">
        <v>3672</v>
      </c>
      <c r="E31" s="4017" t="str">
        <f>IF(D31="其他类型公式—收益价值×（1+9%）","销项税率","征收率")</f>
        <v>销项税率</v>
      </c>
      <c r="F31" s="2767">
        <f>IF(D31="其他类型公式—收益价值×（1+9%）",9%,3%)</f>
        <v>0.09</v>
      </c>
      <c r="G31" s="498"/>
      <c r="H31" s="199" t="s">
        <v>3669</v>
      </c>
      <c r="I31" s="2725" t="s">
        <v>3887</v>
      </c>
      <c r="J31" s="2743">
        <f ca="1">ROUND(J28/(1+F28)^F29,0)</f>
        <v>0</v>
      </c>
      <c r="K31" s="3922" t="s">
        <v>3800</v>
      </c>
      <c r="L31" s="2725"/>
      <c r="M31" s="2768">
        <f ca="1">INDIRECT("'数据-取费表'!k"&amp;$G$1)</f>
        <v>1606</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759</v>
      </c>
      <c r="C32" s="3839">
        <f ca="1">ROUND(C31*10000/F32,0)</f>
        <v>7902</v>
      </c>
      <c r="D32" s="4018" t="s">
        <v>3888</v>
      </c>
      <c r="E32" s="217" t="s">
        <v>3889</v>
      </c>
      <c r="F32" s="2769">
        <f ca="1">INDIRECT("'数据-取费表'!k"&amp;$G$1)</f>
        <v>1606</v>
      </c>
      <c r="G32" s="498"/>
      <c r="H32" s="3831" t="s">
        <v>3670</v>
      </c>
      <c r="I32" s="3832" t="s">
        <v>3890</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0.16455696202531644</v>
      </c>
      <c r="G33" s="935"/>
    </row>
    <row r="34" spans="1:37" s="118" customFormat="1" ht="18" customHeight="1">
      <c r="A34" s="3994" t="s">
        <v>3866</v>
      </c>
      <c r="B34" s="3995" t="s">
        <v>3867</v>
      </c>
      <c r="C34" s="3996" t="s">
        <v>3805</v>
      </c>
      <c r="D34" s="3995" t="s">
        <v>3868</v>
      </c>
      <c r="E34" s="3997" t="s">
        <v>3869</v>
      </c>
      <c r="F34" s="3998"/>
      <c r="G34" s="4001"/>
      <c r="H34" s="3994" t="s">
        <v>3866</v>
      </c>
      <c r="I34" s="3995" t="s">
        <v>3867</v>
      </c>
      <c r="J34" s="3996" t="s">
        <v>3805</v>
      </c>
      <c r="K34" s="3995" t="s">
        <v>3868</v>
      </c>
      <c r="L34" s="3997" t="s">
        <v>3869</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3397</v>
      </c>
      <c r="B35" s="2725" t="s">
        <v>3398</v>
      </c>
      <c r="C35" s="2743">
        <f ca="1">SUM(C36:C41)</f>
        <v>477</v>
      </c>
      <c r="D35" s="3922" t="s">
        <v>3405</v>
      </c>
      <c r="E35" s="994"/>
      <c r="F35" s="3277"/>
      <c r="G35" s="935"/>
      <c r="H35" s="3923" t="s">
        <v>3397</v>
      </c>
      <c r="I35" s="3924" t="s">
        <v>3437</v>
      </c>
      <c r="J35" s="2702">
        <f ca="1">C51</f>
        <v>594</v>
      </c>
      <c r="K35" s="2739" t="s">
        <v>3433</v>
      </c>
      <c r="L35" s="55"/>
      <c r="M35" s="2680"/>
    </row>
    <row r="36" spans="1:37" ht="18" customHeight="1">
      <c r="A36" s="2700" t="s">
        <v>3393</v>
      </c>
      <c r="B36" s="2665" t="s">
        <v>690</v>
      </c>
      <c r="C36" s="2610">
        <f ca="1">INDIRECT("'数据-取费表'!m"&amp;$G$1)+INDIRECT("'数据-取费表'!t"&amp;$G$1)</f>
        <v>369</v>
      </c>
      <c r="D36" s="899" t="s">
        <v>691</v>
      </c>
      <c r="E36" s="899"/>
      <c r="F36" s="215"/>
      <c r="G36" s="935"/>
      <c r="H36" s="2747" t="s">
        <v>3438</v>
      </c>
      <c r="I36" s="2752" t="s">
        <v>3425</v>
      </c>
      <c r="J36" s="2650">
        <f ca="1">ROUND(J35*(1-M36),0)</f>
        <v>594</v>
      </c>
      <c r="K36" s="186" t="s">
        <v>3428</v>
      </c>
      <c r="L36" s="2715" t="s">
        <v>3440</v>
      </c>
      <c r="M36" s="2767">
        <f ca="1">INDIRECT("'数据-取费表'!ad"&amp;$G$1)</f>
        <v>0</v>
      </c>
    </row>
    <row r="37" spans="1:37" ht="18" customHeight="1" thickBot="1">
      <c r="A37" s="2700" t="s">
        <v>3399</v>
      </c>
      <c r="B37" s="2717" t="s">
        <v>3852</v>
      </c>
      <c r="C37" s="2702">
        <f ca="1">ROUND(C36*F37,0)</f>
        <v>30</v>
      </c>
      <c r="D37" s="186" t="s">
        <v>694</v>
      </c>
      <c r="E37" s="186" t="s">
        <v>695</v>
      </c>
      <c r="F37" s="2765">
        <f>'数据-取费表'!B33</f>
        <v>0.08</v>
      </c>
      <c r="G37" s="935"/>
      <c r="H37" s="2748" t="s">
        <v>3439</v>
      </c>
      <c r="I37" s="3927" t="s">
        <v>3809</v>
      </c>
      <c r="J37" s="2754">
        <f ca="1">J35-J36</f>
        <v>0</v>
      </c>
      <c r="K37" s="2734" t="s">
        <v>3462</v>
      </c>
      <c r="L37" s="219"/>
      <c r="M37" s="2755"/>
    </row>
    <row r="38" spans="1:37" ht="18" customHeight="1">
      <c r="A38" s="2700" t="s">
        <v>3400</v>
      </c>
      <c r="B38" s="2665" t="s">
        <v>696</v>
      </c>
      <c r="C38" s="2702">
        <f ca="1">ROUND(INDIRECT("'数据-取费表'!m"&amp;$G$1)*F38,0)</f>
        <v>0</v>
      </c>
      <c r="D38" s="186" t="s">
        <v>694</v>
      </c>
      <c r="E38" s="186" t="s">
        <v>695</v>
      </c>
      <c r="F38" s="2765">
        <f ca="1">IF(INDIRECT("'数据-取费表'!c"&amp;$G$1)="住宅",'数据-取费表'!B34,0)</f>
        <v>0</v>
      </c>
      <c r="G38" s="935"/>
    </row>
    <row r="39" spans="1:37" ht="18" customHeight="1">
      <c r="A39" s="2700" t="s">
        <v>3401</v>
      </c>
      <c r="B39" s="2665" t="s">
        <v>699</v>
      </c>
      <c r="C39" s="2702">
        <f ca="1">ROUND(F39*(F32+INDIRECT("'数据-取费表'!S"&amp;$G$1))/10000,0)</f>
        <v>56</v>
      </c>
      <c r="D39" s="186" t="s">
        <v>700</v>
      </c>
      <c r="E39" s="186" t="s">
        <v>3802</v>
      </c>
      <c r="F39" s="2766">
        <f>'数据-取费表'!B35</f>
        <v>350</v>
      </c>
      <c r="G39" s="935"/>
    </row>
    <row r="40" spans="1:37" ht="18" customHeight="1">
      <c r="A40" s="2700" t="s">
        <v>3402</v>
      </c>
      <c r="B40" s="2717" t="s">
        <v>3403</v>
      </c>
      <c r="C40" s="2702">
        <f ca="1">ROUND(C36*F40,0)</f>
        <v>11</v>
      </c>
      <c r="D40" s="186" t="s">
        <v>694</v>
      </c>
      <c r="E40" s="186" t="s">
        <v>695</v>
      </c>
      <c r="F40" s="2765">
        <f>'数据-取费表'!B36</f>
        <v>0.03</v>
      </c>
      <c r="G40" s="935"/>
      <c r="H40" s="47"/>
      <c r="I40" s="47"/>
      <c r="J40" s="47"/>
      <c r="K40" s="1861"/>
      <c r="L40" s="47"/>
      <c r="M40" s="47"/>
    </row>
    <row r="41" spans="1:37" ht="18" customHeight="1">
      <c r="A41" s="2700" t="s">
        <v>3402</v>
      </c>
      <c r="B41" s="2717" t="s">
        <v>3404</v>
      </c>
      <c r="C41" s="2702">
        <f ca="1">ROUND(C36*F41,0)</f>
        <v>11</v>
      </c>
      <c r="D41" s="186" t="s">
        <v>694</v>
      </c>
      <c r="E41" s="186" t="s">
        <v>695</v>
      </c>
      <c r="F41" s="2765">
        <f>'数据-取费表'!B37</f>
        <v>0.03</v>
      </c>
      <c r="G41" s="935"/>
      <c r="H41" s="47"/>
      <c r="I41" s="47"/>
      <c r="J41" s="47"/>
      <c r="K41" s="1861"/>
      <c r="L41" s="47"/>
      <c r="M41" s="47"/>
    </row>
    <row r="42" spans="1:37" ht="18" customHeight="1">
      <c r="A42" s="199" t="s">
        <v>3412</v>
      </c>
      <c r="B42" s="2725" t="s">
        <v>3413</v>
      </c>
      <c r="C42" s="2743">
        <f ca="1">ROUND(C35*F42,0)</f>
        <v>5</v>
      </c>
      <c r="D42" s="2726" t="s">
        <v>3414</v>
      </c>
      <c r="E42" s="2725" t="s">
        <v>3415</v>
      </c>
      <c r="F42" s="2767">
        <f>'数据-取费表'!B38</f>
        <v>0.01</v>
      </c>
      <c r="G42" s="935"/>
      <c r="H42" s="47"/>
      <c r="I42" s="47"/>
      <c r="J42" s="47"/>
      <c r="K42" s="1861"/>
      <c r="L42" s="47"/>
      <c r="M42" s="47"/>
    </row>
    <row r="43" spans="1:37" ht="18" customHeight="1">
      <c r="A43" s="199" t="s">
        <v>3416</v>
      </c>
      <c r="B43" s="2725" t="s">
        <v>3417</v>
      </c>
      <c r="C43" s="2790" t="str">
        <f>F43&amp;"V建"</f>
        <v>0.03V建</v>
      </c>
      <c r="D43" s="2726" t="s">
        <v>3803</v>
      </c>
      <c r="E43" s="2725" t="s">
        <v>3804</v>
      </c>
      <c r="F43" s="2767">
        <f>'数据-取费表'!B39</f>
        <v>0.03</v>
      </c>
      <c r="G43" s="935"/>
      <c r="H43" s="47"/>
      <c r="I43" s="47"/>
      <c r="J43" s="47"/>
      <c r="K43" s="1861"/>
      <c r="L43" s="47"/>
      <c r="M43" s="47"/>
    </row>
    <row r="44" spans="1:37" ht="18" customHeight="1">
      <c r="A44" s="199" t="s">
        <v>3420</v>
      </c>
      <c r="B44" s="2728" t="s">
        <v>3406</v>
      </c>
      <c r="C44" s="3416" t="str">
        <f ca="1">C45&amp;"+"&amp;C46&amp;"V建"</f>
        <v>19+0.0012V建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723</v>
      </c>
      <c r="C45" s="2702">
        <f ca="1">IF('数据-取费表'!B22&lt;=1,ROUND(C35*F46*F45/2,0)+ROUND(C42*F46*F45/2,0),ROUND(C35*(POWER((1+F46),F45/2)-1),0)+ROUND(C42*(POWER((1+F46),F45/2)-1),0))</f>
        <v>19</v>
      </c>
      <c r="D45" s="55" t="str">
        <f>IF(F45&lt;=1,"(建造成本+管理费用)×利率×(建设周期÷2)","(建造成本+管理费用)×((1+利率)^(建设周期÷2)-1)")</f>
        <v>(建造成本+管理费用)×((1+利率)^(建设周期÷2)-1)</v>
      </c>
      <c r="E45" s="186" t="s">
        <v>724</v>
      </c>
      <c r="F45" s="2766">
        <f>'数据-取费表'!B20</f>
        <v>2.5</v>
      </c>
      <c r="G45" s="935"/>
      <c r="H45" s="47"/>
      <c r="I45" s="47"/>
      <c r="J45" s="47"/>
      <c r="K45" s="1861"/>
      <c r="L45" s="47"/>
      <c r="M45" s="47"/>
    </row>
    <row r="46" spans="1:37" ht="18" customHeight="1">
      <c r="A46" s="2700" t="s">
        <v>728</v>
      </c>
      <c r="B46" s="186" t="s">
        <v>729</v>
      </c>
      <c r="C46" s="3414">
        <f ca="1">ROUND(IF('数据-取费表'!B22&lt;=1,F43*F46*F45/2,F43*(POWER((1+F46),F45/2)-1)),4)</f>
        <v>1.1999999999999999E-3</v>
      </c>
      <c r="D46" s="55" t="str">
        <f>IF(F45&lt;=1,"销售费用×利率×(建设周期÷2)","销售费用×((1+利率)^(建设周期÷2)-1)")</f>
        <v>销售费用×((1+利率)^(建设周期÷2)-1)</v>
      </c>
      <c r="E46" s="186" t="s">
        <v>730</v>
      </c>
      <c r="F46" s="2764">
        <f ca="1">'数据-取费表'!B41</f>
        <v>3.1899999999999998E-2</v>
      </c>
      <c r="G46" s="935"/>
      <c r="H46" s="47"/>
      <c r="I46" s="47"/>
      <c r="J46" s="47"/>
      <c r="K46" s="1861"/>
      <c r="L46" s="47"/>
      <c r="M46" s="47"/>
    </row>
    <row r="47" spans="1:37" ht="18" customHeight="1">
      <c r="A47" s="199" t="s">
        <v>3421</v>
      </c>
      <c r="B47" s="2728" t="s">
        <v>3407</v>
      </c>
      <c r="C47" s="3416" t="str">
        <f ca="1">C48&amp;"+"&amp;C49&amp;"V建"</f>
        <v>72+0.0045V建</v>
      </c>
      <c r="D47" s="2684" t="s">
        <v>3422</v>
      </c>
      <c r="E47" s="200"/>
      <c r="F47" s="2766"/>
      <c r="G47" s="935"/>
      <c r="H47" s="47"/>
      <c r="I47" s="47"/>
      <c r="J47" s="47"/>
      <c r="K47" s="1861"/>
      <c r="L47" s="47"/>
      <c r="M47" s="47"/>
    </row>
    <row r="48" spans="1:37" ht="18" customHeight="1">
      <c r="A48" s="2700" t="s">
        <v>391</v>
      </c>
      <c r="B48" s="186" t="s">
        <v>737</v>
      </c>
      <c r="C48" s="2702">
        <f ca="1">ROUND((C35+C42)*F48,0)</f>
        <v>72</v>
      </c>
      <c r="D48" s="206" t="s">
        <v>738</v>
      </c>
      <c r="E48" s="186" t="s">
        <v>739</v>
      </c>
      <c r="F48" s="2767">
        <f ca="1">INDIRECT("'数据-取费表'!q"&amp;$G$1)</f>
        <v>0.15</v>
      </c>
      <c r="G48" s="935"/>
      <c r="H48" s="47"/>
      <c r="I48" s="47"/>
      <c r="J48" s="47"/>
      <c r="K48" s="1861"/>
      <c r="L48" s="47"/>
      <c r="M48" s="47"/>
    </row>
    <row r="49" spans="1:18" ht="18" customHeight="1">
      <c r="A49" s="2700" t="s">
        <v>393</v>
      </c>
      <c r="B49" s="186" t="s">
        <v>743</v>
      </c>
      <c r="C49" s="3417">
        <f ca="1">ROUND(F43*F48,4)</f>
        <v>4.4999999999999997E-3</v>
      </c>
      <c r="D49" s="206" t="s">
        <v>744</v>
      </c>
      <c r="E49" s="186"/>
      <c r="F49" s="2765"/>
      <c r="G49" s="935"/>
      <c r="H49" s="47"/>
      <c r="I49" s="47"/>
      <c r="J49" s="47"/>
      <c r="K49" s="1861"/>
      <c r="L49" s="47"/>
      <c r="M49" s="47"/>
    </row>
    <row r="50" spans="1:18" ht="18" customHeight="1">
      <c r="A50" s="199" t="s">
        <v>3408</v>
      </c>
      <c r="B50" s="2725" t="s">
        <v>3409</v>
      </c>
      <c r="C50" s="2743">
        <f>ROUND(F50/(1+'数据-取费表'!C43),4)</f>
        <v>0</v>
      </c>
      <c r="D50" s="3981" t="s">
        <v>3858</v>
      </c>
      <c r="E50" s="2725"/>
      <c r="F50" s="2767"/>
      <c r="G50" s="935"/>
      <c r="H50" s="47"/>
      <c r="I50" s="47"/>
      <c r="J50" s="47"/>
      <c r="K50" s="1861"/>
      <c r="L50" s="47"/>
      <c r="M50" s="47"/>
    </row>
    <row r="51" spans="1:18" s="935" customFormat="1" ht="18" customHeight="1">
      <c r="A51" s="199" t="s">
        <v>3410</v>
      </c>
      <c r="B51" s="2725" t="s">
        <v>3411</v>
      </c>
      <c r="C51" s="2743">
        <f ca="1">ROUND((C35+C42+C45+C48)/(1-F43-C46-C49-C50),0)</f>
        <v>594</v>
      </c>
      <c r="D51" s="2739" t="s">
        <v>3433</v>
      </c>
      <c r="E51" s="2725"/>
      <c r="F51" s="2767"/>
      <c r="K51" s="951"/>
    </row>
    <row r="52" spans="1:18" s="935" customFormat="1" ht="18" customHeight="1">
      <c r="A52" s="2729" t="s">
        <v>3424</v>
      </c>
      <c r="B52" s="2728" t="s">
        <v>3425</v>
      </c>
      <c r="C52" s="2743">
        <f ca="1">ROUND(C51*(1-F52),0)</f>
        <v>0</v>
      </c>
      <c r="D52" s="2725" t="s">
        <v>3870</v>
      </c>
      <c r="E52" s="2725" t="s">
        <v>3871</v>
      </c>
      <c r="F52" s="2767">
        <f ca="1">INDIRECT("'数据-取费表'!y"&amp;$G$1)</f>
        <v>1</v>
      </c>
      <c r="K52" s="951"/>
    </row>
    <row r="53" spans="1:18" s="935" customFormat="1" ht="18" customHeight="1" thickBot="1">
      <c r="A53" s="2730" t="s">
        <v>3426</v>
      </c>
      <c r="B53" s="2738" t="s">
        <v>3431</v>
      </c>
      <c r="C53" s="2754">
        <f ca="1">C51-C52</f>
        <v>594</v>
      </c>
      <c r="D53" s="2734" t="s">
        <v>3462</v>
      </c>
      <c r="E53" s="217"/>
      <c r="F53" s="2735"/>
      <c r="K53" s="951"/>
    </row>
    <row r="54" spans="1:18" s="935" customFormat="1" ht="18" customHeight="1" thickBot="1">
      <c r="A54" s="949"/>
      <c r="B54" s="949"/>
      <c r="C54" s="950"/>
      <c r="D54" s="949"/>
      <c r="E54" s="949"/>
      <c r="F54" s="949"/>
      <c r="I54" s="2756" t="s">
        <v>3441</v>
      </c>
      <c r="J54" s="494"/>
      <c r="O54" s="1965" t="s">
        <v>791</v>
      </c>
      <c r="P54" s="1008"/>
      <c r="Q54" s="1008"/>
      <c r="R54" s="1008"/>
    </row>
    <row r="55" spans="1:18" s="935" customFormat="1" ht="13.5" thickBot="1">
      <c r="A55" s="953" t="s">
        <v>792</v>
      </c>
      <c r="C55" s="3878">
        <f ca="1">IF(D2="含税",C83-C31,C80-C28)</f>
        <v>-1194</v>
      </c>
      <c r="D55" s="955" t="str">
        <f>C2</f>
        <v>万元</v>
      </c>
      <c r="E55" s="949"/>
      <c r="F55" s="949"/>
      <c r="I55" s="956" t="s">
        <v>793</v>
      </c>
      <c r="J55" s="957"/>
      <c r="K55" s="958"/>
      <c r="L55" s="3897" t="str">
        <f ca="1">IF(M56="住宅",0,IF(L57&gt;J60,L69,J69))</f>
        <v>0</v>
      </c>
      <c r="O55" s="4035" t="s">
        <v>1323</v>
      </c>
      <c r="P55" s="4036" t="s">
        <v>3895</v>
      </c>
      <c r="Q55" s="4037" t="s">
        <v>3896</v>
      </c>
      <c r="R55" s="4037" t="s">
        <v>3897</v>
      </c>
    </row>
    <row r="56" spans="1:18" s="935" customFormat="1" ht="13.5" thickBot="1">
      <c r="A56" s="4022" t="s">
        <v>3866</v>
      </c>
      <c r="B56" s="4023" t="s">
        <v>3867</v>
      </c>
      <c r="C56" s="3996" t="s">
        <v>3805</v>
      </c>
      <c r="D56" s="4023" t="s">
        <v>3868</v>
      </c>
      <c r="E56" s="4024" t="s">
        <v>3869</v>
      </c>
      <c r="F56" s="701"/>
      <c r="G56" s="490"/>
      <c r="I56" s="963" t="s">
        <v>798</v>
      </c>
      <c r="J56" s="964" t="s">
        <v>4087</v>
      </c>
      <c r="K56" s="965" t="s">
        <v>799</v>
      </c>
      <c r="L56" s="3898">
        <f ca="1">INDIRECT("'数据-取费表'!d"&amp;$G$1)</f>
        <v>40</v>
      </c>
      <c r="M56" s="931" t="str">
        <f>IF(ISNUMBER(FIND("住宅",C1)),"住宅","非住宅")</f>
        <v>非住宅</v>
      </c>
      <c r="O56" s="4038" t="s">
        <v>397</v>
      </c>
      <c r="P56" s="4039" t="s">
        <v>3898</v>
      </c>
      <c r="Q56" s="4041">
        <f ca="1">C28+J31</f>
        <v>1164</v>
      </c>
      <c r="R56" s="4040" t="s">
        <v>3899</v>
      </c>
    </row>
    <row r="57" spans="1:18" s="935" customFormat="1" ht="42.75" thickBot="1">
      <c r="A57" s="653" t="s">
        <v>432</v>
      </c>
      <c r="B57" s="184" t="s">
        <v>3891</v>
      </c>
      <c r="C57" s="4025">
        <f ca="1">ROUND(C58+C62+C64,0)</f>
        <v>0</v>
      </c>
      <c r="D57" s="4002" t="s">
        <v>3892</v>
      </c>
      <c r="E57" s="4026"/>
      <c r="F57" s="638"/>
      <c r="G57" s="490"/>
      <c r="H57" s="491"/>
      <c r="I57" s="970" t="s">
        <v>802</v>
      </c>
      <c r="J57" s="971" t="s">
        <v>4088</v>
      </c>
      <c r="K57" s="972" t="s">
        <v>803</v>
      </c>
      <c r="L57" s="3887">
        <f ca="1">INDIRECT("'数据-取费表'!f"&amp;$G$1)</f>
        <v>34.14</v>
      </c>
      <c r="O57" s="4038" t="s">
        <v>398</v>
      </c>
      <c r="P57" s="4039" t="s">
        <v>3900</v>
      </c>
      <c r="Q57" s="4041" t="str">
        <f ca="1">J69</f>
        <v>0</v>
      </c>
      <c r="R57" s="4040" t="s">
        <v>3901</v>
      </c>
    </row>
    <row r="58" spans="1:18" s="935" customFormat="1" ht="15.75" thickBot="1">
      <c r="A58" s="3864" t="s">
        <v>3792</v>
      </c>
      <c r="B58" s="2714" t="s">
        <v>3783</v>
      </c>
      <c r="C58" s="3856">
        <f ca="1">C59-C61</f>
        <v>0</v>
      </c>
      <c r="D58" s="2715" t="s">
        <v>3787</v>
      </c>
      <c r="E58" s="2737" t="s">
        <v>3430</v>
      </c>
      <c r="F58" s="3418"/>
      <c r="H58" s="491"/>
      <c r="I58" s="970" t="s">
        <v>806</v>
      </c>
      <c r="J58" s="3885"/>
      <c r="K58" s="972" t="s">
        <v>807</v>
      </c>
      <c r="L58" s="3899"/>
      <c r="O58" s="976" t="s">
        <v>399</v>
      </c>
      <c r="P58" s="968" t="s">
        <v>808</v>
      </c>
      <c r="Q58" s="3433">
        <f ca="1">C51</f>
        <v>594</v>
      </c>
      <c r="R58" s="969" t="s">
        <v>801</v>
      </c>
    </row>
    <row r="59" spans="1:18" s="935" customFormat="1" ht="13.5" thickBot="1">
      <c r="A59" s="3871" t="s">
        <v>3393</v>
      </c>
      <c r="B59" s="4653" t="s">
        <v>3781</v>
      </c>
      <c r="C59" s="4654">
        <f ca="1">ROUND(F58*F60*F59/10000,2)</f>
        <v>0</v>
      </c>
      <c r="D59" s="4495" t="s">
        <v>3461</v>
      </c>
      <c r="E59" s="698" t="s">
        <v>680</v>
      </c>
      <c r="F59" s="2760">
        <f ca="1">F7</f>
        <v>1606</v>
      </c>
      <c r="H59" s="491"/>
      <c r="I59" s="970" t="s">
        <v>809</v>
      </c>
      <c r="J59" s="3886">
        <f>SUMPRODUCT((I72:I74=J56)*(J71:L71=J57)*(J72:L74))</f>
        <v>60</v>
      </c>
      <c r="K59" s="972" t="s">
        <v>810</v>
      </c>
      <c r="L59" s="3899"/>
      <c r="M59" s="978"/>
      <c r="O59" s="976" t="s">
        <v>400</v>
      </c>
      <c r="P59" s="968" t="s">
        <v>811</v>
      </c>
      <c r="Q59" s="3430" t="e">
        <f ca="1">J67</f>
        <v>#VALUE!</v>
      </c>
      <c r="R59" s="969"/>
    </row>
    <row r="60" spans="1:18" s="935" customFormat="1" ht="13.5" thickBot="1">
      <c r="A60" s="3872"/>
      <c r="B60" s="4653"/>
      <c r="C60" s="4655"/>
      <c r="D60" s="4495"/>
      <c r="E60" s="657" t="str">
        <f ca="1">IF(F60=1,"年",IF(F60=12,"月","天"))</f>
        <v>天</v>
      </c>
      <c r="F60" s="3413">
        <f ca="1">F8</f>
        <v>365</v>
      </c>
      <c r="I60" s="980" t="s">
        <v>812</v>
      </c>
      <c r="J60" s="3887">
        <f>IF(J58="",J59,J58+J59-YEAR('数据-取费表'!B2))</f>
        <v>60</v>
      </c>
      <c r="K60" s="981" t="s">
        <v>813</v>
      </c>
      <c r="L60" s="3876">
        <f ca="1">ROUND(-PV(INDIRECT("'数据-取费表'!h"&amp;$G$1),J60,(C27-C52*C88),0),0)</f>
        <v>1249</v>
      </c>
      <c r="M60" s="983"/>
      <c r="O60" s="976" t="s">
        <v>401</v>
      </c>
      <c r="P60" s="968" t="s">
        <v>814</v>
      </c>
      <c r="Q60" s="3430">
        <f>J61</f>
        <v>7.4999999999999997E-2</v>
      </c>
      <c r="R60" s="969"/>
    </row>
    <row r="61" spans="1:18" s="935" customFormat="1" ht="13.5" thickBot="1">
      <c r="A61" s="3873" t="s">
        <v>3391</v>
      </c>
      <c r="B61" s="3572" t="s">
        <v>3782</v>
      </c>
      <c r="C61" s="3857">
        <f ca="1">ROUND(C59*F61,2)</f>
        <v>0</v>
      </c>
      <c r="D61" s="2715" t="s">
        <v>3786</v>
      </c>
      <c r="E61" s="657" t="s">
        <v>682</v>
      </c>
      <c r="F61" s="2762"/>
      <c r="I61" s="984" t="s">
        <v>815</v>
      </c>
      <c r="J61" s="3888">
        <v>7.4999999999999997E-2</v>
      </c>
      <c r="K61" s="984" t="s">
        <v>816</v>
      </c>
      <c r="L61" s="3888"/>
      <c r="O61" s="976" t="s">
        <v>402</v>
      </c>
      <c r="P61" s="968" t="s">
        <v>817</v>
      </c>
      <c r="Q61" s="3429">
        <f ca="1">J62</f>
        <v>31.64</v>
      </c>
      <c r="R61" s="969" t="s">
        <v>818</v>
      </c>
    </row>
    <row r="62" spans="1:18" s="935" customFormat="1" ht="25.5" thickBot="1">
      <c r="A62" s="3874" t="s">
        <v>3438</v>
      </c>
      <c r="B62" s="924" t="s">
        <v>683</v>
      </c>
      <c r="C62" s="4087">
        <f ca="1">ROUND(IF(F62="押一",C58/12*F11,IF(F62="押二",C58/12*2*F11,IF(F62="押三",C58/12*3*F11,C63*F11))),2)</f>
        <v>0</v>
      </c>
      <c r="D62" s="59" t="s">
        <v>2018</v>
      </c>
      <c r="E62" s="197" t="s">
        <v>684</v>
      </c>
      <c r="F62" s="3419"/>
      <c r="I62" s="986" t="s">
        <v>819</v>
      </c>
      <c r="J62" s="3889">
        <f ca="1">IF(M56="住宅",IF(D1="——",MAX(J60,L57),MAX(J60,L57-'数据-取费表'!B24)),IF(D1="——",MIN(J60,L57),MIN(J60,L57-'数据-取费表'!B24)))</f>
        <v>31.64</v>
      </c>
      <c r="K62" s="4499" t="s">
        <v>820</v>
      </c>
      <c r="L62" s="4500"/>
      <c r="O62" s="4038" t="s">
        <v>403</v>
      </c>
      <c r="P62" s="4042" t="s">
        <v>3905</v>
      </c>
      <c r="Q62" s="4041">
        <f ca="1">ROUND((Q56+Q57)*(1+F31),0)</f>
        <v>1269</v>
      </c>
      <c r="R62" s="4040" t="s">
        <v>3906</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0"/>
      <c r="K63" s="989"/>
      <c r="L63" s="989"/>
      <c r="O63" s="952" t="s">
        <v>822</v>
      </c>
      <c r="P63" s="932"/>
      <c r="Q63" s="932"/>
      <c r="R63" s="932"/>
    </row>
    <row r="64" spans="1:18" s="935" customFormat="1" ht="13.5" thickBot="1">
      <c r="A64" s="3866" t="s">
        <v>3793</v>
      </c>
      <c r="B64" s="920" t="s">
        <v>686</v>
      </c>
      <c r="C64" s="3854"/>
      <c r="D64" s="59"/>
      <c r="E64" s="925"/>
      <c r="F64" s="987"/>
      <c r="I64" s="990" t="s">
        <v>823</v>
      </c>
      <c r="J64" s="3891" t="e">
        <f ca="1">ROUND(IF(J56="钢混",J66/J59,1-(1-2%)*(J59-J66)/J59),3)</f>
        <v>#VALUE!</v>
      </c>
      <c r="K64" s="992" t="s">
        <v>824</v>
      </c>
      <c r="L64" s="993"/>
      <c r="O64" s="4035" t="s">
        <v>1323</v>
      </c>
      <c r="P64" s="4036" t="s">
        <v>3895</v>
      </c>
      <c r="Q64" s="4037" t="s">
        <v>3896</v>
      </c>
      <c r="R64" s="4037" t="s">
        <v>3897</v>
      </c>
    </row>
    <row r="65" spans="1:18" s="935" customFormat="1" ht="25.5" thickTop="1" thickBot="1">
      <c r="A65" s="199" t="s">
        <v>3666</v>
      </c>
      <c r="B65" s="634" t="s">
        <v>3873</v>
      </c>
      <c r="C65" s="2743">
        <f ca="1">ROUND(C66+C74+C76+C78,0)</f>
        <v>2</v>
      </c>
      <c r="D65" s="634" t="s">
        <v>3893</v>
      </c>
      <c r="E65" s="637"/>
      <c r="F65" s="638"/>
      <c r="I65" s="996" t="s">
        <v>825</v>
      </c>
      <c r="J65" s="3892" t="s">
        <v>4068</v>
      </c>
      <c r="K65" s="970" t="s">
        <v>826</v>
      </c>
      <c r="L65" s="3887" t="str">
        <f ca="1">IF(L57&lt;J60,"——",L57-J62)</f>
        <v>——</v>
      </c>
      <c r="O65" s="4038" t="s">
        <v>397</v>
      </c>
      <c r="P65" s="4039" t="s">
        <v>3898</v>
      </c>
      <c r="Q65" s="4041">
        <f ca="1">C28+J31</f>
        <v>1164</v>
      </c>
      <c r="R65" s="4040" t="s">
        <v>3899</v>
      </c>
    </row>
    <row r="66" spans="1:18" s="935" customFormat="1" ht="24.75" thickBot="1">
      <c r="A66" s="519" t="s">
        <v>392</v>
      </c>
      <c r="B66" s="2695" t="s">
        <v>3957</v>
      </c>
      <c r="C66" s="4087">
        <f ca="1">ROUND(IF(AND(项目基本情况!B11="自然人",项目基本情况!B10="北京市",M56="住宅"),C58*F66,C67+C71+C72),2)</f>
        <v>0.52</v>
      </c>
      <c r="D66" s="639" t="s">
        <v>3435</v>
      </c>
      <c r="E66" s="639" t="str">
        <f>E14</f>
        <v/>
      </c>
      <c r="F66" s="3837" t="str">
        <f>IF(M56="非住宅","",IF(F58*F59*F60/12/(1+'数据-取费表'!F30)&gt;100000,4%,2.5%))</f>
        <v/>
      </c>
      <c r="I66" s="1002" t="s">
        <v>827</v>
      </c>
      <c r="J66" s="3893" t="str">
        <f ca="1">IF(OR(M56="住宅",J60&lt;L57,J65="是"),"——",J60-L57)</f>
        <v>——</v>
      </c>
      <c r="K66" s="970" t="s">
        <v>828</v>
      </c>
      <c r="L66" s="3900" t="str">
        <f ca="1">IF(L57&lt;J60,"——",IF(L64="比较法",L58,IF(L64="基准地价",L59,L60)))</f>
        <v>——</v>
      </c>
      <c r="O66" s="4038" t="s">
        <v>398</v>
      </c>
      <c r="P66" s="4039" t="s">
        <v>3902</v>
      </c>
      <c r="Q66" s="4043">
        <f ca="1">L69</f>
        <v>0</v>
      </c>
      <c r="R66" s="4040" t="s">
        <v>3903</v>
      </c>
    </row>
    <row r="67" spans="1:18" s="935" customFormat="1" ht="24.75" thickBot="1">
      <c r="A67" s="4091" t="s">
        <v>391</v>
      </c>
      <c r="B67" s="2713" t="s">
        <v>3953</v>
      </c>
      <c r="C67" s="4087">
        <f ca="1">C70</f>
        <v>-0.02</v>
      </c>
      <c r="D67" s="2430" t="s">
        <v>3952</v>
      </c>
      <c r="E67" s="4090"/>
      <c r="F67" s="4122"/>
      <c r="I67" s="1002" t="s">
        <v>830</v>
      </c>
      <c r="J67" s="3894" t="e">
        <f ca="1">IF(J64&lt;0.4,0.4,J64)</f>
        <v>#VALUE!</v>
      </c>
      <c r="K67" s="981" t="s">
        <v>831</v>
      </c>
      <c r="L67" s="3900" t="e">
        <f ca="1">ROUND(POWER(1+L61,L56-L57)*(POWER(1+L61,L57)-1)/(POWER(1+L61,L56)-1),4)</f>
        <v>#DIV/0!</v>
      </c>
      <c r="O67" s="976" t="s">
        <v>399</v>
      </c>
      <c r="P67" s="968" t="s">
        <v>832</v>
      </c>
      <c r="Q67" s="3429">
        <f>IF(L64="比较法",L58,IF(L64="基准地价",L59,0))</f>
        <v>0</v>
      </c>
      <c r="R67" s="969" t="s">
        <v>801</v>
      </c>
    </row>
    <row r="68" spans="1:18" s="935" customFormat="1" ht="24.75" thickBot="1">
      <c r="A68" s="2505" t="s">
        <v>3278</v>
      </c>
      <c r="B68" s="2717" t="s">
        <v>3394</v>
      </c>
      <c r="C68" s="4087">
        <f ca="1">ROUND(C58*F68,2)</f>
        <v>0</v>
      </c>
      <c r="D68" s="994" t="s">
        <v>3856</v>
      </c>
      <c r="E68" s="2721" t="s">
        <v>3396</v>
      </c>
      <c r="F68" s="2765">
        <f>F16</f>
        <v>0.09</v>
      </c>
      <c r="I68" s="1002" t="s">
        <v>833</v>
      </c>
      <c r="J68" s="3895"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30">
        <f>L61</f>
        <v>0</v>
      </c>
      <c r="R68" s="969"/>
    </row>
    <row r="69" spans="1:18" s="935" customFormat="1" ht="16.5" thickBot="1">
      <c r="A69" s="2505" t="s">
        <v>3279</v>
      </c>
      <c r="B69" s="2717" t="s">
        <v>3395</v>
      </c>
      <c r="C69" s="4087">
        <f ca="1">ROUND(C74*F68+((C76+C78)*F69),2)</f>
        <v>0.14000000000000001</v>
      </c>
      <c r="D69" s="3978" t="s">
        <v>3857</v>
      </c>
      <c r="E69" s="2722"/>
      <c r="F69" s="2765">
        <f t="shared" ref="F69" si="0">F17</f>
        <v>0.06</v>
      </c>
      <c r="I69" s="1005" t="s">
        <v>835</v>
      </c>
      <c r="J69" s="3896" t="str">
        <f ca="1">IF(OR(M56="住宅",J60&lt;L57,J65="是"),"0",ROUND(J68/(1+J61)^J62,0))</f>
        <v>0</v>
      </c>
      <c r="K69" s="1007" t="s">
        <v>836</v>
      </c>
      <c r="L69" s="3896">
        <f ca="1">IF(OR(M56="住宅",L57&lt;J60),0,ROUND(L66*(L67/L68-1),0))</f>
        <v>0</v>
      </c>
      <c r="O69" s="976" t="s">
        <v>401</v>
      </c>
      <c r="P69" s="968" t="s">
        <v>837</v>
      </c>
      <c r="Q69" s="3432" t="e">
        <f ca="1">L67</f>
        <v>#DIV/0!</v>
      </c>
      <c r="R69" s="969" t="s">
        <v>838</v>
      </c>
    </row>
    <row r="70" spans="1:18" s="935" customFormat="1" ht="13.5" thickBot="1">
      <c r="A70" s="2505" t="s">
        <v>3950</v>
      </c>
      <c r="B70" s="2717" t="s">
        <v>3949</v>
      </c>
      <c r="C70" s="4087">
        <f ca="1">ROUND((C68-C69)*F70,2)</f>
        <v>-0.02</v>
      </c>
      <c r="D70" s="2740" t="s">
        <v>3972</v>
      </c>
      <c r="E70" s="186" t="s">
        <v>3973</v>
      </c>
      <c r="F70" s="2765">
        <f>F18</f>
        <v>0.12000000000000001</v>
      </c>
      <c r="I70" s="1008"/>
      <c r="J70" s="1008"/>
      <c r="K70" s="1008"/>
      <c r="L70" s="1008"/>
      <c r="O70" s="976" t="s">
        <v>402</v>
      </c>
      <c r="P70" s="968" t="str">
        <f>K68</f>
        <v>建设期及建筑物耐用年限下的土地年期修正系数Kn</v>
      </c>
      <c r="Q70" s="3432" t="e">
        <f ca="1">L68</f>
        <v>#DIV/0!</v>
      </c>
      <c r="R70" s="969" t="s">
        <v>839</v>
      </c>
    </row>
    <row r="71" spans="1:18" s="935" customFormat="1" ht="25.5" thickBot="1">
      <c r="A71" s="3867" t="s">
        <v>764</v>
      </c>
      <c r="B71" s="2695" t="s">
        <v>3960</v>
      </c>
      <c r="C71" s="4087">
        <f ca="1">IF(项目基本情况!B11="自然人","——",IF(D71="按不含税租金收入（有效毛租金收入）计税",ROUND(C58*F71/(1+'数据-取费表'!C43),2),IF(D71="按房产原值计税",ROUND(F74*F71*0.7,2),INDIRECT("'数据-取费表'!Aj"&amp;$G$1))))</f>
        <v>0</v>
      </c>
      <c r="D71" s="921"/>
      <c r="E71" s="626" t="s">
        <v>766</v>
      </c>
      <c r="F71" s="2765">
        <f t="shared" ref="F71:F73" si="1">F19</f>
        <v>0.12</v>
      </c>
      <c r="I71" s="1009" t="s">
        <v>840</v>
      </c>
      <c r="J71" s="1010" t="s">
        <v>841</v>
      </c>
      <c r="K71" s="1010" t="s">
        <v>842</v>
      </c>
      <c r="L71" s="1010" t="s">
        <v>843</v>
      </c>
      <c r="M71" s="1011" t="s">
        <v>844</v>
      </c>
      <c r="O71" s="4038" t="s">
        <v>403</v>
      </c>
      <c r="P71" s="4042" t="s">
        <v>3905</v>
      </c>
      <c r="Q71" s="4043">
        <f ca="1">ROUND((Q65+Q66)*(1+F31),0)</f>
        <v>1269</v>
      </c>
      <c r="R71" s="4040" t="s">
        <v>3906</v>
      </c>
    </row>
    <row r="72" spans="1:18" s="935" customFormat="1" ht="13.5" thickBot="1">
      <c r="A72" s="4091" t="s">
        <v>767</v>
      </c>
      <c r="B72" s="4083" t="s">
        <v>3955</v>
      </c>
      <c r="C72" s="4088">
        <f ca="1">IF(项目基本情况!B11="自然人","——",ROUND(F72*F73/10000,2))</f>
        <v>0.54</v>
      </c>
      <c r="D72" s="641" t="s">
        <v>769</v>
      </c>
      <c r="E72" s="626" t="s">
        <v>770</v>
      </c>
      <c r="F72" s="3420">
        <f t="shared" si="1"/>
        <v>24</v>
      </c>
      <c r="I72" s="1009" t="s">
        <v>846</v>
      </c>
      <c r="J72" s="223">
        <v>70</v>
      </c>
      <c r="K72" s="223">
        <v>50</v>
      </c>
      <c r="L72" s="223">
        <v>80</v>
      </c>
      <c r="M72" s="1012">
        <v>0.02</v>
      </c>
      <c r="O72" s="952" t="s">
        <v>847</v>
      </c>
      <c r="P72" s="932"/>
      <c r="Q72" s="932"/>
      <c r="R72" s="932"/>
    </row>
    <row r="73" spans="1:18" s="935" customFormat="1" ht="13.5" thickBot="1">
      <c r="A73" s="209"/>
      <c r="B73" s="3858"/>
      <c r="C73" s="4089"/>
      <c r="D73" s="642"/>
      <c r="E73" s="626" t="s">
        <v>771</v>
      </c>
      <c r="F73" s="3028">
        <f t="shared" ca="1" si="1"/>
        <v>225.24</v>
      </c>
      <c r="I73" s="1009" t="s">
        <v>848</v>
      </c>
      <c r="J73" s="223">
        <v>50</v>
      </c>
      <c r="K73" s="223">
        <v>35</v>
      </c>
      <c r="L73" s="223">
        <v>60</v>
      </c>
      <c r="M73" s="1011">
        <v>0</v>
      </c>
      <c r="O73" s="960" t="s">
        <v>794</v>
      </c>
      <c r="P73" s="961" t="s">
        <v>795</v>
      </c>
      <c r="Q73" s="962" t="s">
        <v>796</v>
      </c>
      <c r="R73" s="962" t="s">
        <v>797</v>
      </c>
    </row>
    <row r="74" spans="1:18" s="935" customFormat="1" ht="13.5" thickBot="1">
      <c r="A74" s="3868" t="s">
        <v>772</v>
      </c>
      <c r="B74" s="625" t="s">
        <v>773</v>
      </c>
      <c r="C74" s="3860">
        <f ca="1">ROUND(F74*F75,2)</f>
        <v>1.19</v>
      </c>
      <c r="D74" s="3862" t="s">
        <v>3429</v>
      </c>
      <c r="E74" s="3875" t="s">
        <v>3788</v>
      </c>
      <c r="F74" s="3876">
        <f ca="1">C51</f>
        <v>594</v>
      </c>
      <c r="I74" s="1009" t="s">
        <v>849</v>
      </c>
      <c r="J74" s="223">
        <v>40</v>
      </c>
      <c r="K74" s="223">
        <v>30</v>
      </c>
      <c r="L74" s="223">
        <v>50</v>
      </c>
      <c r="M74" s="1012">
        <v>0.02</v>
      </c>
      <c r="O74" s="4038" t="s">
        <v>397</v>
      </c>
      <c r="P74" s="4039" t="s">
        <v>3898</v>
      </c>
      <c r="Q74" s="4041">
        <f ca="1">C28+J31</f>
        <v>1164</v>
      </c>
      <c r="R74" s="4040" t="s">
        <v>3899</v>
      </c>
    </row>
    <row r="75" spans="1:18" s="935" customFormat="1" ht="15" thickBot="1">
      <c r="A75" s="3869"/>
      <c r="B75" s="632"/>
      <c r="C75" s="3861"/>
      <c r="D75" s="3863"/>
      <c r="E75" s="626" t="s">
        <v>766</v>
      </c>
      <c r="F75" s="2767">
        <f ca="1">F22</f>
        <v>2E-3</v>
      </c>
      <c r="O75" s="4038" t="s">
        <v>398</v>
      </c>
      <c r="P75" s="4039" t="s">
        <v>3902</v>
      </c>
      <c r="Q75" s="4043">
        <f ca="1">L69</f>
        <v>0</v>
      </c>
      <c r="R75" s="4040" t="s">
        <v>3904</v>
      </c>
    </row>
    <row r="76" spans="1:18" s="935" customFormat="1" ht="13.5" thickBot="1">
      <c r="A76" s="3868" t="s">
        <v>775</v>
      </c>
      <c r="B76" s="625" t="s">
        <v>725</v>
      </c>
      <c r="C76" s="3860">
        <f ca="1">ROUND(F76*F77,2)</f>
        <v>0.59</v>
      </c>
      <c r="D76" s="3862" t="s">
        <v>3432</v>
      </c>
      <c r="E76" s="3875" t="s">
        <v>3789</v>
      </c>
      <c r="F76" s="3877">
        <f ca="1">C53</f>
        <v>594</v>
      </c>
      <c r="O76" s="967"/>
      <c r="P76" s="968"/>
      <c r="Q76" s="3429"/>
      <c r="R76" s="969"/>
    </row>
    <row r="77" spans="1:18" s="935" customFormat="1" ht="16.5" thickBot="1">
      <c r="A77" s="3870"/>
      <c r="B77" s="632"/>
      <c r="C77" s="3861"/>
      <c r="D77" s="3863"/>
      <c r="E77" s="626" t="s">
        <v>727</v>
      </c>
      <c r="F77" s="2767">
        <f ca="1">F24</f>
        <v>1E-3</v>
      </c>
      <c r="O77" s="976" t="s">
        <v>399</v>
      </c>
      <c r="P77" s="968" t="s">
        <v>832</v>
      </c>
      <c r="Q77" s="3433">
        <f ca="1">L60</f>
        <v>1249</v>
      </c>
      <c r="R77" s="969" t="s">
        <v>852</v>
      </c>
    </row>
    <row r="78" spans="1:18" s="935" customFormat="1" ht="13.5" thickBot="1">
      <c r="A78" s="3870" t="s">
        <v>776</v>
      </c>
      <c r="B78" s="626" t="s">
        <v>711</v>
      </c>
      <c r="C78" s="4087">
        <f ca="1">ROUND(C57*F78,2)</f>
        <v>0</v>
      </c>
      <c r="D78" s="640" t="s">
        <v>3854</v>
      </c>
      <c r="E78" s="626" t="s">
        <v>695</v>
      </c>
      <c r="F78" s="2767">
        <f ca="1">F26</f>
        <v>0.01</v>
      </c>
      <c r="O78" s="976"/>
      <c r="P78" s="968"/>
      <c r="Q78" s="3433"/>
      <c r="R78" s="969"/>
    </row>
    <row r="79" spans="1:18" s="935" customFormat="1" ht="16.5" thickBot="1">
      <c r="A79" s="633" t="s">
        <v>3790</v>
      </c>
      <c r="B79" s="643" t="s">
        <v>735</v>
      </c>
      <c r="C79" s="2743">
        <f ca="1">C57-C65</f>
        <v>-2</v>
      </c>
      <c r="D79" s="643" t="s">
        <v>3894</v>
      </c>
      <c r="E79" s="4027"/>
      <c r="F79" s="4028"/>
      <c r="O79" s="976" t="s">
        <v>400</v>
      </c>
      <c r="P79" s="1014" t="s">
        <v>853</v>
      </c>
      <c r="Q79" s="3433">
        <f ca="1">ROUND(Q80-Q81*Q82,0)</f>
        <v>66</v>
      </c>
      <c r="R79" s="969" t="s">
        <v>408</v>
      </c>
    </row>
    <row r="80" spans="1:18" s="935" customFormat="1" ht="13.5" thickBot="1">
      <c r="A80" s="3201" t="s">
        <v>3791</v>
      </c>
      <c r="B80" s="624" t="s">
        <v>757</v>
      </c>
      <c r="C80" s="3912">
        <f ca="1">ROUND(C79*(1-((1+F82)/(1+F80))^F81)/(F80-F82),0)</f>
        <v>-30</v>
      </c>
      <c r="D80" s="4029" t="s">
        <v>3879</v>
      </c>
      <c r="E80" s="634" t="s">
        <v>3880</v>
      </c>
      <c r="F80" s="2767">
        <f ca="1">F28</f>
        <v>5.5E-2</v>
      </c>
      <c r="O80" s="976" t="s">
        <v>405</v>
      </c>
      <c r="P80" s="1014" t="s">
        <v>854</v>
      </c>
      <c r="Q80" s="3433">
        <f ca="1">C27</f>
        <v>66</v>
      </c>
      <c r="R80" s="969" t="s">
        <v>801</v>
      </c>
    </row>
    <row r="81" spans="1:18" s="935" customFormat="1" ht="13.5" thickBot="1">
      <c r="A81" s="3202"/>
      <c r="B81" s="628"/>
      <c r="C81" s="4093"/>
      <c r="D81" s="4030" t="s">
        <v>3884</v>
      </c>
      <c r="E81" s="634" t="s">
        <v>3883</v>
      </c>
      <c r="F81" s="2768">
        <f ca="1">F29</f>
        <v>31.64</v>
      </c>
      <c r="O81" s="976" t="s">
        <v>406</v>
      </c>
      <c r="P81" s="1014" t="s">
        <v>855</v>
      </c>
      <c r="Q81" s="3433">
        <f ca="1">C52</f>
        <v>0</v>
      </c>
      <c r="R81" s="969" t="s">
        <v>801</v>
      </c>
    </row>
    <row r="82" spans="1:18" s="935" customFormat="1" ht="13.5" thickBot="1">
      <c r="A82" s="3203"/>
      <c r="B82" s="2783"/>
      <c r="C82" s="2783"/>
      <c r="D82" s="4031"/>
      <c r="E82" s="634" t="s">
        <v>3885</v>
      </c>
      <c r="F82" s="2762"/>
      <c r="O82" s="976" t="s">
        <v>407</v>
      </c>
      <c r="P82" s="1014" t="s">
        <v>856</v>
      </c>
      <c r="Q82" s="3430">
        <f ca="1">C88</f>
        <v>7.0000000000000007E-2</v>
      </c>
      <c r="R82" s="969"/>
    </row>
    <row r="83" spans="1:18" s="935" customFormat="1" ht="13.5" thickBot="1">
      <c r="A83" s="630" t="s">
        <v>3794</v>
      </c>
      <c r="B83" s="2742" t="s">
        <v>3436</v>
      </c>
      <c r="C83" s="3853">
        <f ca="1">ROUND(C80*(1+F31),0)</f>
        <v>-33</v>
      </c>
      <c r="D83" s="4032" t="str">
        <f>D31</f>
        <v>其他类型公式—收益价值×（1+9%）</v>
      </c>
      <c r="E83" s="1018"/>
      <c r="F83" s="4033"/>
      <c r="O83" s="976" t="s">
        <v>401</v>
      </c>
      <c r="P83" s="968" t="s">
        <v>834</v>
      </c>
      <c r="Q83" s="3430">
        <f>L61</f>
        <v>0</v>
      </c>
      <c r="R83" s="969"/>
    </row>
    <row r="84" spans="1:18" ht="16.5" thickBot="1">
      <c r="A84" s="647" t="s">
        <v>390</v>
      </c>
      <c r="B84" s="648" t="s">
        <v>759</v>
      </c>
      <c r="C84" s="2754">
        <f ca="1">ROUND(C83*10000/F84,0)</f>
        <v>-205</v>
      </c>
      <c r="D84" s="4034" t="s">
        <v>3888</v>
      </c>
      <c r="E84" s="648" t="s">
        <v>3889</v>
      </c>
      <c r="F84" s="2769">
        <f ca="1">F32</f>
        <v>1606</v>
      </c>
      <c r="G84" s="935"/>
      <c r="H84" s="935"/>
      <c r="O84" s="976" t="s">
        <v>402</v>
      </c>
      <c r="P84" s="968" t="s">
        <v>837</v>
      </c>
      <c r="Q84" s="4044" t="e">
        <f ca="1">L67</f>
        <v>#DIV/0!</v>
      </c>
      <c r="R84" s="969" t="s">
        <v>838</v>
      </c>
    </row>
    <row r="85" spans="1:18" ht="13.5" thickBot="1">
      <c r="A85" s="935"/>
      <c r="B85" s="494"/>
      <c r="C85" s="494"/>
      <c r="D85" s="935"/>
      <c r="E85" s="935"/>
      <c r="F85" s="935"/>
      <c r="O85" s="976" t="s">
        <v>409</v>
      </c>
      <c r="P85" s="968" t="str">
        <f>K68</f>
        <v>建设期及建筑物耐用年限下的土地年期修正系数Kn</v>
      </c>
      <c r="Q85" s="4044" t="e">
        <f ca="1">L68</f>
        <v>#DIV/0!</v>
      </c>
      <c r="R85" s="969" t="s">
        <v>839</v>
      </c>
    </row>
    <row r="86" spans="1:18" ht="25.5" thickBot="1">
      <c r="A86" s="935"/>
      <c r="B86" s="168" t="s">
        <v>857</v>
      </c>
      <c r="C86" s="1016"/>
      <c r="D86" s="935"/>
      <c r="E86" s="935"/>
      <c r="F86" s="935"/>
      <c r="K86" s="951"/>
      <c r="L86" s="935"/>
      <c r="O86" s="4038" t="s">
        <v>403</v>
      </c>
      <c r="P86" s="4042" t="s">
        <v>3905</v>
      </c>
      <c r="Q86" s="4041">
        <f ca="1">ROUND((Q74+Q75)*(1+F31),0)</f>
        <v>1269</v>
      </c>
      <c r="R86" s="4040" t="s">
        <v>3906</v>
      </c>
    </row>
    <row r="87" spans="1:18">
      <c r="A87" s="935"/>
      <c r="B87" s="222" t="s">
        <v>778</v>
      </c>
      <c r="C87" s="2831">
        <f ca="1">ROUND(C53*C88,0)</f>
        <v>42</v>
      </c>
      <c r="D87" s="935"/>
      <c r="E87" s="935"/>
      <c r="F87" s="935"/>
      <c r="I87" s="935"/>
      <c r="J87" s="935"/>
      <c r="K87" s="951"/>
      <c r="L87" s="935"/>
    </row>
    <row r="88" spans="1:18">
      <c r="B88" s="224" t="s">
        <v>779</v>
      </c>
      <c r="C88" s="2727">
        <f ca="1">INDIRECT("'数据-取费表'!j"&amp;$G$1)</f>
        <v>7.0000000000000007E-2</v>
      </c>
      <c r="I88" s="935"/>
      <c r="J88" s="935"/>
      <c r="K88" s="951"/>
      <c r="L88" s="935"/>
    </row>
    <row r="89" spans="1:18">
      <c r="B89" s="226" t="s">
        <v>780</v>
      </c>
      <c r="C89" s="227"/>
    </row>
    <row r="90" spans="1:18">
      <c r="B90" s="165" t="s">
        <v>781</v>
      </c>
      <c r="C90" s="228"/>
    </row>
    <row r="91" spans="1:18">
      <c r="B91" s="222" t="s">
        <v>782</v>
      </c>
      <c r="C91" s="2832">
        <f ca="1">1-C92</f>
        <v>0.36399999999999999</v>
      </c>
    </row>
    <row r="92" spans="1:18">
      <c r="B92" s="222" t="s">
        <v>783</v>
      </c>
      <c r="C92" s="2832">
        <f ca="1">ROUND(C87/C27,3)</f>
        <v>0.63600000000000001</v>
      </c>
    </row>
    <row r="93" spans="1:18">
      <c r="B93" s="165" t="s">
        <v>784</v>
      </c>
      <c r="C93" s="133"/>
    </row>
    <row r="94" spans="1:18">
      <c r="B94" s="168" t="s">
        <v>785</v>
      </c>
      <c r="C94" s="2833">
        <f ca="1">1-C95</f>
        <v>0.49</v>
      </c>
    </row>
    <row r="95" spans="1:18">
      <c r="B95" s="168" t="s">
        <v>786</v>
      </c>
      <c r="C95" s="2832">
        <f ca="1">ROUND(C53/(C28+J31+L55),3)</f>
        <v>0.51</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5" priority="3">
      <formula>$F$10="自定义"</formula>
    </cfRule>
  </conditionalFormatting>
  <conditionalFormatting sqref="C63">
    <cfRule type="expression" dxfId="14" priority="1">
      <formula>$F$62="自定义"</formula>
    </cfRule>
  </conditionalFormatting>
  <conditionalFormatting sqref="I64 I69">
    <cfRule type="expression" dxfId="13" priority="57">
      <formula>$J$60&gt;$L$57</formula>
    </cfRule>
  </conditionalFormatting>
  <conditionalFormatting sqref="J11">
    <cfRule type="expression" dxfId="12" priority="2">
      <formula>$M$10="自定义"</formula>
    </cfRule>
  </conditionalFormatting>
  <conditionalFormatting sqref="K64 K69">
    <cfRule type="expression" dxfId="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1C46-5DC5-4900-AF6B-47A20D1A2ED2}">
  <sheetPr>
    <tabColor rgb="FF92D050"/>
  </sheetPr>
  <dimension ref="A1:AK95"/>
  <sheetViews>
    <sheetView zoomScaleNormal="100" zoomScaleSheetLayoutView="100" workbookViewId="0">
      <selection activeCell="F21" sqref="F21"/>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859</v>
      </c>
      <c r="B1" s="481"/>
      <c r="C1" s="2782" t="s">
        <v>4066</v>
      </c>
      <c r="D1" s="914" t="s">
        <v>4084</v>
      </c>
      <c r="E1" s="915" t="s">
        <v>663</v>
      </c>
      <c r="F1" s="3412">
        <f ca="1">J62</f>
        <v>41.65</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43">
        <f ca="1">IF(D2="含税",ROUND((C28+J31+L55)*(1+F31),0),C28+J31+L55)</f>
        <v>11244</v>
      </c>
      <c r="C2" s="932" t="s">
        <v>788</v>
      </c>
      <c r="D2" s="3323" t="s">
        <v>4083</v>
      </c>
      <c r="E2" s="937"/>
      <c r="F2" s="938"/>
      <c r="G2" s="1966"/>
      <c r="H2" s="1956"/>
      <c r="I2" s="1956"/>
      <c r="J2" s="1956"/>
      <c r="K2" s="1957"/>
      <c r="L2" s="1956"/>
      <c r="M2" s="1956"/>
    </row>
    <row r="3" spans="1:37" ht="18" customHeight="1" thickBot="1">
      <c r="A3" s="939" t="s">
        <v>789</v>
      </c>
      <c r="B3" s="2754">
        <f ca="1">IF(ISERROR(B2*10000/F32),0,ROUND(B2*10000/F32,0))</f>
        <v>2339</v>
      </c>
      <c r="C3" s="932" t="s">
        <v>790</v>
      </c>
      <c r="D3" s="932"/>
      <c r="E3" s="937"/>
      <c r="F3" s="938"/>
      <c r="G3" s="1966"/>
      <c r="H3" s="467" t="s">
        <v>858</v>
      </c>
      <c r="I3" s="933"/>
      <c r="J3" s="933"/>
      <c r="K3" s="934"/>
      <c r="L3" s="933"/>
      <c r="M3" s="933"/>
    </row>
    <row r="4" spans="1:37" s="118" customFormat="1" ht="18" customHeight="1">
      <c r="A4" s="2723" t="s">
        <v>3866</v>
      </c>
      <c r="B4" s="2724" t="s">
        <v>3867</v>
      </c>
      <c r="C4" s="3569" t="s">
        <v>3805</v>
      </c>
      <c r="D4" s="2724" t="s">
        <v>3868</v>
      </c>
      <c r="E4" s="3999" t="s">
        <v>3869</v>
      </c>
      <c r="F4" s="4000"/>
      <c r="G4" s="4001"/>
      <c r="H4" s="2723" t="s">
        <v>3866</v>
      </c>
      <c r="I4" s="2724" t="s">
        <v>3867</v>
      </c>
      <c r="J4" s="3569" t="s">
        <v>3805</v>
      </c>
      <c r="K4" s="2724" t="s">
        <v>3868</v>
      </c>
      <c r="L4" s="3999" t="s">
        <v>3869</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3392</v>
      </c>
      <c r="C5" s="4093">
        <f ca="1">ROUND(C6+C10+C12,0)</f>
        <v>633</v>
      </c>
      <c r="D5" s="4002" t="s">
        <v>3872</v>
      </c>
      <c r="E5" s="4003"/>
      <c r="F5" s="4004"/>
      <c r="G5" s="4001"/>
      <c r="H5" s="183">
        <v>1</v>
      </c>
      <c r="I5" s="3913" t="s">
        <v>3392</v>
      </c>
      <c r="J5" s="4093">
        <f ca="1">ROUND(J6+J10+J12,0)</f>
        <v>0</v>
      </c>
      <c r="K5" s="4002" t="s">
        <v>3872</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3783</v>
      </c>
      <c r="C6" s="3855">
        <f ca="1">C7-C9</f>
        <v>631.78</v>
      </c>
      <c r="D6" s="2715" t="s">
        <v>3787</v>
      </c>
      <c r="E6" s="2713" t="s">
        <v>3390</v>
      </c>
      <c r="F6" s="3028">
        <f ca="1">INDIRECT("'数据-取费表'!u"&amp;$G$1)</f>
        <v>0.4</v>
      </c>
      <c r="G6" s="935"/>
      <c r="H6" s="707" t="s">
        <v>392</v>
      </c>
      <c r="I6" s="2714" t="s">
        <v>3783</v>
      </c>
      <c r="J6" s="4087">
        <f ca="1">J7-J9</f>
        <v>0</v>
      </c>
      <c r="K6" s="2715" t="s">
        <v>3787</v>
      </c>
      <c r="L6" s="2713" t="s">
        <v>3390</v>
      </c>
      <c r="M6" s="3028">
        <f ca="1">INDIRECT("'数据-取费表'!z"&amp;$G$1)</f>
        <v>0</v>
      </c>
    </row>
    <row r="7" spans="1:37" ht="18" customHeight="1">
      <c r="A7" s="4496" t="s">
        <v>391</v>
      </c>
      <c r="B7" s="4493" t="s">
        <v>3781</v>
      </c>
      <c r="C7" s="4652">
        <f ca="1">ROUND(F6*F7*F8/10000,2)</f>
        <v>701.98</v>
      </c>
      <c r="D7" s="4495" t="s">
        <v>3461</v>
      </c>
      <c r="E7" s="714" t="s">
        <v>680</v>
      </c>
      <c r="F7" s="2761">
        <f ca="1">IF(INDIRECT("'数据-取费表'!ah"&amp;$G$1)="",INDIRECT("'数据-取费表'!k"&amp;$G$1),INDIRECT("'数据-取费表'!ah"&amp;$G$1))</f>
        <v>48081</v>
      </c>
      <c r="G7" s="935"/>
      <c r="H7" s="4496" t="s">
        <v>391</v>
      </c>
      <c r="I7" s="4493" t="s">
        <v>3781</v>
      </c>
      <c r="J7" s="4656">
        <f ca="1">ROUND(M6*M8*M7/10000,2)</f>
        <v>0</v>
      </c>
      <c r="K7" s="4495" t="s">
        <v>3461</v>
      </c>
      <c r="L7" s="186" t="s">
        <v>680</v>
      </c>
      <c r="M7" s="2761">
        <f ca="1">F7</f>
        <v>48081</v>
      </c>
    </row>
    <row r="8" spans="1:37" ht="18" customHeight="1">
      <c r="A8" s="4497"/>
      <c r="B8" s="4494"/>
      <c r="C8" s="4652"/>
      <c r="D8" s="4495"/>
      <c r="E8" s="186" t="str">
        <f ca="1">IF(F8=1,"年",IF(F8=12,"月","天"))</f>
        <v>天</v>
      </c>
      <c r="F8" s="3413">
        <f ca="1">INDIRECT("'数据-取费表'!ai"&amp;$G$1)</f>
        <v>365</v>
      </c>
      <c r="G8" s="935"/>
      <c r="H8" s="4497"/>
      <c r="I8" s="4494"/>
      <c r="J8" s="4656"/>
      <c r="K8" s="4495"/>
      <c r="L8" s="186" t="str">
        <f ca="1">IF(M8=1,"年",IF(M8=12,"月","天"))</f>
        <v>天</v>
      </c>
      <c r="M8" s="3413">
        <f ca="1">INDIRECT("'数据-取费表'!ai"&amp;$G$1)</f>
        <v>365</v>
      </c>
    </row>
    <row r="9" spans="1:37" ht="18" customHeight="1">
      <c r="A9" s="2700" t="s">
        <v>393</v>
      </c>
      <c r="B9" s="4086" t="s">
        <v>3782</v>
      </c>
      <c r="C9" s="4085">
        <f ca="1">ROUND(C7*F9,2)</f>
        <v>70.2</v>
      </c>
      <c r="D9" s="2715" t="s">
        <v>3786</v>
      </c>
      <c r="E9" s="186" t="s">
        <v>682</v>
      </c>
      <c r="F9" s="2767">
        <f ca="1">INDIRECT("'数据-取费表'!w"&amp;$G$1)</f>
        <v>0.1</v>
      </c>
      <c r="G9" s="935"/>
      <c r="H9" s="2700" t="s">
        <v>393</v>
      </c>
      <c r="I9" s="4086" t="s">
        <v>3782</v>
      </c>
      <c r="J9" s="4087">
        <f ca="1">ROUND(J7*M9,2)</f>
        <v>0</v>
      </c>
      <c r="K9" s="2715" t="s">
        <v>3786</v>
      </c>
      <c r="L9" s="197" t="s">
        <v>682</v>
      </c>
      <c r="M9" s="2829">
        <f ca="1">INDIRECT("'数据-取费表'!ab"&amp;$G$1)</f>
        <v>0</v>
      </c>
    </row>
    <row r="10" spans="1:37" ht="18" customHeight="1">
      <c r="A10" s="707" t="s">
        <v>396</v>
      </c>
      <c r="B10" s="917" t="s">
        <v>683</v>
      </c>
      <c r="C10" s="4087">
        <f ca="1">ROUND(IF(F10="押一",C6/12*F11,IF(F10="押二",C6/12*2*F11,IF(F10="押三",C6/12*3*F11,C11*F11))),2)</f>
        <v>0.79</v>
      </c>
      <c r="D10" s="59" t="s">
        <v>2018</v>
      </c>
      <c r="E10" s="197" t="s">
        <v>684</v>
      </c>
      <c r="F10" s="2763" t="s">
        <v>4086</v>
      </c>
      <c r="G10" s="935"/>
      <c r="H10" s="707" t="s">
        <v>396</v>
      </c>
      <c r="I10" s="917" t="s">
        <v>683</v>
      </c>
      <c r="J10" s="4088">
        <f ca="1">ROUND(IF(M10="押一",J6/12*M11,IF(M10="押二",J6/12*2*M11,IF(M10="押三",J6/12*3*M11,J11*M11))),2)</f>
        <v>0</v>
      </c>
      <c r="K10" s="59" t="s">
        <v>2018</v>
      </c>
      <c r="L10" s="197" t="s">
        <v>684</v>
      </c>
      <c r="M10" s="2763"/>
    </row>
    <row r="11" spans="1:37" ht="18" customHeight="1">
      <c r="A11" s="192"/>
      <c r="B11" s="3023" t="str">
        <f>IF(OR(F10="自定义",F10=" "),"（自定义押金）","")</f>
        <v/>
      </c>
      <c r="C11" s="2718"/>
      <c r="D11" s="919"/>
      <c r="E11" s="197" t="s">
        <v>685</v>
      </c>
      <c r="F11" s="2829">
        <f ca="1">'数据-取费表'!B40</f>
        <v>1.4999999999999999E-2</v>
      </c>
      <c r="G11" s="935"/>
      <c r="H11" s="715"/>
      <c r="I11" s="3023" t="str">
        <f>IF(OR(M10="自定义",M10=" "),"（自定义押金）","")</f>
        <v/>
      </c>
      <c r="J11" s="2718"/>
      <c r="K11" s="464"/>
      <c r="L11" s="197" t="s">
        <v>685</v>
      </c>
      <c r="M11" s="3434">
        <f ca="1">'数据-取费表'!B40</f>
        <v>1.4999999999999999E-2</v>
      </c>
    </row>
    <row r="12" spans="1:37" ht="18" customHeight="1" thickBot="1">
      <c r="A12" s="720" t="s">
        <v>431</v>
      </c>
      <c r="B12" s="920" t="s">
        <v>686</v>
      </c>
      <c r="C12" s="2744"/>
      <c r="D12" s="722"/>
      <c r="E12" s="727"/>
      <c r="F12" s="723"/>
      <c r="G12" s="935"/>
      <c r="H12" s="720" t="s">
        <v>431</v>
      </c>
      <c r="I12" s="920" t="s">
        <v>686</v>
      </c>
      <c r="J12" s="2744"/>
      <c r="K12" s="735"/>
      <c r="L12" s="727"/>
      <c r="M12" s="2830"/>
    </row>
    <row r="13" spans="1:37" s="118" customFormat="1" ht="18" customHeight="1" thickTop="1">
      <c r="A13" s="716" t="s">
        <v>3666</v>
      </c>
      <c r="B13" s="717" t="s">
        <v>697</v>
      </c>
      <c r="C13" s="3853">
        <f ca="1">ROUND(C14+C22+C24+C26,0)</f>
        <v>153</v>
      </c>
      <c r="D13" s="4005" t="s">
        <v>3874</v>
      </c>
      <c r="E13" s="4006"/>
      <c r="F13" s="4004"/>
      <c r="G13" s="4001"/>
      <c r="H13" s="716" t="s">
        <v>3666</v>
      </c>
      <c r="I13" s="717" t="s">
        <v>697</v>
      </c>
      <c r="J13" s="3853">
        <f ca="1">ROUND(J14+J22+J24+J26,0)</f>
        <v>185</v>
      </c>
      <c r="K13" s="4007" t="s">
        <v>3875</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3957</v>
      </c>
      <c r="C14" s="4087">
        <f ca="1">ROUND(IF(AND(项目基本情况!B11="自然人",项目基本情况!B10="北京市",M56="住宅"),C6*F14,C15+C19+C20),2)</f>
        <v>98.3</v>
      </c>
      <c r="D14" s="900" t="s">
        <v>3435</v>
      </c>
      <c r="E14" s="900" t="str">
        <f>IF(M56="非住宅","","综合税率")</f>
        <v/>
      </c>
      <c r="F14" s="3837" t="str">
        <f>IF(M56="非住宅","",IF(F6*F7*F8/12/(1+'数据-取费表'!F30)&gt;100000,4%,2.5%))</f>
        <v/>
      </c>
      <c r="G14" s="935"/>
      <c r="H14" s="658" t="s">
        <v>392</v>
      </c>
      <c r="I14" s="2713" t="s">
        <v>3957</v>
      </c>
      <c r="J14" s="4087">
        <f ca="1">ROUND(IF(AND(项目基本情况!B11="自然人",项目基本情况!B10="北京市",M56="住宅"),J6*M14/(1+'数据-取费表'!C43),J15+J19+J20),2)</f>
        <v>152.46</v>
      </c>
      <c r="K14" s="2740" t="s">
        <v>3434</v>
      </c>
      <c r="L14" s="900" t="str">
        <f>E14</f>
        <v/>
      </c>
      <c r="M14" s="3837" t="str">
        <f>IF(M56="非住宅","",IF(M6*M7*M8/12/(1+'数据-取费表'!F30)&gt;100000,4%,2.5%))</f>
        <v/>
      </c>
    </row>
    <row r="15" spans="1:37" s="946" customFormat="1" ht="18" customHeight="1">
      <c r="A15" s="2700" t="s">
        <v>391</v>
      </c>
      <c r="B15" s="2713" t="s">
        <v>3953</v>
      </c>
      <c r="C15" s="4087">
        <f ca="1">C18</f>
        <v>6.31</v>
      </c>
      <c r="D15" s="2430" t="s">
        <v>3952</v>
      </c>
      <c r="E15" s="4090"/>
      <c r="F15" s="4122"/>
      <c r="G15" s="945"/>
      <c r="H15" s="2700" t="s">
        <v>391</v>
      </c>
      <c r="I15" s="2713" t="s">
        <v>3953</v>
      </c>
      <c r="J15" s="4087">
        <f ca="1">J18</f>
        <v>-0.35</v>
      </c>
      <c r="K15" s="2430" t="s">
        <v>3952</v>
      </c>
      <c r="L15" s="4090"/>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3278</v>
      </c>
      <c r="B16" s="2717" t="s">
        <v>3394</v>
      </c>
      <c r="C16" s="2720">
        <f ca="1">ROUND(C6*F16,2)</f>
        <v>56.86</v>
      </c>
      <c r="D16" s="994" t="s">
        <v>3844</v>
      </c>
      <c r="E16" s="2721" t="s">
        <v>3396</v>
      </c>
      <c r="F16" s="2765">
        <v>0.09</v>
      </c>
      <c r="G16" s="935"/>
      <c r="H16" s="2505" t="s">
        <v>3278</v>
      </c>
      <c r="I16" s="2717" t="s">
        <v>3394</v>
      </c>
      <c r="J16" s="2720">
        <f ca="1">ROUND(J6*M16,2)</f>
        <v>0</v>
      </c>
      <c r="K16" s="3979" t="s">
        <v>3850</v>
      </c>
      <c r="L16" s="2721" t="s">
        <v>3396</v>
      </c>
      <c r="M16" s="2765">
        <v>0.09</v>
      </c>
    </row>
    <row r="17" spans="1:37" s="946" customFormat="1" ht="18" customHeight="1">
      <c r="A17" s="2505" t="s">
        <v>3279</v>
      </c>
      <c r="B17" s="2717" t="s">
        <v>3395</v>
      </c>
      <c r="C17" s="2741">
        <f ca="1">ROUND(C22*F16+((C24+C26)*F17),2)</f>
        <v>4.28</v>
      </c>
      <c r="D17" s="3978" t="s">
        <v>3845</v>
      </c>
      <c r="E17" s="2722"/>
      <c r="F17" s="2765">
        <v>0.06</v>
      </c>
      <c r="G17" s="945"/>
      <c r="H17" s="2505" t="s">
        <v>3279</v>
      </c>
      <c r="I17" s="2717" t="s">
        <v>3395</v>
      </c>
      <c r="J17" s="2741">
        <f ca="1">ROUND(J22*M16+((J24+J26)*M17),2)</f>
        <v>2.93</v>
      </c>
      <c r="K17" s="3978" t="s">
        <v>3845</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3280</v>
      </c>
      <c r="B18" s="2717" t="s">
        <v>3971</v>
      </c>
      <c r="C18" s="2741">
        <f ca="1">ROUND((C16-C17)*F18,2)</f>
        <v>6.31</v>
      </c>
      <c r="D18" s="2740" t="s">
        <v>3972</v>
      </c>
      <c r="E18" s="186" t="s">
        <v>3973</v>
      </c>
      <c r="F18" s="2765">
        <f>'数据-取费表'!B44</f>
        <v>0.12000000000000001</v>
      </c>
      <c r="G18" s="945"/>
      <c r="H18" s="2505" t="s">
        <v>3280</v>
      </c>
      <c r="I18" s="2717" t="s">
        <v>3949</v>
      </c>
      <c r="J18" s="2741">
        <f ca="1">ROUND((J16-J17)*M18,2)</f>
        <v>-0.35</v>
      </c>
      <c r="K18" s="2740" t="s">
        <v>3972</v>
      </c>
      <c r="L18" s="186" t="s">
        <v>3973</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3954</v>
      </c>
      <c r="C19" s="4087">
        <f ca="1">IF(AND(项目基本情况!B11="自然人",M56="住宅"),"——",IF(D19="按不含税租金收入（有效毛租金收入）计税",ROUND(C6*F19,2),IF(D19="按房产原值计税",ROUND(C51*F19*0.7,2),INDIRECT("'数据-取费表'!Aj"&amp;$G$1))))</f>
        <v>75.81</v>
      </c>
      <c r="D19" s="2716" t="s">
        <v>4085</v>
      </c>
      <c r="E19" s="186" t="s">
        <v>695</v>
      </c>
      <c r="F19" s="2765">
        <f>IF(D19="按票据","——",IF(D19="按不含税租金收入（有效毛租金收入）计税",'数据-取费表'!B52,'数据-取费表'!B51))</f>
        <v>0.12</v>
      </c>
      <c r="G19" s="945"/>
      <c r="H19" s="2700" t="s">
        <v>393</v>
      </c>
      <c r="I19" s="2713" t="s">
        <v>3954</v>
      </c>
      <c r="J19" s="4087">
        <f ca="1">IF(K19="按不含税租金收入（有效毛租金收入）计税",ROUND(J6*M19,2),ROUND(C51*M19*0.7,2))</f>
        <v>136.63</v>
      </c>
      <c r="K19" s="921"/>
      <c r="L19" s="186" t="s">
        <v>695</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664</v>
      </c>
      <c r="B20" s="927" t="s">
        <v>3955</v>
      </c>
      <c r="C20" s="4088">
        <f ca="1">IF(AND(项目基本情况!B11="自然人",M56="住宅"),"——",ROUND(F20*F21/10000,2))</f>
        <v>16.18</v>
      </c>
      <c r="D20" s="207" t="s">
        <v>714</v>
      </c>
      <c r="E20" s="186" t="s">
        <v>715</v>
      </c>
      <c r="F20" s="2766">
        <f>'数据-取费表'!B53</f>
        <v>24</v>
      </c>
      <c r="G20" s="935"/>
      <c r="H20" s="4091" t="s">
        <v>664</v>
      </c>
      <c r="I20" s="927" t="s">
        <v>3955</v>
      </c>
      <c r="J20" s="4088">
        <f ca="1">ROUND(M20*M21/10000,2)</f>
        <v>16.18</v>
      </c>
      <c r="K20" s="207" t="s">
        <v>714</v>
      </c>
      <c r="L20" s="186" t="s">
        <v>715</v>
      </c>
      <c r="M20" s="2766">
        <f>'数据-取费表'!B53</f>
        <v>24</v>
      </c>
    </row>
    <row r="21" spans="1:37" s="946" customFormat="1" ht="18" customHeight="1">
      <c r="A21" s="209"/>
      <c r="B21" s="738"/>
      <c r="C21" s="4089"/>
      <c r="D21" s="210"/>
      <c r="E21" s="186" t="s">
        <v>719</v>
      </c>
      <c r="F21" s="2761">
        <f ca="1">INDIRECT("'数据-取费表'!r"&amp;$G$1)</f>
        <v>6743.2</v>
      </c>
      <c r="G21" s="945"/>
      <c r="H21" s="209"/>
      <c r="I21" s="195"/>
      <c r="J21" s="4089"/>
      <c r="K21" s="210"/>
      <c r="L21" s="186" t="s">
        <v>719</v>
      </c>
      <c r="M21" s="2761">
        <f ca="1">INDIRECT("'数据-取费表'!r"&amp;$G$1)</f>
        <v>6743.2</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721</v>
      </c>
      <c r="C22" s="3860">
        <f ca="1">ROUND(C51*F22,2)</f>
        <v>32.53</v>
      </c>
      <c r="D22" s="1776" t="s">
        <v>722</v>
      </c>
      <c r="E22" s="186" t="s">
        <v>695</v>
      </c>
      <c r="F22" s="2767">
        <f ca="1">INDIRECT("'数据-取费表'!Ak"&amp;$G$1)</f>
        <v>2E-3</v>
      </c>
      <c r="G22" s="945"/>
      <c r="H22" s="3859" t="s">
        <v>396</v>
      </c>
      <c r="I22" s="56" t="s">
        <v>721</v>
      </c>
      <c r="J22" s="3860">
        <f ca="1">ROUND(J35*M22,2)</f>
        <v>32.53</v>
      </c>
      <c r="K22" s="1776" t="s">
        <v>722</v>
      </c>
      <c r="L22" s="186" t="s">
        <v>695</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3807</v>
      </c>
      <c r="F23" s="3413">
        <f ca="1">C51</f>
        <v>16266</v>
      </c>
      <c r="G23" s="945"/>
      <c r="H23" s="209"/>
      <c r="I23" s="195"/>
      <c r="J23" s="3861"/>
      <c r="K23" s="3926"/>
      <c r="L23" s="2713" t="s">
        <v>3807</v>
      </c>
      <c r="M23" s="3413">
        <f ca="1">J35</f>
        <v>16266</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725</v>
      </c>
      <c r="C24" s="3860">
        <f ca="1">ROUND(C53*F24,2)</f>
        <v>16.27</v>
      </c>
      <c r="D24" s="1776" t="s">
        <v>3432</v>
      </c>
      <c r="E24" s="186" t="s">
        <v>695</v>
      </c>
      <c r="F24" s="2767">
        <f ca="1">INDIRECT("'数据-取费表'!Al"&amp;$G$1)</f>
        <v>1E-3</v>
      </c>
      <c r="G24" s="935"/>
      <c r="H24" s="3859" t="s">
        <v>431</v>
      </c>
      <c r="I24" s="56" t="s">
        <v>725</v>
      </c>
      <c r="J24" s="3860">
        <f ca="1">ROUND(J37*M24,2)</f>
        <v>0</v>
      </c>
      <c r="K24" s="1776" t="s">
        <v>3810</v>
      </c>
      <c r="L24" s="186" t="s">
        <v>695</v>
      </c>
      <c r="M24" s="2767">
        <f ca="1">INDIRECT("'数据-取费表'!Al"&amp;$G$1)</f>
        <v>1E-3</v>
      </c>
    </row>
    <row r="25" spans="1:37" ht="18" customHeight="1">
      <c r="A25" s="209"/>
      <c r="B25" s="195"/>
      <c r="C25" s="3861"/>
      <c r="D25" s="3926"/>
      <c r="E25" s="3925" t="s">
        <v>3808</v>
      </c>
      <c r="F25" s="3413">
        <f ca="1">C53</f>
        <v>16266</v>
      </c>
      <c r="G25" s="935"/>
      <c r="H25" s="209"/>
      <c r="I25" s="195"/>
      <c r="J25" s="3861"/>
      <c r="K25" s="3926"/>
      <c r="L25" s="3925" t="s">
        <v>3808</v>
      </c>
      <c r="M25" s="3413">
        <f ca="1">J37</f>
        <v>0</v>
      </c>
    </row>
    <row r="26" spans="1:37" s="946" customFormat="1" ht="18" customHeight="1" thickBot="1">
      <c r="A26" s="726" t="s">
        <v>667</v>
      </c>
      <c r="B26" s="727" t="s">
        <v>711</v>
      </c>
      <c r="C26" s="2719">
        <f ca="1">ROUND(C5*F26,2)</f>
        <v>6.33</v>
      </c>
      <c r="D26" s="729" t="s">
        <v>3851</v>
      </c>
      <c r="E26" s="727" t="s">
        <v>695</v>
      </c>
      <c r="F26" s="2830">
        <f ca="1">INDIRECT("'数据-取费表'!Am"&amp;$G$1)</f>
        <v>0.01</v>
      </c>
      <c r="G26" s="945"/>
      <c r="H26" s="726" t="s">
        <v>667</v>
      </c>
      <c r="I26" s="727" t="s">
        <v>711</v>
      </c>
      <c r="J26" s="2719">
        <f ca="1">ROUND(J5*M26,2)</f>
        <v>0</v>
      </c>
      <c r="K26" s="729" t="s">
        <v>3851</v>
      </c>
      <c r="L26" s="727" t="s">
        <v>695</v>
      </c>
      <c r="M26" s="2830">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735</v>
      </c>
      <c r="C27" s="3853">
        <f ca="1">C5-C13</f>
        <v>480</v>
      </c>
      <c r="D27" s="4009" t="s">
        <v>3877</v>
      </c>
      <c r="E27" s="4010"/>
      <c r="F27" s="4011"/>
      <c r="G27" s="498"/>
      <c r="H27" s="716" t="s">
        <v>387</v>
      </c>
      <c r="I27" s="731" t="s">
        <v>735</v>
      </c>
      <c r="J27" s="3853">
        <f ca="1">J5-J13</f>
        <v>-185</v>
      </c>
      <c r="K27" s="4009" t="s">
        <v>3877</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757</v>
      </c>
      <c r="C28" s="3928">
        <f ca="1">IF(C5&lt;&gt;0,ROUND(C27*(1-((1+F30)/(1+F28))^F29)/(F28-F30),0),0)</f>
        <v>11244</v>
      </c>
      <c r="D28" s="4013" t="s">
        <v>3879</v>
      </c>
      <c r="E28" s="2725" t="s">
        <v>3880</v>
      </c>
      <c r="F28" s="2767">
        <f ca="1">INDIRECT("'数据-取费表'!I"&amp;$G$1)</f>
        <v>4.4999999999999998E-2</v>
      </c>
      <c r="G28" s="4001"/>
      <c r="H28" s="183" t="s">
        <v>388</v>
      </c>
      <c r="I28" s="184" t="s">
        <v>740</v>
      </c>
      <c r="J28" s="3928">
        <f ca="1">IF(J5&lt;&gt;0,ROUND(J27*(1-((1+M30)/(1+M28))^M29)/(M28-M30),0),0)</f>
        <v>0</v>
      </c>
      <c r="K28" s="4013" t="s">
        <v>3879</v>
      </c>
      <c r="L28" s="4014" t="s">
        <v>3880</v>
      </c>
      <c r="M28" s="2829">
        <f ca="1">INDIRECT("'数据-取费表'!I"&amp;$G$1)</f>
        <v>4.4999999999999998E-2</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3882</v>
      </c>
      <c r="E29" s="2725" t="s">
        <v>3883</v>
      </c>
      <c r="F29" s="2768">
        <f ca="1">IF(INDIRECT("'数据-取费表'!af"&amp;$G$1)=0,INDIRECT("'数据-取费表'!ae"&amp;$G$1),INDIRECT("'数据-取费表'!af"&amp;$G$1))</f>
        <v>41.65</v>
      </c>
      <c r="G29" s="4001"/>
      <c r="H29" s="188"/>
      <c r="I29" s="189"/>
      <c r="J29" s="3929"/>
      <c r="K29" s="64" t="s">
        <v>3884</v>
      </c>
      <c r="L29" s="2725" t="s">
        <v>3883</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3885</v>
      </c>
      <c r="F30" s="2767">
        <f ca="1">INDIRECT("'数据-取费表'!v"&amp;$G$1)</f>
        <v>1.4999999999999999E-2</v>
      </c>
      <c r="G30" s="4001"/>
      <c r="H30" s="192"/>
      <c r="I30" s="193"/>
      <c r="J30" s="3930"/>
      <c r="K30" s="64"/>
      <c r="L30" s="2725" t="s">
        <v>3885</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389</v>
      </c>
      <c r="B31" s="3835" t="s">
        <v>3886</v>
      </c>
      <c r="C31" s="3838">
        <f ca="1">ROUND(C28*(1+F31),0)</f>
        <v>12256</v>
      </c>
      <c r="D31" s="4016" t="s">
        <v>3672</v>
      </c>
      <c r="E31" s="4017" t="str">
        <f>IF(D31="其他类型公式—收益价值×（1+9%）","销项税率","征收率")</f>
        <v>销项税率</v>
      </c>
      <c r="F31" s="2767">
        <f>IF(D31="其他类型公式—收益价值×（1+9%）",9%,3%)</f>
        <v>0.09</v>
      </c>
      <c r="G31" s="498"/>
      <c r="H31" s="199" t="s">
        <v>389</v>
      </c>
      <c r="I31" s="2725" t="s">
        <v>751</v>
      </c>
      <c r="J31" s="2743">
        <f ca="1">ROUND(J28/(1+F28)^F29,0)</f>
        <v>0</v>
      </c>
      <c r="K31" s="3922" t="s">
        <v>3800</v>
      </c>
      <c r="L31" s="2725"/>
      <c r="M31" s="2768">
        <f ca="1">INDIRECT("'数据-取费表'!k"&amp;$G$1)</f>
        <v>48081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759</v>
      </c>
      <c r="C32" s="3839">
        <f ca="1">ROUND(C31*10000/F32,0)</f>
        <v>2549</v>
      </c>
      <c r="D32" s="4018" t="s">
        <v>3888</v>
      </c>
      <c r="E32" s="217" t="s">
        <v>3889</v>
      </c>
      <c r="F32" s="2769">
        <f ca="1">INDIRECT("'数据-取费表'!k"&amp;$G$1)</f>
        <v>48081</v>
      </c>
      <c r="G32" s="498"/>
      <c r="H32" s="3831" t="s">
        <v>390</v>
      </c>
      <c r="I32" s="3832" t="s">
        <v>3890</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0.24170616113744081</v>
      </c>
      <c r="G33" s="935"/>
    </row>
    <row r="34" spans="1:37" s="118" customFormat="1" ht="18" customHeight="1">
      <c r="A34" s="3994" t="s">
        <v>3866</v>
      </c>
      <c r="B34" s="3995" t="s">
        <v>3867</v>
      </c>
      <c r="C34" s="3996" t="s">
        <v>3805</v>
      </c>
      <c r="D34" s="3995" t="s">
        <v>3868</v>
      </c>
      <c r="E34" s="3997" t="s">
        <v>3869</v>
      </c>
      <c r="F34" s="3998"/>
      <c r="G34" s="4001"/>
      <c r="H34" s="3994" t="s">
        <v>3866</v>
      </c>
      <c r="I34" s="3995" t="s">
        <v>3867</v>
      </c>
      <c r="J34" s="3996" t="s">
        <v>3805</v>
      </c>
      <c r="K34" s="3995" t="s">
        <v>3868</v>
      </c>
      <c r="L34" s="3997" t="s">
        <v>3869</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433</v>
      </c>
      <c r="B35" s="2725" t="s">
        <v>3398</v>
      </c>
      <c r="C35" s="2743">
        <f ca="1">SUM(C36:C41)</f>
        <v>14291</v>
      </c>
      <c r="D35" s="3922" t="s">
        <v>3405</v>
      </c>
      <c r="E35" s="994"/>
      <c r="F35" s="3277"/>
      <c r="G35" s="935"/>
      <c r="H35" s="3923" t="s">
        <v>433</v>
      </c>
      <c r="I35" s="3924" t="s">
        <v>3437</v>
      </c>
      <c r="J35" s="2702">
        <f ca="1">C51</f>
        <v>16266</v>
      </c>
      <c r="K35" s="2739" t="s">
        <v>3433</v>
      </c>
      <c r="L35" s="55"/>
      <c r="M35" s="2680"/>
    </row>
    <row r="36" spans="1:37" ht="18" customHeight="1">
      <c r="A36" s="2700" t="s">
        <v>391</v>
      </c>
      <c r="B36" s="2665" t="s">
        <v>690</v>
      </c>
      <c r="C36" s="2610">
        <f ca="1">INDIRECT("'数据-取费表'!m"&amp;$G$1)+INDIRECT("'数据-取费表'!t"&amp;$G$1)</f>
        <v>11059</v>
      </c>
      <c r="D36" s="899" t="s">
        <v>691</v>
      </c>
      <c r="E36" s="899"/>
      <c r="F36" s="215"/>
      <c r="G36" s="935"/>
      <c r="H36" s="2747" t="s">
        <v>396</v>
      </c>
      <c r="I36" s="2752" t="s">
        <v>3425</v>
      </c>
      <c r="J36" s="2650">
        <f ca="1">ROUND(J35*(1-M36),0)</f>
        <v>16266</v>
      </c>
      <c r="K36" s="186" t="s">
        <v>3428</v>
      </c>
      <c r="L36" s="2715" t="s">
        <v>3440</v>
      </c>
      <c r="M36" s="2767">
        <f ca="1">INDIRECT("'数据-取费表'!ad"&amp;$G$1)</f>
        <v>0</v>
      </c>
    </row>
    <row r="37" spans="1:37" ht="18" customHeight="1" thickBot="1">
      <c r="A37" s="2700" t="s">
        <v>393</v>
      </c>
      <c r="B37" s="2717" t="s">
        <v>3801</v>
      </c>
      <c r="C37" s="2702">
        <f ca="1">ROUND(C36*F37,0)</f>
        <v>885</v>
      </c>
      <c r="D37" s="186" t="s">
        <v>694</v>
      </c>
      <c r="E37" s="186" t="s">
        <v>695</v>
      </c>
      <c r="F37" s="2765">
        <f>'数据-取费表'!B33</f>
        <v>0.08</v>
      </c>
      <c r="G37" s="935"/>
      <c r="H37" s="2748" t="s">
        <v>3416</v>
      </c>
      <c r="I37" s="3927" t="s">
        <v>3809</v>
      </c>
      <c r="J37" s="2754">
        <f ca="1">J35-J36</f>
        <v>0</v>
      </c>
      <c r="K37" s="2734" t="s">
        <v>3462</v>
      </c>
      <c r="L37" s="219"/>
      <c r="M37" s="2755"/>
    </row>
    <row r="38" spans="1:37" ht="18" customHeight="1">
      <c r="A38" s="2700" t="s">
        <v>664</v>
      </c>
      <c r="B38" s="2665" t="s">
        <v>696</v>
      </c>
      <c r="C38" s="2702">
        <f ca="1">ROUND(INDIRECT("'数据-取费表'!m"&amp;$G$1)*F38,0)</f>
        <v>0</v>
      </c>
      <c r="D38" s="186" t="s">
        <v>694</v>
      </c>
      <c r="E38" s="186" t="s">
        <v>695</v>
      </c>
      <c r="F38" s="2765">
        <f ca="1">IF(INDIRECT("'数据-取费表'!c"&amp;$G$1)="住宅",'数据-取费表'!B34,0)</f>
        <v>0</v>
      </c>
      <c r="G38" s="935"/>
    </row>
    <row r="39" spans="1:37" ht="18" customHeight="1">
      <c r="A39" s="2700" t="s">
        <v>665</v>
      </c>
      <c r="B39" s="2665" t="s">
        <v>699</v>
      </c>
      <c r="C39" s="2702">
        <f ca="1">ROUND(F39*(F32+INDIRECT("'数据-取费表'!S"&amp;$G$1))/10000,0)</f>
        <v>1683</v>
      </c>
      <c r="D39" s="186" t="s">
        <v>700</v>
      </c>
      <c r="E39" s="186" t="s">
        <v>3802</v>
      </c>
      <c r="F39" s="2766">
        <f>'数据-取费表'!B35</f>
        <v>350</v>
      </c>
      <c r="G39" s="935"/>
    </row>
    <row r="40" spans="1:37" ht="18" customHeight="1">
      <c r="A40" s="2700" t="s">
        <v>666</v>
      </c>
      <c r="B40" s="2717" t="s">
        <v>3282</v>
      </c>
      <c r="C40" s="2702">
        <f ca="1">ROUND(C36*F40,0)</f>
        <v>332</v>
      </c>
      <c r="D40" s="186" t="s">
        <v>694</v>
      </c>
      <c r="E40" s="186" t="s">
        <v>695</v>
      </c>
      <c r="F40" s="2765">
        <f>'数据-取费表'!B36</f>
        <v>0.03</v>
      </c>
      <c r="G40" s="935"/>
      <c r="H40" s="47"/>
      <c r="I40" s="47"/>
      <c r="J40" s="47"/>
      <c r="K40" s="1861"/>
      <c r="L40" s="47"/>
      <c r="M40" s="47"/>
    </row>
    <row r="41" spans="1:37" ht="18" customHeight="1">
      <c r="A41" s="2700" t="s">
        <v>666</v>
      </c>
      <c r="B41" s="2717" t="s">
        <v>3283</v>
      </c>
      <c r="C41" s="2702">
        <f ca="1">ROUND(C36*F41,0)</f>
        <v>332</v>
      </c>
      <c r="D41" s="186" t="s">
        <v>694</v>
      </c>
      <c r="E41" s="186" t="s">
        <v>695</v>
      </c>
      <c r="F41" s="2765">
        <f>'数据-取费表'!B37</f>
        <v>0.03</v>
      </c>
      <c r="G41" s="935"/>
      <c r="H41" s="47"/>
      <c r="I41" s="47"/>
      <c r="J41" s="47"/>
      <c r="K41" s="1861"/>
      <c r="L41" s="47"/>
      <c r="M41" s="47"/>
    </row>
    <row r="42" spans="1:37" ht="18" customHeight="1">
      <c r="A42" s="199" t="s">
        <v>434</v>
      </c>
      <c r="B42" s="2725" t="s">
        <v>3413</v>
      </c>
      <c r="C42" s="2743">
        <f ca="1">ROUND(C35*F42,0)</f>
        <v>143</v>
      </c>
      <c r="D42" s="2726" t="s">
        <v>3414</v>
      </c>
      <c r="E42" s="2725" t="s">
        <v>3415</v>
      </c>
      <c r="F42" s="2767">
        <f>'数据-取费表'!B38</f>
        <v>0.01</v>
      </c>
      <c r="G42" s="935"/>
      <c r="H42" s="47"/>
      <c r="I42" s="47"/>
      <c r="J42" s="47"/>
      <c r="K42" s="1861"/>
      <c r="L42" s="47"/>
      <c r="M42" s="47"/>
    </row>
    <row r="43" spans="1:37" ht="18" customHeight="1">
      <c r="A43" s="199" t="s">
        <v>3416</v>
      </c>
      <c r="B43" s="2725" t="s">
        <v>3417</v>
      </c>
      <c r="C43" s="2790" t="str">
        <f>F43&amp;"V建"</f>
        <v>0.03V建</v>
      </c>
      <c r="D43" s="2726" t="s">
        <v>3418</v>
      </c>
      <c r="E43" s="2725" t="s">
        <v>3415</v>
      </c>
      <c r="F43" s="2767">
        <f>'数据-取费表'!B39</f>
        <v>0.03</v>
      </c>
      <c r="G43" s="935"/>
      <c r="H43" s="47"/>
      <c r="I43" s="47"/>
      <c r="J43" s="47"/>
      <c r="K43" s="1861"/>
      <c r="L43" s="47"/>
      <c r="M43" s="47"/>
    </row>
    <row r="44" spans="1:37" ht="18" customHeight="1">
      <c r="A44" s="199" t="s">
        <v>3420</v>
      </c>
      <c r="B44" s="2728" t="s">
        <v>3357</v>
      </c>
      <c r="C44" s="3416" t="str">
        <f ca="1">C45&amp;"+"&amp;C46&amp;"V建"</f>
        <v>578+0.0012V建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723</v>
      </c>
      <c r="C45" s="2702">
        <f ca="1">IF('数据-取费表'!B22&lt;=1,ROUND(C35*F46*F45/2,0)+ROUND(C42*F46*F45/2,0),ROUND(C35*(POWER((1+F46),F45/2)-1),0)+ROUND(C42*(POWER((1+F46),F45/2)-1),0))</f>
        <v>578</v>
      </c>
      <c r="D45" s="55" t="str">
        <f>IF(F45&lt;=1,"(建造成本+管理费用)×利率×(建设周期÷2)","(建造成本+管理费用)×((1+利率)^(建设周期÷2)-1)")</f>
        <v>(建造成本+管理费用)×((1+利率)^(建设周期÷2)-1)</v>
      </c>
      <c r="E45" s="186" t="s">
        <v>724</v>
      </c>
      <c r="F45" s="2766">
        <f>'数据-取费表'!B20</f>
        <v>2.5</v>
      </c>
      <c r="G45" s="935"/>
      <c r="H45" s="47"/>
      <c r="I45" s="47"/>
      <c r="J45" s="47"/>
      <c r="K45" s="1861"/>
      <c r="L45" s="47"/>
      <c r="M45" s="47"/>
    </row>
    <row r="46" spans="1:37" ht="18" customHeight="1">
      <c r="A46" s="2700" t="s">
        <v>393</v>
      </c>
      <c r="B46" s="186" t="s">
        <v>729</v>
      </c>
      <c r="C46" s="3414">
        <f ca="1">ROUND(IF('数据-取费表'!B22&lt;=1,F43*F46*F45/2,F43*(POWER((1+F46),F45/2)-1)),4)</f>
        <v>1.1999999999999999E-3</v>
      </c>
      <c r="D46" s="55" t="str">
        <f>IF(F45&lt;=1,"销售费用×利率×(建设周期÷2)","销售费用×((1+利率)^(建设周期÷2)-1)")</f>
        <v>销售费用×((1+利率)^(建设周期÷2)-1)</v>
      </c>
      <c r="E46" s="186" t="s">
        <v>730</v>
      </c>
      <c r="F46" s="2764">
        <f ca="1">'数据-取费表'!B41</f>
        <v>3.1899999999999998E-2</v>
      </c>
      <c r="G46" s="935"/>
      <c r="H46" s="47"/>
      <c r="I46" s="47"/>
      <c r="J46" s="47"/>
      <c r="K46" s="1861"/>
      <c r="L46" s="47"/>
      <c r="M46" s="47"/>
    </row>
    <row r="47" spans="1:37" ht="18" customHeight="1">
      <c r="A47" s="199" t="s">
        <v>3421</v>
      </c>
      <c r="B47" s="2728" t="s">
        <v>3301</v>
      </c>
      <c r="C47" s="3416" t="str">
        <f ca="1">C48&amp;"+"&amp;C49&amp;"V建"</f>
        <v>722+0.0015V建</v>
      </c>
      <c r="D47" s="2684" t="s">
        <v>3422</v>
      </c>
      <c r="E47" s="200"/>
      <c r="F47" s="2766"/>
      <c r="G47" s="935"/>
      <c r="H47" s="47"/>
      <c r="I47" s="47"/>
      <c r="J47" s="47"/>
      <c r="K47" s="1861"/>
      <c r="L47" s="47"/>
      <c r="M47" s="47"/>
    </row>
    <row r="48" spans="1:37" ht="18" customHeight="1">
      <c r="A48" s="2700" t="s">
        <v>391</v>
      </c>
      <c r="B48" s="186" t="s">
        <v>737</v>
      </c>
      <c r="C48" s="2702">
        <f ca="1">ROUND((C35+C42)*F48,0)</f>
        <v>722</v>
      </c>
      <c r="D48" s="206" t="s">
        <v>738</v>
      </c>
      <c r="E48" s="186" t="s">
        <v>739</v>
      </c>
      <c r="F48" s="2767">
        <f ca="1">INDIRECT("'数据-取费表'!q"&amp;$G$1)</f>
        <v>0.05</v>
      </c>
      <c r="G48" s="935"/>
      <c r="H48" s="47"/>
      <c r="I48" s="47"/>
      <c r="J48" s="47"/>
      <c r="K48" s="1861"/>
      <c r="L48" s="47"/>
      <c r="M48" s="47"/>
    </row>
    <row r="49" spans="1:18" ht="18" customHeight="1">
      <c r="A49" s="2700" t="s">
        <v>393</v>
      </c>
      <c r="B49" s="186" t="s">
        <v>743</v>
      </c>
      <c r="C49" s="3417">
        <f ca="1">ROUND(F43*F48,4)</f>
        <v>1.5E-3</v>
      </c>
      <c r="D49" s="206" t="s">
        <v>744</v>
      </c>
      <c r="E49" s="186"/>
      <c r="F49" s="2765"/>
      <c r="G49" s="935"/>
      <c r="H49" s="47"/>
      <c r="I49" s="47"/>
      <c r="J49" s="47"/>
      <c r="K49" s="1861"/>
      <c r="L49" s="47"/>
      <c r="M49" s="47"/>
    </row>
    <row r="50" spans="1:18" ht="18" customHeight="1">
      <c r="A50" s="199" t="s">
        <v>3408</v>
      </c>
      <c r="B50" s="2725" t="s">
        <v>3409</v>
      </c>
      <c r="C50" s="2743">
        <f>ROUND(F50/(1+'数据-取费表'!C43),4)</f>
        <v>0</v>
      </c>
      <c r="D50" s="3981" t="s">
        <v>3858</v>
      </c>
      <c r="E50" s="2725"/>
      <c r="F50" s="2767"/>
      <c r="G50" s="935"/>
      <c r="H50" s="47"/>
      <c r="I50" s="47"/>
      <c r="J50" s="47"/>
      <c r="K50" s="1861"/>
      <c r="L50" s="47"/>
      <c r="M50" s="47"/>
    </row>
    <row r="51" spans="1:18" s="935" customFormat="1" ht="18" customHeight="1">
      <c r="A51" s="199" t="s">
        <v>3410</v>
      </c>
      <c r="B51" s="2725" t="s">
        <v>3411</v>
      </c>
      <c r="C51" s="2743">
        <f ca="1">ROUND((C35+C42+C45+C48)/(1-F43-C46-C49-C50),0)</f>
        <v>16266</v>
      </c>
      <c r="D51" s="2739" t="s">
        <v>3433</v>
      </c>
      <c r="E51" s="2725"/>
      <c r="F51" s="2767"/>
      <c r="K51" s="951"/>
    </row>
    <row r="52" spans="1:18" s="935" customFormat="1" ht="18" customHeight="1">
      <c r="A52" s="2729" t="s">
        <v>3423</v>
      </c>
      <c r="B52" s="2728" t="s">
        <v>3425</v>
      </c>
      <c r="C52" s="2743">
        <f ca="1">ROUND(C51*(1-F52),0)</f>
        <v>0</v>
      </c>
      <c r="D52" s="2725" t="s">
        <v>3870</v>
      </c>
      <c r="E52" s="2725" t="s">
        <v>3871</v>
      </c>
      <c r="F52" s="2767">
        <f ca="1">INDIRECT("'数据-取费表'!y"&amp;$G$1)</f>
        <v>1</v>
      </c>
      <c r="K52" s="951"/>
    </row>
    <row r="53" spans="1:18" s="935" customFormat="1" ht="18" customHeight="1" thickBot="1">
      <c r="A53" s="2730" t="s">
        <v>3426</v>
      </c>
      <c r="B53" s="2738" t="s">
        <v>3431</v>
      </c>
      <c r="C53" s="2754">
        <f ca="1">C51-C52</f>
        <v>16266</v>
      </c>
      <c r="D53" s="2734" t="s">
        <v>3462</v>
      </c>
      <c r="E53" s="217"/>
      <c r="F53" s="2735"/>
      <c r="K53" s="951"/>
    </row>
    <row r="54" spans="1:18" s="935" customFormat="1" ht="18" customHeight="1" thickBot="1">
      <c r="A54" s="949"/>
      <c r="B54" s="949"/>
      <c r="C54" s="950"/>
      <c r="D54" s="949"/>
      <c r="E54" s="949"/>
      <c r="F54" s="949"/>
      <c r="I54" s="2756" t="s">
        <v>3441</v>
      </c>
      <c r="J54" s="494"/>
      <c r="O54" s="1965" t="s">
        <v>791</v>
      </c>
      <c r="P54" s="1008"/>
      <c r="Q54" s="1008"/>
      <c r="R54" s="1008"/>
    </row>
    <row r="55" spans="1:18" s="935" customFormat="1" ht="13.5" thickBot="1">
      <c r="A55" s="953" t="s">
        <v>792</v>
      </c>
      <c r="C55" s="3878">
        <f ca="1">IF(D2="含税",C83-C31,C80-C28)</f>
        <v>-12458</v>
      </c>
      <c r="D55" s="955" t="str">
        <f>C2</f>
        <v>万元</v>
      </c>
      <c r="E55" s="949"/>
      <c r="F55" s="949"/>
      <c r="I55" s="956" t="s">
        <v>793</v>
      </c>
      <c r="J55" s="957"/>
      <c r="K55" s="958"/>
      <c r="L55" s="3897" t="str">
        <f ca="1">IF(M56="住宅",0,IF(L57&gt;J60,L69,J69))</f>
        <v>0</v>
      </c>
      <c r="O55" s="4035" t="s">
        <v>1323</v>
      </c>
      <c r="P55" s="4036" t="s">
        <v>3895</v>
      </c>
      <c r="Q55" s="4037" t="s">
        <v>3896</v>
      </c>
      <c r="R55" s="4037" t="s">
        <v>3897</v>
      </c>
    </row>
    <row r="56" spans="1:18" s="935" customFormat="1" ht="13.5" thickBot="1">
      <c r="A56" s="4022" t="s">
        <v>3866</v>
      </c>
      <c r="B56" s="4023" t="s">
        <v>3867</v>
      </c>
      <c r="C56" s="3996" t="s">
        <v>3805</v>
      </c>
      <c r="D56" s="4023" t="s">
        <v>3868</v>
      </c>
      <c r="E56" s="4024" t="s">
        <v>3869</v>
      </c>
      <c r="F56" s="701"/>
      <c r="G56" s="490"/>
      <c r="I56" s="963" t="s">
        <v>798</v>
      </c>
      <c r="J56" s="964" t="s">
        <v>4087</v>
      </c>
      <c r="K56" s="965" t="s">
        <v>799</v>
      </c>
      <c r="L56" s="3898">
        <f ca="1">INDIRECT("'数据-取费表'!d"&amp;$G$1)</f>
        <v>50</v>
      </c>
      <c r="M56" s="931" t="str">
        <f>IF(ISNUMBER(FIND("住宅",C1)),"住宅","非住宅")</f>
        <v>非住宅</v>
      </c>
      <c r="O56" s="4038" t="s">
        <v>397</v>
      </c>
      <c r="P56" s="4039" t="s">
        <v>3898</v>
      </c>
      <c r="Q56" s="4041">
        <f ca="1">C28+J31</f>
        <v>11244</v>
      </c>
      <c r="R56" s="4040" t="s">
        <v>3899</v>
      </c>
    </row>
    <row r="57" spans="1:18" s="935" customFormat="1" ht="42.75" thickBot="1">
      <c r="A57" s="653" t="s">
        <v>432</v>
      </c>
      <c r="B57" s="184" t="s">
        <v>676</v>
      </c>
      <c r="C57" s="4025">
        <f ca="1">ROUND(C58+C62+C64,0)</f>
        <v>0</v>
      </c>
      <c r="D57" s="4002" t="s">
        <v>3872</v>
      </c>
      <c r="E57" s="4026"/>
      <c r="F57" s="638"/>
      <c r="G57" s="490"/>
      <c r="H57" s="491"/>
      <c r="I57" s="970" t="s">
        <v>802</v>
      </c>
      <c r="J57" s="971" t="s">
        <v>4088</v>
      </c>
      <c r="K57" s="972" t="s">
        <v>803</v>
      </c>
      <c r="L57" s="3887">
        <f ca="1">INDIRECT("'数据-取费表'!f"&amp;$G$1)</f>
        <v>44.15</v>
      </c>
      <c r="O57" s="4038" t="s">
        <v>398</v>
      </c>
      <c r="P57" s="4039" t="s">
        <v>3900</v>
      </c>
      <c r="Q57" s="4041" t="str">
        <f ca="1">J69</f>
        <v>0</v>
      </c>
      <c r="R57" s="4040" t="s">
        <v>3901</v>
      </c>
    </row>
    <row r="58" spans="1:18" s="935" customFormat="1" ht="15.75" thickBot="1">
      <c r="A58" s="3864" t="s">
        <v>392</v>
      </c>
      <c r="B58" s="2714" t="s">
        <v>3783</v>
      </c>
      <c r="C58" s="3856">
        <f ca="1">C59-C61</f>
        <v>0</v>
      </c>
      <c r="D58" s="2715" t="s">
        <v>3787</v>
      </c>
      <c r="E58" s="2737" t="s">
        <v>3430</v>
      </c>
      <c r="F58" s="3418"/>
      <c r="H58" s="491"/>
      <c r="I58" s="970" t="s">
        <v>806</v>
      </c>
      <c r="J58" s="3885"/>
      <c r="K58" s="972" t="s">
        <v>807</v>
      </c>
      <c r="L58" s="3899"/>
      <c r="O58" s="976" t="s">
        <v>399</v>
      </c>
      <c r="P58" s="968" t="s">
        <v>808</v>
      </c>
      <c r="Q58" s="3433">
        <f ca="1">C51</f>
        <v>16266</v>
      </c>
      <c r="R58" s="969" t="s">
        <v>801</v>
      </c>
    </row>
    <row r="59" spans="1:18" s="935" customFormat="1" ht="13.5" thickBot="1">
      <c r="A59" s="3871" t="s">
        <v>391</v>
      </c>
      <c r="B59" s="4653" t="s">
        <v>3781</v>
      </c>
      <c r="C59" s="4654">
        <f ca="1">ROUND(F58*F60*F59/10000,2)</f>
        <v>0</v>
      </c>
      <c r="D59" s="4495" t="s">
        <v>3461</v>
      </c>
      <c r="E59" s="698" t="s">
        <v>680</v>
      </c>
      <c r="F59" s="2760">
        <f ca="1">F7</f>
        <v>48081</v>
      </c>
      <c r="H59" s="491"/>
      <c r="I59" s="970" t="s">
        <v>809</v>
      </c>
      <c r="J59" s="3886">
        <f>SUMPRODUCT((I72:I74=J56)*(J71:L71=J57)*(J72:L74))</f>
        <v>60</v>
      </c>
      <c r="K59" s="972" t="s">
        <v>810</v>
      </c>
      <c r="L59" s="3899"/>
      <c r="M59" s="978"/>
      <c r="O59" s="976" t="s">
        <v>400</v>
      </c>
      <c r="P59" s="968" t="s">
        <v>811</v>
      </c>
      <c r="Q59" s="3430" t="e">
        <f ca="1">J67</f>
        <v>#VALUE!</v>
      </c>
      <c r="R59" s="969"/>
    </row>
    <row r="60" spans="1:18" s="935" customFormat="1" ht="13.5" thickBot="1">
      <c r="A60" s="3872"/>
      <c r="B60" s="4653"/>
      <c r="C60" s="4655"/>
      <c r="D60" s="4495"/>
      <c r="E60" s="657" t="str">
        <f ca="1">IF(F60=1,"年",IF(F60=12,"月","天"))</f>
        <v>天</v>
      </c>
      <c r="F60" s="3413">
        <f ca="1">F8</f>
        <v>365</v>
      </c>
      <c r="I60" s="980" t="s">
        <v>812</v>
      </c>
      <c r="J60" s="3887">
        <f>IF(J58="",J59,J58+J59-YEAR('数据-取费表'!B2))</f>
        <v>60</v>
      </c>
      <c r="K60" s="981" t="s">
        <v>813</v>
      </c>
      <c r="L60" s="3876">
        <f ca="1">ROUND(-PV(INDIRECT("'数据-取费表'!h"&amp;$G$1),J60,(C27-C52*C88),0),0)</f>
        <v>10859</v>
      </c>
      <c r="M60" s="983"/>
      <c r="O60" s="976" t="s">
        <v>401</v>
      </c>
      <c r="P60" s="968" t="s">
        <v>814</v>
      </c>
      <c r="Q60" s="3430">
        <f>J61</f>
        <v>7.4999999999999997E-2</v>
      </c>
      <c r="R60" s="969"/>
    </row>
    <row r="61" spans="1:18" s="935" customFormat="1" ht="13.5" thickBot="1">
      <c r="A61" s="3873" t="s">
        <v>393</v>
      </c>
      <c r="B61" s="3572" t="s">
        <v>3782</v>
      </c>
      <c r="C61" s="3857">
        <f ca="1">ROUND(C59*F61,2)</f>
        <v>0</v>
      </c>
      <c r="D61" s="2715" t="s">
        <v>3786</v>
      </c>
      <c r="E61" s="657" t="s">
        <v>682</v>
      </c>
      <c r="F61" s="2762"/>
      <c r="I61" s="984" t="s">
        <v>815</v>
      </c>
      <c r="J61" s="3888">
        <v>7.4999999999999997E-2</v>
      </c>
      <c r="K61" s="984" t="s">
        <v>816</v>
      </c>
      <c r="L61" s="3888"/>
      <c r="O61" s="976" t="s">
        <v>402</v>
      </c>
      <c r="P61" s="968" t="s">
        <v>817</v>
      </c>
      <c r="Q61" s="3429">
        <f ca="1">J62</f>
        <v>41.65</v>
      </c>
      <c r="R61" s="969" t="s">
        <v>818</v>
      </c>
    </row>
    <row r="62" spans="1:18" s="935" customFormat="1" ht="25.5" thickBot="1">
      <c r="A62" s="3874" t="s">
        <v>396</v>
      </c>
      <c r="B62" s="924" t="s">
        <v>683</v>
      </c>
      <c r="C62" s="4087">
        <f ca="1">ROUND(IF(F62="押一",C58/12*F11,IF(F62="押二",C58/12*2*F11,IF(F62="押三",C58/12*3*F11,C63*F11))),2)</f>
        <v>0</v>
      </c>
      <c r="D62" s="59" t="s">
        <v>2018</v>
      </c>
      <c r="E62" s="197" t="s">
        <v>684</v>
      </c>
      <c r="F62" s="3419"/>
      <c r="I62" s="986" t="s">
        <v>819</v>
      </c>
      <c r="J62" s="3889">
        <f ca="1">IF(M56="住宅",IF(D1="——",MAX(J60,L57),MAX(J60,L57-'数据-取费表'!B24)),IF(D1="——",MIN(J60,L57),MIN(J60,L57-'数据-取费表'!B24)))</f>
        <v>41.65</v>
      </c>
      <c r="K62" s="4499" t="s">
        <v>820</v>
      </c>
      <c r="L62" s="4500"/>
      <c r="O62" s="4038" t="s">
        <v>403</v>
      </c>
      <c r="P62" s="4042" t="s">
        <v>3905</v>
      </c>
      <c r="Q62" s="4041">
        <f ca="1">ROUND((Q56+Q57)*(1+F31),0)</f>
        <v>12256</v>
      </c>
      <c r="R62" s="4040" t="s">
        <v>3906</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0"/>
      <c r="K63" s="989"/>
      <c r="L63" s="989"/>
      <c r="O63" s="952" t="s">
        <v>822</v>
      </c>
      <c r="P63" s="932"/>
      <c r="Q63" s="932"/>
      <c r="R63" s="932"/>
    </row>
    <row r="64" spans="1:18" s="935" customFormat="1" ht="13.5" thickBot="1">
      <c r="A64" s="3866" t="s">
        <v>431</v>
      </c>
      <c r="B64" s="920" t="s">
        <v>686</v>
      </c>
      <c r="C64" s="3854"/>
      <c r="D64" s="59"/>
      <c r="E64" s="925"/>
      <c r="F64" s="987"/>
      <c r="I64" s="990" t="s">
        <v>823</v>
      </c>
      <c r="J64" s="3891" t="e">
        <f ca="1">ROUND(IF(J56="钢混",J66/J59,1-(1-2%)*(J59-J66)/J59),3)</f>
        <v>#VALUE!</v>
      </c>
      <c r="K64" s="992" t="s">
        <v>824</v>
      </c>
      <c r="L64" s="993"/>
      <c r="O64" s="4035" t="s">
        <v>1323</v>
      </c>
      <c r="P64" s="4036" t="s">
        <v>3895</v>
      </c>
      <c r="Q64" s="4037" t="s">
        <v>3896</v>
      </c>
      <c r="R64" s="4037" t="s">
        <v>3897</v>
      </c>
    </row>
    <row r="65" spans="1:18" s="935" customFormat="1" ht="25.5" thickTop="1" thickBot="1">
      <c r="A65" s="199" t="s">
        <v>3666</v>
      </c>
      <c r="B65" s="634" t="s">
        <v>697</v>
      </c>
      <c r="C65" s="2743">
        <f ca="1">ROUND(C66+C74+C76+C78,0)</f>
        <v>65</v>
      </c>
      <c r="D65" s="634" t="s">
        <v>3893</v>
      </c>
      <c r="E65" s="637"/>
      <c r="F65" s="638"/>
      <c r="I65" s="996" t="s">
        <v>825</v>
      </c>
      <c r="J65" s="3892" t="s">
        <v>4068</v>
      </c>
      <c r="K65" s="970" t="s">
        <v>826</v>
      </c>
      <c r="L65" s="3887" t="str">
        <f ca="1">IF(L57&lt;J60,"——",L57-J62)</f>
        <v>——</v>
      </c>
      <c r="O65" s="4038" t="s">
        <v>397</v>
      </c>
      <c r="P65" s="4039" t="s">
        <v>3898</v>
      </c>
      <c r="Q65" s="4041">
        <f ca="1">C28+J31</f>
        <v>11244</v>
      </c>
      <c r="R65" s="4040" t="s">
        <v>3899</v>
      </c>
    </row>
    <row r="66" spans="1:18" s="935" customFormat="1" ht="24.75" thickBot="1">
      <c r="A66" s="519" t="s">
        <v>392</v>
      </c>
      <c r="B66" s="2695" t="s">
        <v>3957</v>
      </c>
      <c r="C66" s="4087">
        <f ca="1">ROUND(IF(AND(项目基本情况!B11="自然人",项目基本情况!B10="北京市",M56="住宅"),C58*F66,C67+C71+C72),2)</f>
        <v>15.71</v>
      </c>
      <c r="D66" s="639" t="s">
        <v>3435</v>
      </c>
      <c r="E66" s="639" t="str">
        <f>E14</f>
        <v/>
      </c>
      <c r="F66" s="3837" t="str">
        <f>IF(M56="非住宅","",IF(F58*F59*F60/12/(1+'数据-取费表'!F30)&gt;100000,4%,2.5%))</f>
        <v/>
      </c>
      <c r="I66" s="1002" t="s">
        <v>827</v>
      </c>
      <c r="J66" s="3893" t="str">
        <f ca="1">IF(OR(M56="住宅",J60&lt;L57,J65="是"),"——",J60-L57)</f>
        <v>——</v>
      </c>
      <c r="K66" s="970" t="s">
        <v>828</v>
      </c>
      <c r="L66" s="3900" t="str">
        <f ca="1">IF(L57&lt;J60,"——",IF(L64="比较法",L58,IF(L64="基准地价",L59,L60)))</f>
        <v>——</v>
      </c>
      <c r="O66" s="4038" t="s">
        <v>398</v>
      </c>
      <c r="P66" s="4039" t="s">
        <v>3902</v>
      </c>
      <c r="Q66" s="4043">
        <f ca="1">L69</f>
        <v>0</v>
      </c>
      <c r="R66" s="4040" t="s">
        <v>3903</v>
      </c>
    </row>
    <row r="67" spans="1:18" s="935" customFormat="1" ht="24.75" thickBot="1">
      <c r="A67" s="4091" t="s">
        <v>391</v>
      </c>
      <c r="B67" s="2713" t="s">
        <v>3953</v>
      </c>
      <c r="C67" s="4087">
        <f ca="1">C70</f>
        <v>-0.47</v>
      </c>
      <c r="D67" s="2430" t="s">
        <v>3952</v>
      </c>
      <c r="E67" s="4090"/>
      <c r="F67" s="4122"/>
      <c r="I67" s="1002" t="s">
        <v>830</v>
      </c>
      <c r="J67" s="3894" t="e">
        <f ca="1">IF(J64&lt;0.4,0.4,J64)</f>
        <v>#VALUE!</v>
      </c>
      <c r="K67" s="981" t="s">
        <v>831</v>
      </c>
      <c r="L67" s="3900" t="e">
        <f ca="1">ROUND(POWER(1+L61,L56-L57)*(POWER(1+L61,L57)-1)/(POWER(1+L61,L56)-1),4)</f>
        <v>#DIV/0!</v>
      </c>
      <c r="O67" s="976" t="s">
        <v>399</v>
      </c>
      <c r="P67" s="968" t="s">
        <v>832</v>
      </c>
      <c r="Q67" s="3429">
        <f>IF(L64="比较法",L58,IF(L64="基准地价",L59,0))</f>
        <v>0</v>
      </c>
      <c r="R67" s="969" t="s">
        <v>801</v>
      </c>
    </row>
    <row r="68" spans="1:18" s="935" customFormat="1" ht="24.75" thickBot="1">
      <c r="A68" s="2505" t="s">
        <v>3278</v>
      </c>
      <c r="B68" s="2717" t="s">
        <v>3394</v>
      </c>
      <c r="C68" s="4087">
        <f ca="1">ROUND(C58*F68,2)</f>
        <v>0</v>
      </c>
      <c r="D68" s="994" t="s">
        <v>3844</v>
      </c>
      <c r="E68" s="2721" t="s">
        <v>3396</v>
      </c>
      <c r="F68" s="2765">
        <f>F16</f>
        <v>0.09</v>
      </c>
      <c r="I68" s="1002" t="s">
        <v>833</v>
      </c>
      <c r="J68" s="3895"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30">
        <f>L61</f>
        <v>0</v>
      </c>
      <c r="R68" s="969"/>
    </row>
    <row r="69" spans="1:18" s="935" customFormat="1" ht="16.5" thickBot="1">
      <c r="A69" s="2505" t="s">
        <v>3279</v>
      </c>
      <c r="B69" s="2717" t="s">
        <v>3395</v>
      </c>
      <c r="C69" s="4087">
        <f ca="1">ROUND(C74*F68+((C76+C78)*F69),2)</f>
        <v>3.9</v>
      </c>
      <c r="D69" s="3978" t="s">
        <v>3845</v>
      </c>
      <c r="E69" s="2722"/>
      <c r="F69" s="2765">
        <f t="shared" ref="F69" si="0">F17</f>
        <v>0.06</v>
      </c>
      <c r="I69" s="1005" t="s">
        <v>835</v>
      </c>
      <c r="J69" s="3896" t="str">
        <f ca="1">IF(OR(M56="住宅",J60&lt;L57,J65="是"),"0",ROUND(J68/(1+J61)^J62,0))</f>
        <v>0</v>
      </c>
      <c r="K69" s="1007" t="s">
        <v>836</v>
      </c>
      <c r="L69" s="3896">
        <f ca="1">IF(OR(M56="住宅",L57&lt;J60),0,ROUND(L66*(L67/L68-1),0))</f>
        <v>0</v>
      </c>
      <c r="O69" s="976" t="s">
        <v>401</v>
      </c>
      <c r="P69" s="968" t="s">
        <v>837</v>
      </c>
      <c r="Q69" s="3432" t="e">
        <f ca="1">L67</f>
        <v>#DIV/0!</v>
      </c>
      <c r="R69" s="969" t="s">
        <v>838</v>
      </c>
    </row>
    <row r="70" spans="1:18" s="935" customFormat="1" ht="13.5" thickBot="1">
      <c r="A70" s="2505" t="s">
        <v>3280</v>
      </c>
      <c r="B70" s="2717" t="s">
        <v>3949</v>
      </c>
      <c r="C70" s="4087">
        <f ca="1">ROUND((C68-C69)*F70,2)</f>
        <v>-0.47</v>
      </c>
      <c r="D70" s="2740" t="s">
        <v>3972</v>
      </c>
      <c r="E70" s="186" t="s">
        <v>3973</v>
      </c>
      <c r="F70" s="2765">
        <f>F18</f>
        <v>0.12000000000000001</v>
      </c>
      <c r="I70" s="1008"/>
      <c r="J70" s="1008"/>
      <c r="K70" s="1008"/>
      <c r="L70" s="1008"/>
      <c r="O70" s="976" t="s">
        <v>402</v>
      </c>
      <c r="P70" s="968" t="str">
        <f>K68</f>
        <v>建设期及建筑物耐用年限下的土地年期修正系数Kn</v>
      </c>
      <c r="Q70" s="3432" t="e">
        <f ca="1">L68</f>
        <v>#DIV/0!</v>
      </c>
      <c r="R70" s="969" t="s">
        <v>839</v>
      </c>
    </row>
    <row r="71" spans="1:18" s="935" customFormat="1" ht="25.5" thickBot="1">
      <c r="A71" s="3867" t="s">
        <v>764</v>
      </c>
      <c r="B71" s="2695" t="s">
        <v>3954</v>
      </c>
      <c r="C71" s="4087">
        <f ca="1">IF(项目基本情况!B11="自然人","——",IF(D71="按不含税租金收入（有效毛租金收入）计税",ROUND(C58*F71/(1+'数据-取费表'!C43),2),IF(D71="按房产原值计税",ROUND(F74*F71*0.7,2),INDIRECT("'数据-取费表'!Aj"&amp;$G$1))))</f>
        <v>0</v>
      </c>
      <c r="D71" s="921"/>
      <c r="E71" s="626" t="s">
        <v>695</v>
      </c>
      <c r="F71" s="2765">
        <f t="shared" ref="F71:F73" si="1">F19</f>
        <v>0.12</v>
      </c>
      <c r="I71" s="1009" t="s">
        <v>840</v>
      </c>
      <c r="J71" s="1010" t="s">
        <v>841</v>
      </c>
      <c r="K71" s="1010" t="s">
        <v>842</v>
      </c>
      <c r="L71" s="1010" t="s">
        <v>843</v>
      </c>
      <c r="M71" s="1011" t="s">
        <v>844</v>
      </c>
      <c r="O71" s="4038" t="s">
        <v>403</v>
      </c>
      <c r="P71" s="4042" t="s">
        <v>3905</v>
      </c>
      <c r="Q71" s="4043">
        <f ca="1">ROUND((Q65+Q66)*(1+F31),0)</f>
        <v>12256</v>
      </c>
      <c r="R71" s="4040" t="s">
        <v>3906</v>
      </c>
    </row>
    <row r="72" spans="1:18" s="935" customFormat="1" ht="13.5" thickBot="1">
      <c r="A72" s="4091" t="s">
        <v>767</v>
      </c>
      <c r="B72" s="4083" t="s">
        <v>3955</v>
      </c>
      <c r="C72" s="4088">
        <f ca="1">IF(项目基本情况!B11="自然人","——",ROUND(F72*F73/10000,2))</f>
        <v>16.18</v>
      </c>
      <c r="D72" s="641" t="s">
        <v>714</v>
      </c>
      <c r="E72" s="626" t="s">
        <v>715</v>
      </c>
      <c r="F72" s="3420">
        <f t="shared" si="1"/>
        <v>24</v>
      </c>
      <c r="I72" s="1009" t="s">
        <v>846</v>
      </c>
      <c r="J72" s="223">
        <v>70</v>
      </c>
      <c r="K72" s="223">
        <v>50</v>
      </c>
      <c r="L72" s="223">
        <v>80</v>
      </c>
      <c r="M72" s="1012">
        <v>0.02</v>
      </c>
      <c r="O72" s="952" t="s">
        <v>847</v>
      </c>
      <c r="P72" s="932"/>
      <c r="Q72" s="932"/>
      <c r="R72" s="932"/>
    </row>
    <row r="73" spans="1:18" s="935" customFormat="1" ht="13.5" thickBot="1">
      <c r="A73" s="209"/>
      <c r="B73" s="3858"/>
      <c r="C73" s="4089"/>
      <c r="D73" s="642"/>
      <c r="E73" s="626" t="s">
        <v>719</v>
      </c>
      <c r="F73" s="3028">
        <f t="shared" ca="1" si="1"/>
        <v>6743.2</v>
      </c>
      <c r="I73" s="1009" t="s">
        <v>848</v>
      </c>
      <c r="J73" s="223">
        <v>50</v>
      </c>
      <c r="K73" s="223">
        <v>35</v>
      </c>
      <c r="L73" s="223">
        <v>60</v>
      </c>
      <c r="M73" s="1011">
        <v>0</v>
      </c>
      <c r="O73" s="960" t="s">
        <v>794</v>
      </c>
      <c r="P73" s="961" t="s">
        <v>795</v>
      </c>
      <c r="Q73" s="962" t="s">
        <v>796</v>
      </c>
      <c r="R73" s="962" t="s">
        <v>797</v>
      </c>
    </row>
    <row r="74" spans="1:18" s="935" customFormat="1" ht="13.5" thickBot="1">
      <c r="A74" s="3868" t="s">
        <v>396</v>
      </c>
      <c r="B74" s="625" t="s">
        <v>721</v>
      </c>
      <c r="C74" s="3860">
        <f ca="1">ROUND(F74*F75,2)</f>
        <v>32.53</v>
      </c>
      <c r="D74" s="3862" t="s">
        <v>722</v>
      </c>
      <c r="E74" s="3875" t="s">
        <v>3788</v>
      </c>
      <c r="F74" s="3876">
        <f ca="1">C51</f>
        <v>16266</v>
      </c>
      <c r="I74" s="1009" t="s">
        <v>849</v>
      </c>
      <c r="J74" s="223">
        <v>40</v>
      </c>
      <c r="K74" s="223">
        <v>30</v>
      </c>
      <c r="L74" s="223">
        <v>50</v>
      </c>
      <c r="M74" s="1012">
        <v>0.02</v>
      </c>
      <c r="O74" s="4038" t="s">
        <v>397</v>
      </c>
      <c r="P74" s="4039" t="s">
        <v>3898</v>
      </c>
      <c r="Q74" s="4041">
        <f ca="1">C28+J31</f>
        <v>11244</v>
      </c>
      <c r="R74" s="4040" t="s">
        <v>3899</v>
      </c>
    </row>
    <row r="75" spans="1:18" s="935" customFormat="1" ht="15" thickBot="1">
      <c r="A75" s="3869"/>
      <c r="B75" s="632"/>
      <c r="C75" s="3861"/>
      <c r="D75" s="3863"/>
      <c r="E75" s="626" t="s">
        <v>695</v>
      </c>
      <c r="F75" s="2767">
        <f ca="1">F22</f>
        <v>2E-3</v>
      </c>
      <c r="O75" s="4038" t="s">
        <v>398</v>
      </c>
      <c r="P75" s="4039" t="s">
        <v>3902</v>
      </c>
      <c r="Q75" s="4043">
        <f ca="1">L69</f>
        <v>0</v>
      </c>
      <c r="R75" s="4040" t="s">
        <v>3904</v>
      </c>
    </row>
    <row r="76" spans="1:18" s="935" customFormat="1" ht="13.5" thickBot="1">
      <c r="A76" s="3868" t="s">
        <v>775</v>
      </c>
      <c r="B76" s="625" t="s">
        <v>725</v>
      </c>
      <c r="C76" s="3860">
        <f ca="1">ROUND(F76*F77,2)</f>
        <v>16.27</v>
      </c>
      <c r="D76" s="3862" t="s">
        <v>3432</v>
      </c>
      <c r="E76" s="3875" t="s">
        <v>3431</v>
      </c>
      <c r="F76" s="3877">
        <f ca="1">C53</f>
        <v>16266</v>
      </c>
      <c r="O76" s="967"/>
      <c r="P76" s="968"/>
      <c r="Q76" s="3429"/>
      <c r="R76" s="969"/>
    </row>
    <row r="77" spans="1:18" s="935" customFormat="1" ht="16.5" thickBot="1">
      <c r="A77" s="3870"/>
      <c r="B77" s="632"/>
      <c r="C77" s="3861"/>
      <c r="D77" s="3863"/>
      <c r="E77" s="626" t="s">
        <v>695</v>
      </c>
      <c r="F77" s="2767">
        <f ca="1">F24</f>
        <v>1E-3</v>
      </c>
      <c r="O77" s="976" t="s">
        <v>399</v>
      </c>
      <c r="P77" s="968" t="s">
        <v>832</v>
      </c>
      <c r="Q77" s="3433">
        <f ca="1">L60</f>
        <v>10859</v>
      </c>
      <c r="R77" s="969" t="s">
        <v>852</v>
      </c>
    </row>
    <row r="78" spans="1:18" s="935" customFormat="1" ht="13.5" thickBot="1">
      <c r="A78" s="3870" t="s">
        <v>776</v>
      </c>
      <c r="B78" s="626" t="s">
        <v>711</v>
      </c>
      <c r="C78" s="4087">
        <f ca="1">ROUND(C57*F78,2)</f>
        <v>0</v>
      </c>
      <c r="D78" s="640" t="s">
        <v>3851</v>
      </c>
      <c r="E78" s="626" t="s">
        <v>695</v>
      </c>
      <c r="F78" s="2767">
        <f ca="1">F26</f>
        <v>0.01</v>
      </c>
      <c r="O78" s="976"/>
      <c r="P78" s="968"/>
      <c r="Q78" s="3433"/>
      <c r="R78" s="969"/>
    </row>
    <row r="79" spans="1:18" s="935" customFormat="1" ht="16.5" thickBot="1">
      <c r="A79" s="633" t="s">
        <v>387</v>
      </c>
      <c r="B79" s="643" t="s">
        <v>735</v>
      </c>
      <c r="C79" s="2743">
        <f ca="1">C57-C65</f>
        <v>-65</v>
      </c>
      <c r="D79" s="643" t="s">
        <v>3877</v>
      </c>
      <c r="E79" s="4027"/>
      <c r="F79" s="4028"/>
      <c r="O79" s="976" t="s">
        <v>400</v>
      </c>
      <c r="P79" s="1014" t="s">
        <v>853</v>
      </c>
      <c r="Q79" s="3433">
        <f ca="1">ROUND(Q80-Q81*Q82,0)</f>
        <v>480</v>
      </c>
      <c r="R79" s="969" t="s">
        <v>408</v>
      </c>
    </row>
    <row r="80" spans="1:18" s="935" customFormat="1" ht="13.5" thickBot="1">
      <c r="A80" s="3201" t="s">
        <v>388</v>
      </c>
      <c r="B80" s="624" t="s">
        <v>757</v>
      </c>
      <c r="C80" s="3912">
        <f ca="1">ROUND(C79*(1-((1+F82)/(1+F80))^F81)/(F80-F82),0)</f>
        <v>-1214</v>
      </c>
      <c r="D80" s="4029" t="s">
        <v>3879</v>
      </c>
      <c r="E80" s="634" t="s">
        <v>3880</v>
      </c>
      <c r="F80" s="2767">
        <f ca="1">F28</f>
        <v>4.4999999999999998E-2</v>
      </c>
      <c r="O80" s="976" t="s">
        <v>405</v>
      </c>
      <c r="P80" s="1014" t="s">
        <v>854</v>
      </c>
      <c r="Q80" s="3433">
        <f ca="1">C27</f>
        <v>480</v>
      </c>
      <c r="R80" s="969" t="s">
        <v>801</v>
      </c>
    </row>
    <row r="81" spans="1:18" s="935" customFormat="1" ht="13.5" thickBot="1">
      <c r="A81" s="3202"/>
      <c r="B81" s="628"/>
      <c r="C81" s="4093"/>
      <c r="D81" s="4030" t="s">
        <v>3884</v>
      </c>
      <c r="E81" s="634" t="s">
        <v>3883</v>
      </c>
      <c r="F81" s="2768">
        <f ca="1">F29</f>
        <v>41.65</v>
      </c>
      <c r="O81" s="976" t="s">
        <v>406</v>
      </c>
      <c r="P81" s="1014" t="s">
        <v>855</v>
      </c>
      <c r="Q81" s="3433">
        <f ca="1">C52</f>
        <v>0</v>
      </c>
      <c r="R81" s="969" t="s">
        <v>801</v>
      </c>
    </row>
    <row r="82" spans="1:18" s="935" customFormat="1" ht="13.5" thickBot="1">
      <c r="A82" s="3203"/>
      <c r="B82" s="2783"/>
      <c r="C82" s="2783"/>
      <c r="D82" s="4031"/>
      <c r="E82" s="634" t="s">
        <v>3885</v>
      </c>
      <c r="F82" s="2762"/>
      <c r="O82" s="976" t="s">
        <v>407</v>
      </c>
      <c r="P82" s="1014" t="s">
        <v>856</v>
      </c>
      <c r="Q82" s="3430">
        <f ca="1">C88</f>
        <v>7.0000000000000007E-2</v>
      </c>
      <c r="R82" s="969"/>
    </row>
    <row r="83" spans="1:18" s="935" customFormat="1" ht="13.5" thickBot="1">
      <c r="A83" s="630" t="s">
        <v>389</v>
      </c>
      <c r="B83" s="2742" t="s">
        <v>3436</v>
      </c>
      <c r="C83" s="3853">
        <f ca="1">ROUND(C80*(1+F31),0)</f>
        <v>-1323</v>
      </c>
      <c r="D83" s="4032" t="str">
        <f>D31</f>
        <v>其他类型公式—收益价值×（1+9%）</v>
      </c>
      <c r="E83" s="1018"/>
      <c r="F83" s="4033"/>
      <c r="O83" s="976" t="s">
        <v>401</v>
      </c>
      <c r="P83" s="968" t="s">
        <v>834</v>
      </c>
      <c r="Q83" s="3430">
        <f>L61</f>
        <v>0</v>
      </c>
      <c r="R83" s="969"/>
    </row>
    <row r="84" spans="1:18" ht="16.5" thickBot="1">
      <c r="A84" s="647" t="s">
        <v>390</v>
      </c>
      <c r="B84" s="648" t="s">
        <v>759</v>
      </c>
      <c r="C84" s="2754">
        <f ca="1">ROUND(C83*10000/F84,0)</f>
        <v>-275</v>
      </c>
      <c r="D84" s="4034" t="s">
        <v>3888</v>
      </c>
      <c r="E84" s="648" t="s">
        <v>3889</v>
      </c>
      <c r="F84" s="2769">
        <f ca="1">F32</f>
        <v>48081</v>
      </c>
      <c r="G84" s="935"/>
      <c r="H84" s="935"/>
      <c r="O84" s="976" t="s">
        <v>402</v>
      </c>
      <c r="P84" s="968" t="s">
        <v>837</v>
      </c>
      <c r="Q84" s="4044" t="e">
        <f ca="1">L67</f>
        <v>#DIV/0!</v>
      </c>
      <c r="R84" s="969" t="s">
        <v>838</v>
      </c>
    </row>
    <row r="85" spans="1:18" ht="13.5" thickBot="1">
      <c r="A85" s="935"/>
      <c r="B85" s="494"/>
      <c r="C85" s="494"/>
      <c r="D85" s="935"/>
      <c r="E85" s="935"/>
      <c r="F85" s="935"/>
      <c r="O85" s="976" t="s">
        <v>409</v>
      </c>
      <c r="P85" s="968" t="str">
        <f>K68</f>
        <v>建设期及建筑物耐用年限下的土地年期修正系数Kn</v>
      </c>
      <c r="Q85" s="4044" t="e">
        <f ca="1">L68</f>
        <v>#DIV/0!</v>
      </c>
      <c r="R85" s="969" t="s">
        <v>839</v>
      </c>
    </row>
    <row r="86" spans="1:18" ht="25.5" thickBot="1">
      <c r="A86" s="935"/>
      <c r="B86" s="168" t="s">
        <v>857</v>
      </c>
      <c r="C86" s="1016"/>
      <c r="D86" s="935"/>
      <c r="E86" s="935"/>
      <c r="F86" s="935"/>
      <c r="K86" s="951"/>
      <c r="L86" s="935"/>
      <c r="O86" s="4038" t="s">
        <v>403</v>
      </c>
      <c r="P86" s="4042" t="s">
        <v>3905</v>
      </c>
      <c r="Q86" s="4041">
        <f ca="1">ROUND((Q74+Q75)*(1+F31),0)</f>
        <v>12256</v>
      </c>
      <c r="R86" s="4040" t="s">
        <v>3906</v>
      </c>
    </row>
    <row r="87" spans="1:18">
      <c r="A87" s="935"/>
      <c r="B87" s="222" t="s">
        <v>778</v>
      </c>
      <c r="C87" s="2831">
        <f ca="1">ROUND(C53*C88,0)</f>
        <v>1139</v>
      </c>
      <c r="D87" s="935"/>
      <c r="E87" s="935"/>
      <c r="F87" s="935"/>
      <c r="I87" s="935"/>
      <c r="J87" s="935"/>
      <c r="K87" s="951"/>
      <c r="L87" s="935"/>
    </row>
    <row r="88" spans="1:18">
      <c r="B88" s="224" t="s">
        <v>779</v>
      </c>
      <c r="C88" s="2727">
        <f ca="1">INDIRECT("'数据-取费表'!j"&amp;$G$1)</f>
        <v>7.0000000000000007E-2</v>
      </c>
      <c r="I88" s="935"/>
      <c r="J88" s="935"/>
      <c r="K88" s="951"/>
      <c r="L88" s="935"/>
    </row>
    <row r="89" spans="1:18">
      <c r="B89" s="226" t="s">
        <v>780</v>
      </c>
      <c r="C89" s="227"/>
    </row>
    <row r="90" spans="1:18">
      <c r="B90" s="165" t="s">
        <v>781</v>
      </c>
      <c r="C90" s="228"/>
    </row>
    <row r="91" spans="1:18">
      <c r="B91" s="222" t="s">
        <v>782</v>
      </c>
      <c r="C91" s="2832">
        <f ca="1">1-C92</f>
        <v>-1.3730000000000002</v>
      </c>
    </row>
    <row r="92" spans="1:18">
      <c r="B92" s="222" t="s">
        <v>783</v>
      </c>
      <c r="C92" s="2832">
        <f ca="1">ROUND(C87/C27,3)</f>
        <v>2.3730000000000002</v>
      </c>
    </row>
    <row r="93" spans="1:18">
      <c r="B93" s="165" t="s">
        <v>784</v>
      </c>
      <c r="C93" s="133"/>
    </row>
    <row r="94" spans="1:18">
      <c r="B94" s="168" t="s">
        <v>785</v>
      </c>
      <c r="C94" s="2833">
        <f ca="1">1-C95</f>
        <v>-0.44700000000000006</v>
      </c>
    </row>
    <row r="95" spans="1:18">
      <c r="B95" s="168" t="s">
        <v>786</v>
      </c>
      <c r="C95" s="2832">
        <f ca="1">ROUND(C53/(C28+J31+L55),3)</f>
        <v>1.4470000000000001</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5" type="noConversion"/>
  <conditionalFormatting sqref="C11">
    <cfRule type="expression" dxfId="10" priority="3">
      <formula>$F$10="自定义"</formula>
    </cfRule>
  </conditionalFormatting>
  <conditionalFormatting sqref="C63">
    <cfRule type="expression" dxfId="9" priority="1">
      <formula>$F$62="自定义"</formula>
    </cfRule>
  </conditionalFormatting>
  <conditionalFormatting sqref="I64 I69">
    <cfRule type="expression" dxfId="8" priority="5">
      <formula>$J$60&gt;$L$57</formula>
    </cfRule>
  </conditionalFormatting>
  <conditionalFormatting sqref="J11">
    <cfRule type="expression" dxfId="7" priority="2">
      <formula>$M$10="自定义"</formula>
    </cfRule>
  </conditionalFormatting>
  <conditionalFormatting sqref="K64 K69">
    <cfRule type="expression" dxfId="6" priority="4">
      <formula>$L$57&gt;$J$60</formula>
    </cfRule>
  </conditionalFormatting>
  <dataValidations count="11">
    <dataValidation type="list" allowBlank="1" showInputMessage="1" showErrorMessage="1" sqref="D31" xr:uid="{D8F4CB88-8FEC-4005-B7B5-F32DEBF1BF8E}">
      <formula1>"存量住宅公式—收益价值×（1+3%）,其他类型公式—收益价值×（1+9%）"</formula1>
    </dataValidation>
    <dataValidation type="list" allowBlank="1" showInputMessage="1" showErrorMessage="1" sqref="D2" xr:uid="{79281910-70DA-474C-AAB9-FEC92E602425}">
      <formula1>"含税,不含税"</formula1>
    </dataValidation>
    <dataValidation type="list" allowBlank="1" showInputMessage="1" showErrorMessage="1" sqref="D1" xr:uid="{9082A01A-5671-43C1-B8BB-E4E266EC5B74}">
      <formula1>"在建（套用方法）,土地（套用方法）,——"</formula1>
    </dataValidation>
    <dataValidation type="list" allowBlank="1" showInputMessage="1" showErrorMessage="1" sqref="M10 F10 F62" xr:uid="{778B7E37-A399-477C-8E7B-2E05FBCEA9CC}">
      <formula1>"押一,押二,押三,自定义"</formula1>
    </dataValidation>
    <dataValidation type="list" allowBlank="1" showInputMessage="1" showErrorMessage="1" sqref="L64" xr:uid="{DE533014-A49C-46B1-952D-C619AA0B2D1F}">
      <formula1>"比较法,基准地价,收益还原"</formula1>
    </dataValidation>
    <dataValidation type="list" allowBlank="1" showInputMessage="1" showErrorMessage="1" sqref="J65" xr:uid="{E5E88011-B266-4BEC-968D-9751BCEC1079}">
      <formula1>估价范围判定</formula1>
    </dataValidation>
    <dataValidation type="list" allowBlank="1" showInputMessage="1" showErrorMessage="1" sqref="J57" xr:uid="{A583CDDA-F05D-45DE-B133-2F58294605D3}">
      <formula1>"非生产用房,生产用房,受腐蚀的生产用房"</formula1>
    </dataValidation>
    <dataValidation type="list" allowBlank="1" showInputMessage="1" showErrorMessage="1" sqref="J56" xr:uid="{3B847AA9-035E-4137-AD62-DDCAB990C851}">
      <formula1>"钢,钢混,砖混"</formula1>
    </dataValidation>
    <dataValidation type="list" allowBlank="1" showInputMessage="1" showErrorMessage="1" sqref="C1" xr:uid="{6DEF7D35-023F-42FE-AB9F-31C1ACFE5A68}">
      <formula1>项目类型</formula1>
    </dataValidation>
    <dataValidation type="list" allowBlank="1" showInputMessage="1" showErrorMessage="1" sqref="D71 D19" xr:uid="{0281770B-688B-48E1-BBCA-B738BF4394C4}">
      <formula1>"按不含税租金收入（有效毛租金收入）计税,按房产原值计税,按票据"</formula1>
    </dataValidation>
    <dataValidation type="list" allowBlank="1" showInputMessage="1" showErrorMessage="1" sqref="K19" xr:uid="{987803E7-7EA3-4354-8C5C-48F7C90BCA2E}">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2"/>
      <c r="G1" s="2032"/>
      <c r="H1" s="2032"/>
      <c r="I1" s="2032"/>
      <c r="J1" s="2032"/>
      <c r="K1" s="2032"/>
      <c r="L1" s="2032"/>
      <c r="M1" s="2032"/>
      <c r="N1" s="2032"/>
      <c r="O1" s="2032"/>
      <c r="P1" s="2032"/>
    </row>
    <row r="2" spans="1:16" ht="15.75">
      <c r="A2" s="1574" t="s">
        <v>1978</v>
      </c>
      <c r="B2" s="2922" t="e">
        <f ca="1">SUMIF(B6:B13,"&lt;&gt;#ref!",B6:B13)</f>
        <v>#DIV/0!</v>
      </c>
      <c r="C2" s="1574" t="s">
        <v>1979</v>
      </c>
      <c r="D2" s="1574" t="s">
        <v>1980</v>
      </c>
      <c r="E2" s="2923">
        <f ca="1">SUMIF(E6:E13,"&lt;&gt;#ref!",E6:E13)</f>
        <v>0</v>
      </c>
      <c r="F2" s="2032"/>
      <c r="G2" s="2032"/>
      <c r="H2" s="2032"/>
      <c r="I2" s="2032"/>
      <c r="J2" s="2032"/>
      <c r="K2" s="2032"/>
      <c r="L2" s="2032"/>
      <c r="M2" s="2032"/>
      <c r="N2" s="2032"/>
      <c r="O2" s="2032"/>
      <c r="P2" s="2032"/>
    </row>
    <row r="3" spans="1:16" ht="15.75">
      <c r="A3" s="1574" t="s">
        <v>1981</v>
      </c>
      <c r="B3" s="2922" t="e">
        <f ca="1">ROUND(B2*10000/E2,0)</f>
        <v>#DIV/0!</v>
      </c>
      <c r="C3" s="1574" t="s">
        <v>1987</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1982</v>
      </c>
      <c r="B5" s="1887" t="s">
        <v>1983</v>
      </c>
      <c r="C5" s="1575"/>
      <c r="D5" s="2032"/>
      <c r="E5" s="1888" t="s">
        <v>1984</v>
      </c>
      <c r="F5" s="2032"/>
      <c r="G5" s="2032"/>
      <c r="H5" s="2032"/>
      <c r="I5" s="2032"/>
      <c r="J5" s="2032"/>
      <c r="K5" s="2032"/>
      <c r="L5" s="2032"/>
      <c r="M5" s="2032"/>
      <c r="N5" s="2032"/>
      <c r="O5" s="2032"/>
      <c r="P5" s="2032"/>
    </row>
    <row r="6" spans="1:16" ht="15.75">
      <c r="A6" s="1886" t="s">
        <v>1985</v>
      </c>
      <c r="B6" s="2922" t="e">
        <f ca="1">SUMIF(INDIRECT("'"&amp;A6&amp;"'"&amp;"!A:A"),"总价",INDIRECT("'"&amp;A6&amp;"'"&amp;"!B:B"))</f>
        <v>#DIV/0!</v>
      </c>
      <c r="C6" s="1574" t="s">
        <v>1979</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1979</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1979</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1979</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1979</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1979</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1979</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1979</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P40" sqref="P40"/>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0</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23" t="e">
        <f>C30</f>
        <v>#DIV/0!</v>
      </c>
      <c r="C2" s="1441" t="s">
        <v>1840</v>
      </c>
      <c r="D2" s="68" t="s">
        <v>1841</v>
      </c>
      <c r="E2" s="2468"/>
      <c r="F2" s="68" t="s">
        <v>1842</v>
      </c>
      <c r="G2" s="3541">
        <f>IF(E2="商业",项目基本情况!B37,IF(E2="办公",项目基本情况!C37,IF(E2="住宅",项目基本情况!D37,IF(E2="工业",项目基本情况!E37,项目基本情况!F37))))</f>
        <v>0</v>
      </c>
      <c r="H2" s="68" t="s">
        <v>1843</v>
      </c>
      <c r="I2" s="3541">
        <f>IF(E2="商业",项目基本情况!B38,IF(E2="办公",项目基本情况!C38,IF(E2="住宅",项目基本情况!D38,IF(E2="工业",项目基本情况!E38,项目基本情况!F38))))</f>
        <v>0</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0</v>
      </c>
      <c r="T2" s="4161" t="e">
        <f t="shared" ref="T2:T16" si="0">ROUND($C$5*$C$22*$C$23*$C$24*S2*$C$28,0)</f>
        <v>#DIV/0!</v>
      </c>
      <c r="U2" s="4162"/>
      <c r="V2" s="4161" t="e">
        <f>ROUND(T2*U2/10000,0)</f>
        <v>#DIV/0!</v>
      </c>
      <c r="W2" s="804"/>
      <c r="X2" s="804"/>
      <c r="Y2" s="804"/>
      <c r="Z2" s="804"/>
      <c r="AA2" s="804"/>
      <c r="AB2" s="804"/>
      <c r="AC2" s="805"/>
      <c r="AD2" s="806"/>
      <c r="AE2" s="806"/>
      <c r="AF2" s="806"/>
      <c r="AG2" s="806"/>
      <c r="AH2" s="806"/>
      <c r="AI2" s="806"/>
      <c r="AJ2" s="807"/>
    </row>
    <row r="3" spans="1:36" ht="15.75">
      <c r="A3" s="98" t="s">
        <v>1845</v>
      </c>
      <c r="B3" s="2523" t="e">
        <f>ROUND(B2*10000/D1,0)</f>
        <v>#DIV/0!</v>
      </c>
      <c r="C3" s="1441" t="s">
        <v>1846</v>
      </c>
      <c r="D3" s="68" t="s">
        <v>1847</v>
      </c>
      <c r="E3" s="2467"/>
      <c r="F3" s="1443"/>
      <c r="G3" s="4134">
        <f>IF(F3="宗地容积率",'数据-汇总表'!I4,IF(F3="估价对象容积率",'数据-汇总表'!I6,'数据-汇总表'!I7))</f>
        <v>3.5</v>
      </c>
      <c r="H3" s="68" t="s">
        <v>1848</v>
      </c>
      <c r="I3" s="4135"/>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0</v>
      </c>
      <c r="T3" s="4161" t="e">
        <f t="shared" si="0"/>
        <v>#DIV/0!</v>
      </c>
      <c r="U3" s="4162"/>
      <c r="V3" s="4161" t="e">
        <f t="shared" ref="V3:V16" si="1">ROUND(T3*U3/10000,0)</f>
        <v>#DIV/0!</v>
      </c>
      <c r="W3" s="804"/>
      <c r="X3" s="804"/>
      <c r="Y3" s="804"/>
      <c r="Z3" s="804"/>
      <c r="AA3" s="804"/>
      <c r="AB3" s="804"/>
      <c r="AC3" s="805"/>
      <c r="AD3" s="806"/>
      <c r="AE3" s="806"/>
      <c r="AF3" s="806"/>
      <c r="AG3" s="806"/>
      <c r="AH3" s="806"/>
      <c r="AI3" s="806"/>
      <c r="AJ3" s="807"/>
    </row>
    <row r="4" spans="1:36" ht="15.75">
      <c r="A4" s="3394" t="s">
        <v>3622</v>
      </c>
      <c r="B4" s="3393" t="e">
        <f>ROUND(B2*10000/F1,0)</f>
        <v>#DIV/0!</v>
      </c>
      <c r="C4" s="3392" t="s">
        <v>3623</v>
      </c>
      <c r="D4" s="3393" t="e">
        <f>ROUND(B2/(F1/666.67),0)</f>
        <v>#DIV/0!</v>
      </c>
      <c r="E4" s="3392" t="s">
        <v>3624</v>
      </c>
      <c r="F4" s="3390"/>
      <c r="G4" s="3390"/>
      <c r="H4" s="3390"/>
      <c r="I4" s="3390"/>
      <c r="J4" s="3391"/>
      <c r="K4" s="750"/>
      <c r="L4" s="1442" t="s">
        <v>1851</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0</v>
      </c>
      <c r="T4" s="4161" t="e">
        <f t="shared" si="0"/>
        <v>#DIV/0!</v>
      </c>
      <c r="U4" s="4162"/>
      <c r="V4" s="4161"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26" t="e">
        <f>ROUND(IF(E2="商业",C6*C7*C17+C20,(IF(E2="住宅",C6*C13*C17+C20,IF(E2="办公",C6*C12*C17+C20,C6+C20)))),0)</f>
        <v>#DIV/0!</v>
      </c>
      <c r="D5" s="2924" t="e">
        <f>ROUND(C6*C17+C20,0)</f>
        <v>#DIV/0!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v>
      </c>
      <c r="T5" s="4161" t="e">
        <f t="shared" si="0"/>
        <v>#DIV/0!</v>
      </c>
      <c r="U5" s="4162"/>
      <c r="V5" s="4161" t="e">
        <f t="shared" si="1"/>
        <v>#DIV/0!</v>
      </c>
      <c r="W5" s="804"/>
      <c r="X5" s="804"/>
      <c r="Y5" s="804"/>
      <c r="Z5" s="804"/>
      <c r="AA5" s="804"/>
      <c r="AB5" s="804"/>
      <c r="AC5" s="1450"/>
      <c r="AD5" s="1451"/>
      <c r="AE5" s="1451"/>
      <c r="AF5" s="1451"/>
      <c r="AG5" s="1451"/>
      <c r="AH5" s="1451"/>
      <c r="AI5" s="1451"/>
      <c r="AJ5" s="1452"/>
    </row>
    <row r="6" spans="1:36" ht="15.75" thickBot="1">
      <c r="A6" s="1454" t="s">
        <v>1854</v>
      </c>
      <c r="B6" s="1455" t="s">
        <v>1855</v>
      </c>
      <c r="C6" s="4127">
        <f>SUMIF(L1:L12,G2,M1:M12)</f>
        <v>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v>
      </c>
      <c r="T6" s="4161" t="e">
        <f t="shared" si="0"/>
        <v>#DIV/0!</v>
      </c>
      <c r="U6" s="4162"/>
      <c r="V6" s="4161" t="e">
        <f t="shared" si="1"/>
        <v>#DIV/0!</v>
      </c>
      <c r="W6" s="804"/>
      <c r="X6" s="804"/>
      <c r="Y6" s="804"/>
      <c r="Z6" s="804"/>
      <c r="AA6" s="804"/>
      <c r="AB6" s="804"/>
      <c r="AC6" s="1450"/>
      <c r="AD6" s="1451"/>
      <c r="AE6" s="1451"/>
      <c r="AF6" s="1451"/>
      <c r="AG6" s="1451"/>
      <c r="AH6" s="1451"/>
      <c r="AI6" s="1451"/>
      <c r="AJ6" s="1452"/>
    </row>
    <row r="7" spans="1:36" ht="24.75" thickBot="1">
      <c r="A7" s="2397" t="s">
        <v>3115</v>
      </c>
      <c r="B7" s="1460" t="s">
        <v>1857</v>
      </c>
      <c r="C7" s="4128" t="e">
        <f>IF(C8="不临65条商业街",1,ROUND(1+(1.6*E8+1.2*E9+0.8*E10+0.4*E11)*C9,4))</f>
        <v>#DIV/0!</v>
      </c>
      <c r="D7" s="1461" t="s">
        <v>1858</v>
      </c>
      <c r="E7" s="4133"/>
      <c r="F7" s="1462"/>
      <c r="G7" s="1463"/>
      <c r="H7" s="1463"/>
      <c r="I7" s="1463"/>
      <c r="J7" s="1464"/>
      <c r="K7" s="935"/>
      <c r="L7" s="1442" t="s">
        <v>1859</v>
      </c>
      <c r="M7" s="552">
        <f>SUMPRODUCT((区片价!B190:B233=I2)*(区片价!C3:G3=E2)*(区片价!C190:G233))</f>
        <v>0</v>
      </c>
      <c r="N7" s="554">
        <f>SUMPRODUCT((因素修正幅度!B190:B233=I2)*(因素修正幅度!C3:G3=E2)*(因素修正幅度!C190:G233))</f>
        <v>0</v>
      </c>
      <c r="O7" s="750"/>
      <c r="P7" s="750"/>
      <c r="Q7" s="750"/>
      <c r="R7" s="802">
        <v>6</v>
      </c>
      <c r="S7" s="4163"/>
      <c r="T7" s="4161" t="e">
        <f t="shared" si="0"/>
        <v>#DIV/0!</v>
      </c>
      <c r="U7" s="4162"/>
      <c r="V7" s="4161" t="e">
        <f t="shared" si="1"/>
        <v>#DIV/0!</v>
      </c>
      <c r="W7" s="910" t="s">
        <v>1860</v>
      </c>
      <c r="X7" s="4178">
        <f>G2</f>
        <v>0</v>
      </c>
      <c r="Y7" s="803" t="s">
        <v>1861</v>
      </c>
      <c r="Z7" s="4180">
        <f>G3</f>
        <v>3.5</v>
      </c>
      <c r="AA7" s="804"/>
      <c r="AB7" s="804"/>
      <c r="AC7" s="805"/>
      <c r="AD7" s="806"/>
      <c r="AE7" s="806"/>
      <c r="AF7" s="806"/>
      <c r="AG7" s="806"/>
      <c r="AH7" s="806"/>
      <c r="AI7" s="806"/>
      <c r="AJ7" s="807"/>
    </row>
    <row r="8" spans="1:36" ht="15">
      <c r="A8" s="2394"/>
      <c r="B8" s="68" t="s">
        <v>1862</v>
      </c>
      <c r="C8" s="4129"/>
      <c r="D8" s="3659" t="s">
        <v>110</v>
      </c>
      <c r="E8" s="4130"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62"/>
      <c r="T8" s="4161" t="e">
        <f t="shared" si="0"/>
        <v>#DIV/0!</v>
      </c>
      <c r="U8" s="4162"/>
      <c r="V8" s="4161" t="e">
        <f t="shared" si="1"/>
        <v>#DIV/0!</v>
      </c>
      <c r="W8" s="4661" t="s">
        <v>1865</v>
      </c>
      <c r="X8" s="4662"/>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94"/>
      <c r="B9" s="68" t="s">
        <v>1878</v>
      </c>
      <c r="C9" s="3540">
        <f>SUMIF(修正!C73:C140,C8,修正!E73:E140)</f>
        <v>0</v>
      </c>
      <c r="D9" s="3541" t="s">
        <v>111</v>
      </c>
      <c r="E9" s="3541"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62"/>
      <c r="T9" s="4161" t="e">
        <f t="shared" si="0"/>
        <v>#DIV/0!</v>
      </c>
      <c r="U9" s="4162"/>
      <c r="V9" s="4161" t="e">
        <f t="shared" si="1"/>
        <v>#DIV/0!</v>
      </c>
      <c r="W9" s="4663"/>
      <c r="X9" s="2442" t="s">
        <v>3144</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4"/>
      <c r="B10" s="68" t="s">
        <v>1881</v>
      </c>
      <c r="C10" s="3063">
        <f>SUMIF(修正!C73:C140,C8,修正!F73:F140)</f>
        <v>0</v>
      </c>
      <c r="D10" s="3541" t="s">
        <v>112</v>
      </c>
      <c r="E10" s="3541"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62"/>
      <c r="T10" s="4161" t="e">
        <f t="shared" si="0"/>
        <v>#DIV/0!</v>
      </c>
      <c r="U10" s="4162"/>
      <c r="V10" s="4161" t="e">
        <f t="shared" si="1"/>
        <v>#DIV/0!</v>
      </c>
      <c r="W10" s="4663"/>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75" thickBot="1">
      <c r="A11" s="2396"/>
      <c r="B11" s="1469" t="s">
        <v>1884</v>
      </c>
      <c r="C11" s="4131">
        <f>C10/4</f>
        <v>0</v>
      </c>
      <c r="D11" s="4132" t="s">
        <v>113</v>
      </c>
      <c r="E11" s="4132"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62"/>
      <c r="T11" s="4161" t="e">
        <f t="shared" si="0"/>
        <v>#DIV/0!</v>
      </c>
      <c r="U11" s="4162"/>
      <c r="V11" s="4161" t="e">
        <f t="shared" si="1"/>
        <v>#DIV/0!</v>
      </c>
      <c r="W11" s="804"/>
      <c r="X11" s="804"/>
      <c r="Y11" s="804"/>
      <c r="Z11" s="804"/>
      <c r="AA11" s="804"/>
      <c r="AB11" s="804"/>
      <c r="AC11" s="805"/>
      <c r="AD11" s="2040"/>
      <c r="AE11" s="2040"/>
      <c r="AF11" s="2040"/>
      <c r="AG11" s="2040"/>
      <c r="AH11" s="2040"/>
      <c r="AI11" s="2040"/>
      <c r="AJ11" s="2041"/>
    </row>
    <row r="12" spans="1:36" ht="25.5" thickBot="1">
      <c r="A12" s="2397" t="s">
        <v>3116</v>
      </c>
      <c r="B12" s="2398" t="s">
        <v>3117</v>
      </c>
      <c r="C12" s="4136"/>
      <c r="D12" s="2399" t="s">
        <v>3118</v>
      </c>
      <c r="E12" s="2400" t="s">
        <v>3119</v>
      </c>
      <c r="F12" s="2401"/>
      <c r="G12" s="2402"/>
      <c r="H12" s="2402"/>
      <c r="I12" s="2402"/>
      <c r="J12" s="2403"/>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62"/>
      <c r="T12" s="4161" t="e">
        <f t="shared" si="0"/>
        <v>#DIV/0!</v>
      </c>
      <c r="U12" s="4162"/>
      <c r="V12" s="4161" t="e">
        <f t="shared" si="1"/>
        <v>#DIV/0!</v>
      </c>
      <c r="W12" s="804"/>
      <c r="X12" s="804"/>
      <c r="Y12" s="804"/>
      <c r="Z12" s="804"/>
      <c r="AA12" s="804"/>
      <c r="AB12" s="804"/>
      <c r="AC12" s="805"/>
      <c r="AD12" s="2040"/>
      <c r="AE12" s="2040"/>
      <c r="AF12" s="2040"/>
      <c r="AG12" s="2040"/>
      <c r="AH12" s="2040"/>
      <c r="AI12" s="2040"/>
      <c r="AJ12" s="2041"/>
    </row>
    <row r="13" spans="1:36" ht="15.75" thickBot="1">
      <c r="A13" s="2397" t="s">
        <v>3120</v>
      </c>
      <c r="B13" s="1473" t="s">
        <v>1887</v>
      </c>
      <c r="C13" s="4137">
        <f>ROUND(C16*D16*E16*F16*G16*H16*I16*J16,4)</f>
        <v>0</v>
      </c>
      <c r="D13" s="1474" t="s">
        <v>1888</v>
      </c>
      <c r="E13" s="1475"/>
      <c r="F13" s="1475"/>
      <c r="G13" s="1476"/>
      <c r="H13" s="1476"/>
      <c r="I13" s="1476"/>
      <c r="J13" s="1477"/>
      <c r="K13" s="750"/>
      <c r="L13" s="3"/>
      <c r="M13" s="4"/>
      <c r="N13" s="2395"/>
      <c r="O13" s="750"/>
      <c r="P13" s="750"/>
      <c r="Q13" s="750"/>
      <c r="R13" s="802">
        <v>12</v>
      </c>
      <c r="S13" s="4162"/>
      <c r="T13" s="4161" t="e">
        <f t="shared" si="0"/>
        <v>#DIV/0!</v>
      </c>
      <c r="U13" s="4162"/>
      <c r="V13" s="4161" t="e">
        <f t="shared" si="1"/>
        <v>#DIV/0!</v>
      </c>
      <c r="W13" s="804"/>
      <c r="X13" s="804"/>
      <c r="Y13" s="804"/>
      <c r="Z13" s="804"/>
      <c r="AA13" s="804"/>
      <c r="AB13" s="804"/>
      <c r="AC13" s="805"/>
      <c r="AD13" s="2040"/>
      <c r="AE13" s="2040"/>
      <c r="AF13" s="2040"/>
      <c r="AG13" s="2040"/>
      <c r="AH13" s="2040"/>
      <c r="AI13" s="2040"/>
      <c r="AJ13" s="2041"/>
    </row>
    <row r="14" spans="1:36" ht="15">
      <c r="A14" s="2393"/>
      <c r="B14" s="1478" t="s">
        <v>1890</v>
      </c>
      <c r="C14" s="1479" t="s">
        <v>1891</v>
      </c>
      <c r="D14" s="904" t="s">
        <v>1892</v>
      </c>
      <c r="E14" s="18" t="s">
        <v>1893</v>
      </c>
      <c r="F14" s="2404" t="s">
        <v>3121</v>
      </c>
      <c r="G14" s="2404" t="s">
        <v>3121</v>
      </c>
      <c r="H14" s="2404" t="s">
        <v>3121</v>
      </c>
      <c r="I14" s="2404" t="s">
        <v>3121</v>
      </c>
      <c r="J14" s="2404" t="s">
        <v>3121</v>
      </c>
      <c r="K14" s="750"/>
      <c r="L14" s="750"/>
      <c r="M14" s="750"/>
      <c r="N14" s="750"/>
      <c r="O14" s="750"/>
      <c r="P14" s="750"/>
      <c r="Q14" s="750"/>
      <c r="R14" s="802">
        <v>13</v>
      </c>
      <c r="S14" s="4162"/>
      <c r="T14" s="4161" t="e">
        <f t="shared" si="0"/>
        <v>#DIV/0!</v>
      </c>
      <c r="U14" s="4162"/>
      <c r="V14" s="4161"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3122</v>
      </c>
      <c r="G15" s="1522"/>
      <c r="H15" s="2405"/>
      <c r="I15" s="2406"/>
      <c r="J15" s="2407"/>
      <c r="K15" s="750"/>
      <c r="L15" s="750"/>
      <c r="M15" s="750"/>
      <c r="N15" s="750"/>
      <c r="O15" s="750"/>
      <c r="P15" s="750"/>
      <c r="Q15" s="750"/>
      <c r="R15" s="802">
        <v>14</v>
      </c>
      <c r="S15" s="4162"/>
      <c r="T15" s="4161" t="e">
        <f t="shared" si="0"/>
        <v>#DIV/0!</v>
      </c>
      <c r="U15" s="4162"/>
      <c r="V15" s="4161"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1894</v>
      </c>
      <c r="C16" s="4138"/>
      <c r="D16" s="4138"/>
      <c r="E16" s="4138"/>
      <c r="F16" s="4138">
        <v>1</v>
      </c>
      <c r="G16" s="4138">
        <v>1</v>
      </c>
      <c r="H16" s="4138">
        <v>1</v>
      </c>
      <c r="I16" s="4138">
        <v>1</v>
      </c>
      <c r="J16" s="4139">
        <v>1</v>
      </c>
      <c r="K16" s="750"/>
      <c r="L16" s="1439"/>
      <c r="M16" s="1439"/>
      <c r="N16" s="1439"/>
      <c r="O16" s="1439"/>
      <c r="P16" s="1439"/>
      <c r="Q16" s="750"/>
      <c r="R16" s="802">
        <v>15</v>
      </c>
      <c r="S16" s="4162"/>
      <c r="T16" s="4161" t="e">
        <f t="shared" si="0"/>
        <v>#DIV/0!</v>
      </c>
      <c r="U16" s="4162"/>
      <c r="V16" s="4161" t="e">
        <f t="shared" si="1"/>
        <v>#DIV/0!</v>
      </c>
      <c r="W16" s="804"/>
      <c r="X16" s="804"/>
      <c r="Y16" s="804"/>
      <c r="Z16" s="804"/>
      <c r="AA16" s="804"/>
      <c r="AB16" s="804"/>
      <c r="AC16" s="805"/>
      <c r="AD16" s="2040"/>
      <c r="AE16" s="2040"/>
      <c r="AF16" s="2040"/>
      <c r="AG16" s="2040"/>
      <c r="AH16" s="2040"/>
      <c r="AI16" s="2040"/>
      <c r="AJ16" s="2041"/>
    </row>
    <row r="17" spans="1:37">
      <c r="A17" s="2416" t="s">
        <v>3123</v>
      </c>
      <c r="B17" s="2409" t="s">
        <v>3124</v>
      </c>
      <c r="C17" s="4140">
        <f>ROUND(IF(OR(E2="工业",E2="公共服务"),1,IF(AND(E18=0,E19=0),1,IF(AND(E18=J24,E19=G19),0.8,IF(E19=0,1+E17*(-0.2),1+E17*G17*(-0.2))))),4)</f>
        <v>1</v>
      </c>
      <c r="D17" s="2410" t="s">
        <v>3125</v>
      </c>
      <c r="E17" s="2417" t="e">
        <f>ROUND(G18/I18,2)</f>
        <v>#DIV/0!</v>
      </c>
      <c r="F17" s="2410" t="s">
        <v>3128</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1"/>
      <c r="D18" s="2411" t="s">
        <v>3126</v>
      </c>
      <c r="E18" s="2592"/>
      <c r="F18" s="2412" t="s">
        <v>3129</v>
      </c>
      <c r="G18" s="2415">
        <f>ROUND(1-(1/(POWER(1+G24,E18))),4)</f>
        <v>0</v>
      </c>
      <c r="H18" s="2412" t="s">
        <v>3131</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2"/>
      <c r="D19" s="2423" t="s">
        <v>3127</v>
      </c>
      <c r="E19" s="2925"/>
      <c r="F19" s="2424" t="s">
        <v>3130</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64" t="s">
        <v>3132</v>
      </c>
      <c r="B20" s="66" t="s">
        <v>1899</v>
      </c>
      <c r="C20" s="4143" t="e">
        <f>ROUND(IF(F21="与级别开发程度一致",0,(G21-E21)/C21),0)</f>
        <v>#DIV/0!</v>
      </c>
      <c r="D20" s="2426" t="s">
        <v>1903</v>
      </c>
      <c r="E20" s="2427"/>
      <c r="F20" s="4670" t="s">
        <v>1900</v>
      </c>
      <c r="G20" s="4671"/>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65"/>
      <c r="B21" s="1589" t="s">
        <v>1902</v>
      </c>
      <c r="C21" s="4144">
        <f>IF(E3="M4科研用地",SUMPRODUCT((修正!A2:A7=E3)*(修正!B1:M1=G2)*(修正!B2:M7)),SUMPRODUCT((修正!A2:A7=E2)*(修正!B1:M1=G2)*(修正!B2:M7)))</f>
        <v>0</v>
      </c>
      <c r="D21" s="82" t="str">
        <f>IF(OR(G2="八级",G2="九级",G2="十级",G2="十一级",G2="十二级"),"五通一平","七通一平")</f>
        <v>七通一平</v>
      </c>
      <c r="E21" s="4164">
        <f>SUMPRODUCT((修正!B1:M1=G2)*(修正!B17:M17))</f>
        <v>0</v>
      </c>
      <c r="F21" s="1583"/>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1905</v>
      </c>
      <c r="C22" s="4145">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1906</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1907</v>
      </c>
      <c r="E23" s="4166">
        <v>44197</v>
      </c>
      <c r="F23" s="1491" t="s">
        <v>1908</v>
      </c>
      <c r="G23" s="4167">
        <f>'数据-取费表'!B2</f>
        <v>46105</v>
      </c>
      <c r="H23" s="2428"/>
      <c r="I23" s="2429" t="str">
        <f>IF(H23="季度增幅（自定义）",SUMIF(N25:N28,E2,O25:O28),"")</f>
        <v/>
      </c>
      <c r="J23" s="2483"/>
      <c r="K23" s="755"/>
      <c r="L23" s="1492" t="s">
        <v>1909</v>
      </c>
      <c r="M23" s="887">
        <f>ROUND(SUMIF(地价!B2:G2,E2,地价!B16:G16),0)</f>
        <v>0</v>
      </c>
      <c r="N23" s="1493" t="s">
        <v>1910</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47" t="e">
        <f>ROUND(POWER(1+G24,J24-I24)*(POWER(1+G24,I24)-1)/(POWER(1+G24,J24)-1),4)</f>
        <v>#DIV/0!</v>
      </c>
      <c r="D24" s="1497" t="s">
        <v>1912</v>
      </c>
      <c r="E24" s="4165">
        <f>存贷款利率!E28/100</f>
        <v>4.3499999999999997E-2</v>
      </c>
      <c r="F24" s="1497" t="s">
        <v>1904</v>
      </c>
      <c r="G24" s="4168">
        <f>SUMIF(M30:Q30,E2,M33:Q33)</f>
        <v>0</v>
      </c>
      <c r="H24" s="1497" t="s">
        <v>1913</v>
      </c>
      <c r="I24" s="4169" t="e">
        <f>SUMIF('数据-取费表'!C6:C15,E2,'数据-取费表'!F6:F15)/COUNTIF('数据-取费表'!C6:C15,E2)</f>
        <v>#DIV/0!</v>
      </c>
      <c r="J24" s="4170">
        <f>IF(E2="住宅",70,IF(E2="商业",40,50))</f>
        <v>50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8">
        <f>IF(B25="容积率修正",IF(G3&lt;10,D26,J26),C27)</f>
        <v>0</v>
      </c>
      <c r="D25" s="1504"/>
      <c r="E25" s="1504"/>
      <c r="F25" s="1504"/>
      <c r="G25" s="1504"/>
      <c r="H25" s="1504"/>
      <c r="I25" s="1504"/>
      <c r="J25" s="1505"/>
      <c r="K25" s="755"/>
      <c r="L25" s="2039"/>
      <c r="M25" s="2039"/>
      <c r="N25" s="1506" t="s">
        <v>1918</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3133</v>
      </c>
      <c r="D26" s="4159">
        <f>IF(E26=G26,F26,IF(G3&lt;10,ROUND(F26+(H26-F26)*(G3-E26)/(G26-E26),4),"——"))</f>
        <v>0</v>
      </c>
      <c r="E26" s="4159">
        <f>ROUNDDOWN(G3,1)</f>
        <v>3.5</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9">
        <f>ROUNDUP(G3,1)</f>
        <v>3.5</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3134</v>
      </c>
      <c r="J26" s="4160" t="str">
        <f>IF(G3&gt;=10,D115,"——")</f>
        <v>——</v>
      </c>
      <c r="K26" s="755"/>
      <c r="L26" s="2039"/>
      <c r="M26" s="2039"/>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49">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50">
        <f>SUMIF(A47:A101,E2,B47:B101)</f>
        <v>0</v>
      </c>
      <c r="D28" s="1489"/>
      <c r="E28" s="1514"/>
      <c r="F28" s="1514"/>
      <c r="G28" s="1514"/>
      <c r="H28" s="1514"/>
      <c r="I28" s="1514"/>
      <c r="J28" s="1515"/>
      <c r="K28" s="755"/>
      <c r="L28" s="2039"/>
      <c r="M28" s="2039"/>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6" t="s">
        <v>1928</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51" t="e">
        <f>IF(B25="容积率修正",E33+SUM(I37:I42),SUM(V2:V16)+SUM(I37:I42))</f>
        <v>#DIV/0!</v>
      </c>
      <c r="D30" s="3850" t="s">
        <v>3780</v>
      </c>
      <c r="E30" s="1437"/>
      <c r="F30" s="1520"/>
      <c r="G30" s="1437"/>
      <c r="H30" s="1437"/>
      <c r="I30" s="1437"/>
      <c r="J30" s="1521"/>
      <c r="K30" s="750"/>
      <c r="L30" s="2434" t="s">
        <v>1841</v>
      </c>
      <c r="M30" s="2435" t="s">
        <v>1895</v>
      </c>
      <c r="N30" s="2435" t="s">
        <v>1896</v>
      </c>
      <c r="O30" s="2435" t="s">
        <v>1897</v>
      </c>
      <c r="P30" s="2435" t="s">
        <v>1898</v>
      </c>
      <c r="Q30" s="2438" t="s">
        <v>3138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52" t="e">
        <f>E34+SUM(I37:I42)</f>
        <v>#DIV/0!</v>
      </c>
      <c r="D31" s="1523"/>
      <c r="E31" s="1524"/>
      <c r="F31" s="1525"/>
      <c r="G31" s="1524"/>
      <c r="H31" s="1524"/>
      <c r="I31" s="1524"/>
      <c r="J31" s="1526"/>
      <c r="K31" s="750"/>
      <c r="L31" s="2436" t="s">
        <v>1901</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37" t="s">
        <v>1904</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51" t="e">
        <f>ROUND(C5*C22*C23*C24*C25*C28,0)</f>
        <v>#DIV/0!</v>
      </c>
      <c r="D33" s="4153"/>
      <c r="E33" s="2610" t="e">
        <f>ROUND(C33*D33/10000,0)</f>
        <v>#DIV/0!</v>
      </c>
      <c r="F33" s="2430" t="s">
        <v>3136</v>
      </c>
      <c r="G33" s="1534"/>
      <c r="H33" s="1534"/>
      <c r="I33" s="1534"/>
      <c r="J33" s="1535"/>
      <c r="K33" s="750"/>
      <c r="L33" s="2433" t="s">
        <v>3139</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54" t="e">
        <f>ROUND(IF(E2="工业",C33*M42,IF(B25="楼层修正",SUM(V2:V16)*M41*10000/D34,C33*M41)),0)</f>
        <v>#DIV/0!</v>
      </c>
      <c r="D34" s="4155"/>
      <c r="E34" s="2610" t="e">
        <f>ROUND(IF(B25="楼层修正",SUM(V2:V16)*M40,C34*D34/10000),0)</f>
        <v>#DIV/0!</v>
      </c>
      <c r="F34" s="1538" t="s">
        <v>1937</v>
      </c>
      <c r="G34" s="1539"/>
      <c r="H34" s="1539"/>
      <c r="I34" s="1539"/>
      <c r="J34" s="1540"/>
      <c r="K34" s="750"/>
      <c r="L34" s="2433" t="s">
        <v>3140</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31" t="s">
        <v>3137</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3141</v>
      </c>
      <c r="L36" s="2484">
        <f ca="1">'数据-取费表'!B41</f>
        <v>3.1899999999999998E-2</v>
      </c>
      <c r="M36" s="2928">
        <f ca="1">ROUND($L$36*(1+M31),3)</f>
        <v>0.04</v>
      </c>
      <c r="N36" s="2928">
        <f ca="1">ROUND($L$36*(1+N31),3)</f>
        <v>3.7999999999999999E-2</v>
      </c>
      <c r="O36" s="2928">
        <f ca="1">ROUND($L$36*(1+O31),3)</f>
        <v>3.6999999999999998E-2</v>
      </c>
      <c r="P36" s="2928">
        <f ca="1">ROUND($L$36*(1+P31),3)</f>
        <v>3.5000000000000003E-2</v>
      </c>
      <c r="Q36" s="2928">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68"/>
      <c r="B37" s="4181" t="s">
        <v>1941</v>
      </c>
      <c r="C37" s="4151" t="e">
        <f>ROUND(D5*C22*C23*C24*C28*F37,0)</f>
        <v>#DIV/0!</v>
      </c>
      <c r="D37" s="4153"/>
      <c r="E37" s="3088" t="e">
        <f>ROUND(C37*D37/10000,0)</f>
        <v>#DIV/0!</v>
      </c>
      <c r="F37" s="3063">
        <f>SUMIF(修正!A59:A70,G2,修正!B59:B70)</f>
        <v>0</v>
      </c>
      <c r="G37" s="3088" t="e">
        <f>ROUND(IF(E2="工业",C37*$M$42,C37*$M$41),0)</f>
        <v>#DIV/0!</v>
      </c>
      <c r="H37" s="3063">
        <f>D37</f>
        <v>0</v>
      </c>
      <c r="I37" s="3088" t="e">
        <f>ROUND(G37*H37/10000,0)</f>
        <v>#DIV/0!</v>
      </c>
      <c r="J37" s="2184"/>
      <c r="K37" s="2440" t="s">
        <v>3142</v>
      </c>
      <c r="L37" s="2929">
        <f ca="1">L36+K38</f>
        <v>3.6899999999999995E-2</v>
      </c>
      <c r="M37" s="2928">
        <f ca="1">ROUND($L$37*(1+M31),3)</f>
        <v>4.5999999999999999E-2</v>
      </c>
      <c r="N37" s="2928">
        <f t="shared" ref="N37:Q37" ca="1" si="3">ROUND($L$37*(1+N31),3)</f>
        <v>4.3999999999999997E-2</v>
      </c>
      <c r="O37" s="2928">
        <f t="shared" ca="1" si="3"/>
        <v>4.2000000000000003E-2</v>
      </c>
      <c r="P37" s="2928">
        <f t="shared" ca="1" si="3"/>
        <v>4.1000000000000002E-2</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69"/>
      <c r="B38" s="3539" t="s">
        <v>1942</v>
      </c>
      <c r="C38" s="4151" t="e">
        <f>ROUND(D5*C22*C23*C24*C28*F38,0)</f>
        <v>#DIV/0!</v>
      </c>
      <c r="D38" s="4153"/>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69"/>
      <c r="B39" s="3539" t="s">
        <v>3135</v>
      </c>
      <c r="C39" s="4151" t="e">
        <f>ROUND(D5*C22*C23*C24*C28*F39,0)</f>
        <v>#DIV/0!</v>
      </c>
      <c r="D39" s="4153"/>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1943</v>
      </c>
      <c r="C40" s="3088" t="e">
        <f>ROUND(D5*C22*C23*C24*C28*F40,0)</f>
        <v>#DIV/0!</v>
      </c>
      <c r="D40" s="4153"/>
      <c r="E40" s="3088" t="e">
        <f t="shared" si="4"/>
        <v>#DIV/0!</v>
      </c>
      <c r="F40" s="4156">
        <f>SUMIF(修正!A59:A70,G2,修正!E59:E70)</f>
        <v>0</v>
      </c>
      <c r="G40" s="3088" t="e">
        <f>ROUND(IF(E2="工业",C40*$M$42,C40*$M$41),0)</f>
        <v>#DIV/0!</v>
      </c>
      <c r="H40" s="3063">
        <f t="shared" si="5"/>
        <v>0</v>
      </c>
      <c r="I40" s="3088" t="e">
        <f t="shared" si="6"/>
        <v>#DIV/0!</v>
      </c>
      <c r="J40" s="665"/>
      <c r="L40" s="1548" t="s">
        <v>1944</v>
      </c>
      <c r="M40" s="1549"/>
      <c r="Z40" s="751"/>
      <c r="AA40" s="751"/>
      <c r="AB40" s="751"/>
      <c r="AC40" s="751"/>
      <c r="AD40" s="751"/>
      <c r="AE40" s="751"/>
      <c r="AF40" s="751"/>
      <c r="AG40" s="751"/>
      <c r="AH40" s="751"/>
      <c r="AI40" s="751"/>
      <c r="AJ40" s="751"/>
    </row>
    <row r="41" spans="1:37" s="750" customFormat="1">
      <c r="A41" s="1547"/>
      <c r="B41" s="3539" t="s">
        <v>1945</v>
      </c>
      <c r="C41" s="3088" t="e">
        <f>ROUND(D5*C22*C23*C44*C28*F41,0)</f>
        <v>#DIV/0!</v>
      </c>
      <c r="D41" s="4153"/>
      <c r="E41" s="3088" t="e">
        <f t="shared" si="4"/>
        <v>#DIV/0!</v>
      </c>
      <c r="F41" s="4156">
        <f>SUMIF(修正!A59:A70,G2,修正!F59:F70)</f>
        <v>0</v>
      </c>
      <c r="G41" s="3088" t="e">
        <f>ROUND(IF(E2="工业",C41*$M$42,C41*$M$41),0)</f>
        <v>#DIV/0!</v>
      </c>
      <c r="H41" s="3063">
        <f t="shared" si="5"/>
        <v>0</v>
      </c>
      <c r="I41" s="3088" t="e">
        <f t="shared" si="6"/>
        <v>#DIV/0!</v>
      </c>
      <c r="J41" s="665"/>
      <c r="L41" s="2441" t="s">
        <v>3143</v>
      </c>
      <c r="M41" s="1550">
        <v>0.25</v>
      </c>
      <c r="Z41" s="751"/>
      <c r="AA41" s="751"/>
      <c r="AB41" s="751"/>
      <c r="AC41" s="751"/>
      <c r="AD41" s="751"/>
      <c r="AE41" s="751"/>
      <c r="AF41" s="751"/>
      <c r="AG41" s="751"/>
      <c r="AH41" s="751"/>
      <c r="AI41" s="751"/>
      <c r="AJ41" s="751"/>
    </row>
    <row r="42" spans="1:37" s="750" customFormat="1" ht="13.5" thickBot="1">
      <c r="A42" s="1536"/>
      <c r="B42" s="4182" t="s">
        <v>1946</v>
      </c>
      <c r="C42" s="4154" t="e">
        <f>ROUND(D5*C22*C23*C44*C28*F42,0)</f>
        <v>#DIV/0!</v>
      </c>
      <c r="D42" s="4155"/>
      <c r="E42" s="4154" t="e">
        <f t="shared" si="4"/>
        <v>#DIV/0!</v>
      </c>
      <c r="F42" s="4157">
        <f>SUMIF(修正!A59:A70,G2,修正!G59:G70)</f>
        <v>0</v>
      </c>
      <c r="G42" s="4154" t="e">
        <f>ROUND(IF(E2="工业",C42*$M$42,C42*$M$41),0)</f>
        <v>#DIV/0!</v>
      </c>
      <c r="H42" s="4158">
        <f t="shared" si="5"/>
        <v>0</v>
      </c>
      <c r="I42" s="4154" t="e">
        <f t="shared" si="6"/>
        <v>#DIV/0!</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2024</v>
      </c>
      <c r="C44" s="224" t="e">
        <f>ROUND(POWER(1+E44,H44-G44)*(POWER(1+E44,G44)-1)/(POWER(1+E44,H44)-1),4)</f>
        <v>#DIV/0!</v>
      </c>
      <c r="D44" s="69" t="s">
        <v>1904</v>
      </c>
      <c r="E44" s="1581">
        <f>G24</f>
        <v>0</v>
      </c>
      <c r="F44" s="69" t="s">
        <v>1913</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1626</v>
      </c>
      <c r="K49" s="389" t="s">
        <v>1627</v>
      </c>
      <c r="L49" s="389" t="s">
        <v>1628</v>
      </c>
      <c r="M49" s="389" t="s">
        <v>1629</v>
      </c>
      <c r="N49" s="389" t="s">
        <v>1630</v>
      </c>
      <c r="AA49" s="751"/>
      <c r="AB49" s="751"/>
      <c r="AC49" s="751"/>
      <c r="AD49" s="751"/>
      <c r="AE49" s="751"/>
      <c r="AF49" s="751"/>
      <c r="AG49" s="751"/>
      <c r="AH49" s="751"/>
      <c r="AI49" s="751"/>
      <c r="AJ49" s="751"/>
      <c r="AK49" s="751"/>
    </row>
    <row r="50" spans="1:37" s="750" customFormat="1" ht="24.75">
      <c r="A50" s="1560" t="s">
        <v>1957</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14.25">
      <c r="A51" s="1560" t="s">
        <v>1958</v>
      </c>
      <c r="B51" s="905">
        <f>估价对象房地状况!C18</f>
        <v>0</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6">
      <c r="A52" s="2443" t="s">
        <v>3145</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6.75">
      <c r="A53" s="1560" t="s">
        <v>1959</v>
      </c>
      <c r="B53" s="1564" t="s">
        <v>1960</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1961</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4">
      <c r="A55" s="1560" t="s">
        <v>1962</v>
      </c>
      <c r="B55" s="1565" t="s">
        <v>1963</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4">
      <c r="A56" s="1566" t="s">
        <v>1964</v>
      </c>
      <c r="B56" s="886">
        <f>估价对象房地状况!C21</f>
        <v>0</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4">
      <c r="A57" s="1566" t="s">
        <v>1965</v>
      </c>
      <c r="B57" s="905">
        <f>估价对象房地状况!C22</f>
        <v>0</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4.75" thickBot="1">
      <c r="A58" s="1567" t="s">
        <v>1966</v>
      </c>
      <c r="B58" s="1568">
        <f>估价对象房地状况!C20</f>
        <v>0</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1626</v>
      </c>
      <c r="K60" s="389" t="s">
        <v>1627</v>
      </c>
      <c r="L60" s="389" t="s">
        <v>1628</v>
      </c>
      <c r="M60" s="389" t="s">
        <v>1629</v>
      </c>
      <c r="N60" s="389" t="s">
        <v>1630</v>
      </c>
      <c r="AA60" s="751"/>
      <c r="AB60" s="751"/>
      <c r="AC60" s="751"/>
      <c r="AD60" s="751"/>
      <c r="AE60" s="751"/>
      <c r="AF60" s="751"/>
      <c r="AG60" s="751"/>
      <c r="AH60" s="751"/>
      <c r="AI60" s="751"/>
      <c r="AJ60" s="751"/>
      <c r="AK60" s="751"/>
    </row>
    <row r="61" spans="1:37" s="750" customFormat="1" ht="24">
      <c r="A61" s="1560" t="s">
        <v>1969</v>
      </c>
      <c r="B61" s="1563">
        <f>估价对象房地状况!C17</f>
        <v>0</v>
      </c>
      <c r="C61" s="1482"/>
      <c r="D61" s="4184">
        <f t="shared" ref="D61:D69" si="12">SUMIF($J$60:$N$60,C61,J61:N61)</f>
        <v>0</v>
      </c>
      <c r="E61" s="4185">
        <f>ROUND(SUM(D61:D69),4)</f>
        <v>0</v>
      </c>
      <c r="F61" s="4193" t="str">
        <f>IF(E2="办公",SUMIF(L1:L12,G2,N1:N12),"——")</f>
        <v>——</v>
      </c>
      <c r="G61" s="4188"/>
      <c r="H61" s="4189" t="str">
        <f t="shared" ref="H61:H69" si="13">IFERROR(ROUNDDOWN($F$61*I61/2,4),"——")</f>
        <v>——</v>
      </c>
      <c r="I61" s="4190">
        <v>0.25</v>
      </c>
      <c r="J61" s="4191">
        <f t="shared" ref="J61:J69" si="14">K61+$G61</f>
        <v>0</v>
      </c>
      <c r="K61" s="4191">
        <f t="shared" ref="K61:K69" si="15">$L61+$G61</f>
        <v>0</v>
      </c>
      <c r="L61" s="4191">
        <v>0</v>
      </c>
      <c r="M61" s="4191">
        <f t="shared" ref="M61:N69" si="16">L61-$G61</f>
        <v>0</v>
      </c>
      <c r="N61" s="4191">
        <f t="shared" si="16"/>
        <v>0</v>
      </c>
      <c r="AA61" s="751"/>
      <c r="AB61" s="751"/>
      <c r="AC61" s="751"/>
      <c r="AD61" s="751"/>
      <c r="AE61" s="751"/>
      <c r="AF61" s="751"/>
      <c r="AG61" s="751"/>
      <c r="AH61" s="751"/>
      <c r="AI61" s="751"/>
      <c r="AJ61" s="751"/>
      <c r="AK61" s="751"/>
    </row>
    <row r="62" spans="1:37" s="750" customFormat="1" ht="14.25">
      <c r="A62" s="1560" t="s">
        <v>1958</v>
      </c>
      <c r="B62" s="905">
        <f>估价对象房地状况!C18</f>
        <v>0</v>
      </c>
      <c r="C62" s="1482"/>
      <c r="D62" s="4184">
        <f t="shared" si="12"/>
        <v>0</v>
      </c>
      <c r="E62" s="4186"/>
      <c r="F62" s="4193"/>
      <c r="G62" s="4188"/>
      <c r="H62" s="4189" t="str">
        <f t="shared" si="13"/>
        <v>——</v>
      </c>
      <c r="I62" s="4190">
        <v>0.26</v>
      </c>
      <c r="J62" s="4191">
        <f t="shared" si="14"/>
        <v>0</v>
      </c>
      <c r="K62" s="4191">
        <f t="shared" si="15"/>
        <v>0</v>
      </c>
      <c r="L62" s="4191">
        <v>0</v>
      </c>
      <c r="M62" s="4191">
        <f t="shared" si="16"/>
        <v>0</v>
      </c>
      <c r="N62" s="4191">
        <f t="shared" si="16"/>
        <v>0</v>
      </c>
      <c r="AA62" s="751"/>
      <c r="AB62" s="751"/>
      <c r="AC62" s="751"/>
      <c r="AD62" s="751"/>
      <c r="AE62" s="751"/>
      <c r="AF62" s="751"/>
      <c r="AG62" s="751"/>
      <c r="AH62" s="751"/>
      <c r="AI62" s="751"/>
      <c r="AJ62" s="751"/>
      <c r="AK62" s="751"/>
    </row>
    <row r="63" spans="1:37" s="750" customFormat="1" ht="36">
      <c r="A63" s="2443" t="s">
        <v>3145</v>
      </c>
      <c r="B63" s="905">
        <f>估价对象房地状况!C19</f>
        <v>0</v>
      </c>
      <c r="C63" s="1482"/>
      <c r="D63" s="4184">
        <f t="shared" si="12"/>
        <v>0</v>
      </c>
      <c r="E63" s="4186"/>
      <c r="F63" s="4193"/>
      <c r="G63" s="4188"/>
      <c r="H63" s="4189" t="str">
        <f t="shared" si="13"/>
        <v>——</v>
      </c>
      <c r="I63" s="4190">
        <v>0.11</v>
      </c>
      <c r="J63" s="4191">
        <f t="shared" si="14"/>
        <v>0</v>
      </c>
      <c r="K63" s="4191">
        <f t="shared" si="15"/>
        <v>0</v>
      </c>
      <c r="L63" s="4191">
        <v>0</v>
      </c>
      <c r="M63" s="4191">
        <f t="shared" si="16"/>
        <v>0</v>
      </c>
      <c r="N63" s="4191">
        <f t="shared" si="16"/>
        <v>0</v>
      </c>
      <c r="AA63" s="751"/>
      <c r="AB63" s="751"/>
      <c r="AC63" s="751"/>
      <c r="AD63" s="751"/>
      <c r="AE63" s="751"/>
      <c r="AF63" s="751"/>
      <c r="AG63" s="751"/>
      <c r="AH63" s="751"/>
      <c r="AI63" s="751"/>
      <c r="AJ63" s="751"/>
      <c r="AK63" s="751"/>
    </row>
    <row r="64" spans="1:37" s="750" customFormat="1" ht="36.75">
      <c r="A64" s="1560" t="s">
        <v>1959</v>
      </c>
      <c r="B64" s="1564" t="s">
        <v>1960</v>
      </c>
      <c r="C64" s="1482"/>
      <c r="D64" s="4184">
        <f t="shared" si="12"/>
        <v>0</v>
      </c>
      <c r="E64" s="4186"/>
      <c r="F64" s="4193"/>
      <c r="G64" s="4188"/>
      <c r="H64" s="4189" t="str">
        <f t="shared" si="13"/>
        <v>——</v>
      </c>
      <c r="I64" s="4190">
        <v>0.05</v>
      </c>
      <c r="J64" s="4191">
        <f t="shared" si="14"/>
        <v>0</v>
      </c>
      <c r="K64" s="4191">
        <f t="shared" si="15"/>
        <v>0</v>
      </c>
      <c r="L64" s="4191">
        <v>0</v>
      </c>
      <c r="M64" s="4191">
        <f t="shared" si="16"/>
        <v>0</v>
      </c>
      <c r="N64" s="4191">
        <f t="shared" si="16"/>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84">
        <f t="shared" si="12"/>
        <v>0</v>
      </c>
      <c r="E65" s="4186"/>
      <c r="F65" s="4193"/>
      <c r="G65" s="4188"/>
      <c r="H65" s="4189" t="str">
        <f t="shared" si="13"/>
        <v>——</v>
      </c>
      <c r="I65" s="4190">
        <v>0.05</v>
      </c>
      <c r="J65" s="4191">
        <f t="shared" si="14"/>
        <v>0</v>
      </c>
      <c r="K65" s="4191">
        <f t="shared" si="15"/>
        <v>0</v>
      </c>
      <c r="L65" s="4191">
        <v>0</v>
      </c>
      <c r="M65" s="4191">
        <f t="shared" si="16"/>
        <v>0</v>
      </c>
      <c r="N65" s="4191">
        <f t="shared" si="16"/>
        <v>0</v>
      </c>
      <c r="AA65" s="751"/>
      <c r="AB65" s="751"/>
      <c r="AC65" s="751"/>
      <c r="AD65" s="751"/>
      <c r="AE65" s="751"/>
      <c r="AF65" s="751"/>
      <c r="AG65" s="751"/>
      <c r="AH65" s="751"/>
      <c r="AI65" s="751"/>
      <c r="AJ65" s="751"/>
      <c r="AK65" s="751"/>
    </row>
    <row r="66" spans="1:37" s="750" customFormat="1" ht="24">
      <c r="A66" s="1560" t="s">
        <v>1962</v>
      </c>
      <c r="B66" s="1565" t="s">
        <v>1963</v>
      </c>
      <c r="C66" s="1482"/>
      <c r="D66" s="4184">
        <f t="shared" si="12"/>
        <v>0</v>
      </c>
      <c r="E66" s="4186"/>
      <c r="F66" s="4193"/>
      <c r="G66" s="4188"/>
      <c r="H66" s="4189" t="str">
        <f t="shared" si="13"/>
        <v>——</v>
      </c>
      <c r="I66" s="4190">
        <v>0.06</v>
      </c>
      <c r="J66" s="4191">
        <f t="shared" si="14"/>
        <v>0</v>
      </c>
      <c r="K66" s="4191">
        <f t="shared" si="15"/>
        <v>0</v>
      </c>
      <c r="L66" s="4191">
        <v>0</v>
      </c>
      <c r="M66" s="4191">
        <f t="shared" si="16"/>
        <v>0</v>
      </c>
      <c r="N66" s="4191">
        <f t="shared" si="16"/>
        <v>0</v>
      </c>
      <c r="AA66" s="751"/>
      <c r="AB66" s="751"/>
      <c r="AC66" s="751"/>
      <c r="AD66" s="751"/>
      <c r="AE66" s="751"/>
      <c r="AF66" s="751"/>
      <c r="AG66" s="751"/>
      <c r="AH66" s="751"/>
      <c r="AI66" s="751"/>
      <c r="AJ66" s="751"/>
      <c r="AK66" s="751"/>
    </row>
    <row r="67" spans="1:37" s="750" customFormat="1" ht="24">
      <c r="A67" s="1560" t="s">
        <v>1964</v>
      </c>
      <c r="B67" s="886">
        <f>估价对象房地状况!C21</f>
        <v>0</v>
      </c>
      <c r="C67" s="1482"/>
      <c r="D67" s="4184">
        <f t="shared" si="12"/>
        <v>0</v>
      </c>
      <c r="E67" s="4186"/>
      <c r="F67" s="4193"/>
      <c r="G67" s="4188"/>
      <c r="H67" s="4189" t="str">
        <f t="shared" si="13"/>
        <v>——</v>
      </c>
      <c r="I67" s="4190">
        <v>0.06</v>
      </c>
      <c r="J67" s="4191">
        <f t="shared" si="14"/>
        <v>0</v>
      </c>
      <c r="K67" s="4191">
        <f t="shared" si="15"/>
        <v>0</v>
      </c>
      <c r="L67" s="4191">
        <v>0</v>
      </c>
      <c r="M67" s="4191">
        <f t="shared" si="16"/>
        <v>0</v>
      </c>
      <c r="N67" s="4191">
        <f t="shared" si="16"/>
        <v>0</v>
      </c>
      <c r="AA67" s="751"/>
      <c r="AB67" s="751"/>
      <c r="AC67" s="751"/>
      <c r="AD67" s="751"/>
      <c r="AE67" s="751"/>
      <c r="AF67" s="751"/>
      <c r="AG67" s="751"/>
      <c r="AH67" s="751"/>
      <c r="AI67" s="751"/>
      <c r="AJ67" s="751"/>
      <c r="AK67" s="751"/>
    </row>
    <row r="68" spans="1:37" s="750" customFormat="1" ht="24">
      <c r="A68" s="1560" t="s">
        <v>1965</v>
      </c>
      <c r="B68" s="886">
        <f>估价对象房地状况!C22</f>
        <v>0</v>
      </c>
      <c r="C68" s="1482"/>
      <c r="D68" s="4184">
        <f t="shared" si="12"/>
        <v>0</v>
      </c>
      <c r="E68" s="4186"/>
      <c r="F68" s="4193"/>
      <c r="G68" s="4188"/>
      <c r="H68" s="4189" t="str">
        <f t="shared" si="13"/>
        <v>——</v>
      </c>
      <c r="I68" s="4190">
        <v>0.09</v>
      </c>
      <c r="J68" s="4191">
        <f t="shared" si="14"/>
        <v>0</v>
      </c>
      <c r="K68" s="4191">
        <f t="shared" si="15"/>
        <v>0</v>
      </c>
      <c r="L68" s="4191">
        <v>0</v>
      </c>
      <c r="M68" s="4191">
        <f t="shared" si="16"/>
        <v>0</v>
      </c>
      <c r="N68" s="4191">
        <f t="shared" si="16"/>
        <v>0</v>
      </c>
      <c r="AA68" s="751"/>
      <c r="AB68" s="751"/>
      <c r="AC68" s="751"/>
      <c r="AD68" s="751"/>
      <c r="AE68" s="751"/>
      <c r="AF68" s="751"/>
      <c r="AG68" s="751"/>
      <c r="AH68" s="751"/>
      <c r="AI68" s="751"/>
      <c r="AJ68" s="751"/>
      <c r="AK68" s="751"/>
    </row>
    <row r="69" spans="1:37" s="750" customFormat="1" ht="24.75" thickBot="1">
      <c r="A69" s="1567" t="s">
        <v>1966</v>
      </c>
      <c r="B69" s="1569">
        <f>估价对象房地状况!C20</f>
        <v>0</v>
      </c>
      <c r="C69" s="1482"/>
      <c r="D69" s="4184">
        <f t="shared" si="12"/>
        <v>0</v>
      </c>
      <c r="E69" s="4187"/>
      <c r="F69" s="4193"/>
      <c r="G69" s="4188"/>
      <c r="H69" s="4189" t="str">
        <f t="shared" si="13"/>
        <v>——</v>
      </c>
      <c r="I69" s="4192">
        <v>7.0000000000000007E-2</v>
      </c>
      <c r="J69" s="4191">
        <f t="shared" si="14"/>
        <v>0</v>
      </c>
      <c r="K69" s="4191">
        <f t="shared" si="15"/>
        <v>0</v>
      </c>
      <c r="L69" s="4191">
        <v>0</v>
      </c>
      <c r="M69" s="4191">
        <f t="shared" si="16"/>
        <v>0</v>
      </c>
      <c r="N69" s="4191">
        <f t="shared" si="16"/>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1626</v>
      </c>
      <c r="K71" s="389" t="s">
        <v>1627</v>
      </c>
      <c r="L71" s="389" t="s">
        <v>1628</v>
      </c>
      <c r="M71" s="389" t="s">
        <v>1629</v>
      </c>
      <c r="N71" s="389" t="s">
        <v>1630</v>
      </c>
      <c r="AA71" s="751"/>
      <c r="AB71" s="751"/>
      <c r="AC71" s="751"/>
      <c r="AD71" s="751"/>
      <c r="AE71" s="751"/>
      <c r="AF71" s="751"/>
      <c r="AG71" s="751"/>
      <c r="AH71" s="751"/>
      <c r="AI71" s="751"/>
      <c r="AJ71" s="751"/>
      <c r="AK71" s="751"/>
    </row>
    <row r="72" spans="1:37" s="750" customFormat="1" ht="24">
      <c r="A72" s="1560" t="s">
        <v>1971</v>
      </c>
      <c r="B72" s="1563">
        <f>估价对象房地状况!C15</f>
        <v>0</v>
      </c>
      <c r="C72" s="1482"/>
      <c r="D72" s="4184">
        <f t="shared" ref="D72:D80" si="17">SUMIF($J$71:$N$71,C72,J72:N72)</f>
        <v>0</v>
      </c>
      <c r="E72" s="4185">
        <f>ROUND(SUM(D72:D80),4)</f>
        <v>0</v>
      </c>
      <c r="F72" s="4193" t="str">
        <f>IF(E2="住宅",SUMIF(L1:L12,G2,N1:N12),"——")</f>
        <v>——</v>
      </c>
      <c r="G72" s="4188"/>
      <c r="H72" s="4189" t="str">
        <f t="shared" ref="H72:H80" si="18">IFERROR(ROUNDDOWN($F$72*I72/2,4),"——")</f>
        <v>——</v>
      </c>
      <c r="I72" s="4190">
        <v>0.2</v>
      </c>
      <c r="J72" s="4191">
        <f t="shared" ref="J72:J80" si="19">K72+$G72</f>
        <v>0</v>
      </c>
      <c r="K72" s="4191">
        <f t="shared" ref="K72:K80" si="20">$L72+$G72</f>
        <v>0</v>
      </c>
      <c r="L72" s="4191">
        <v>0</v>
      </c>
      <c r="M72" s="4191">
        <f t="shared" ref="M72:N80" si="21">L72-$G72</f>
        <v>0</v>
      </c>
      <c r="N72" s="4191">
        <f t="shared" si="21"/>
        <v>0</v>
      </c>
      <c r="AA72" s="751"/>
      <c r="AB72" s="751"/>
      <c r="AC72" s="751"/>
      <c r="AD72" s="751"/>
      <c r="AE72" s="751"/>
      <c r="AF72" s="751"/>
      <c r="AG72" s="751"/>
      <c r="AH72" s="751"/>
      <c r="AI72" s="751"/>
      <c r="AJ72" s="751"/>
      <c r="AK72" s="751"/>
    </row>
    <row r="73" spans="1:37" s="750" customFormat="1" ht="14.25">
      <c r="A73" s="1560" t="s">
        <v>1958</v>
      </c>
      <c r="B73" s="905">
        <f>估价对象房地状况!C18</f>
        <v>0</v>
      </c>
      <c r="C73" s="1482"/>
      <c r="D73" s="4184">
        <f t="shared" si="17"/>
        <v>0</v>
      </c>
      <c r="E73" s="4186"/>
      <c r="F73" s="4193"/>
      <c r="G73" s="4188"/>
      <c r="H73" s="4189" t="str">
        <f t="shared" si="18"/>
        <v>——</v>
      </c>
      <c r="I73" s="4190">
        <v>0.26</v>
      </c>
      <c r="J73" s="4191">
        <f t="shared" si="19"/>
        <v>0</v>
      </c>
      <c r="K73" s="4191">
        <f t="shared" si="20"/>
        <v>0</v>
      </c>
      <c r="L73" s="4191">
        <v>0</v>
      </c>
      <c r="M73" s="4191">
        <f t="shared" si="21"/>
        <v>0</v>
      </c>
      <c r="N73" s="4191">
        <f t="shared" si="21"/>
        <v>0</v>
      </c>
      <c r="AA73" s="751"/>
      <c r="AB73" s="751"/>
      <c r="AC73" s="751"/>
      <c r="AD73" s="751"/>
      <c r="AE73" s="751"/>
      <c r="AF73" s="751"/>
      <c r="AG73" s="751"/>
      <c r="AH73" s="751"/>
      <c r="AI73" s="751"/>
      <c r="AJ73" s="751"/>
      <c r="AK73" s="751"/>
    </row>
    <row r="74" spans="1:37" s="1439" customFormat="1" ht="36">
      <c r="A74" s="2443" t="s">
        <v>3145</v>
      </c>
      <c r="B74" s="905">
        <f>估价对象房地状况!C19</f>
        <v>0</v>
      </c>
      <c r="C74" s="1482"/>
      <c r="D74" s="4184">
        <f t="shared" si="17"/>
        <v>0</v>
      </c>
      <c r="E74" s="4186"/>
      <c r="F74" s="4193"/>
      <c r="G74" s="4188"/>
      <c r="H74" s="4189" t="str">
        <f t="shared" si="18"/>
        <v>——</v>
      </c>
      <c r="I74" s="4190">
        <v>0.1</v>
      </c>
      <c r="J74" s="4191">
        <f t="shared" si="19"/>
        <v>0</v>
      </c>
      <c r="K74" s="4191">
        <f t="shared" si="20"/>
        <v>0</v>
      </c>
      <c r="L74" s="4191">
        <v>0</v>
      </c>
      <c r="M74" s="4191">
        <f t="shared" si="21"/>
        <v>0</v>
      </c>
      <c r="N74" s="4191">
        <f t="shared" si="21"/>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84">
        <f t="shared" si="17"/>
        <v>0</v>
      </c>
      <c r="E75" s="4186"/>
      <c r="F75" s="4193"/>
      <c r="G75" s="4188"/>
      <c r="H75" s="4189" t="str">
        <f t="shared" si="18"/>
        <v>——</v>
      </c>
      <c r="I75" s="4190">
        <v>0.05</v>
      </c>
      <c r="J75" s="4191">
        <f t="shared" si="19"/>
        <v>0</v>
      </c>
      <c r="K75" s="4191">
        <f t="shared" si="20"/>
        <v>0</v>
      </c>
      <c r="L75" s="4191">
        <v>0</v>
      </c>
      <c r="M75" s="4191">
        <f t="shared" si="21"/>
        <v>0</v>
      </c>
      <c r="N75" s="4191">
        <f t="shared" si="21"/>
        <v>0</v>
      </c>
      <c r="O75" s="750"/>
      <c r="P75" s="750"/>
      <c r="Q75" s="1439"/>
      <c r="Z75" s="1440"/>
      <c r="AA75" s="1490"/>
      <c r="AG75" s="752"/>
      <c r="AK75" s="1490"/>
    </row>
    <row r="76" spans="1:37" ht="24">
      <c r="A76" s="1560" t="s">
        <v>1964</v>
      </c>
      <c r="B76" s="886">
        <f>估价对象房地状况!C21</f>
        <v>0</v>
      </c>
      <c r="C76" s="1482"/>
      <c r="D76" s="4184">
        <f t="shared" si="17"/>
        <v>0</v>
      </c>
      <c r="E76" s="4186"/>
      <c r="F76" s="4193"/>
      <c r="G76" s="4188"/>
      <c r="H76" s="4189" t="str">
        <f t="shared" si="18"/>
        <v>——</v>
      </c>
      <c r="I76" s="4190">
        <v>0.08</v>
      </c>
      <c r="J76" s="4191">
        <f t="shared" si="19"/>
        <v>0</v>
      </c>
      <c r="K76" s="4191">
        <f t="shared" si="20"/>
        <v>0</v>
      </c>
      <c r="L76" s="4191">
        <v>0</v>
      </c>
      <c r="M76" s="4191">
        <f t="shared" si="21"/>
        <v>0</v>
      </c>
      <c r="N76" s="4191">
        <f t="shared" si="21"/>
        <v>0</v>
      </c>
      <c r="O76" s="750"/>
      <c r="P76" s="750"/>
      <c r="Z76" s="1440"/>
      <c r="AA76" s="1490"/>
      <c r="AG76" s="752"/>
      <c r="AK76" s="1490"/>
    </row>
    <row r="77" spans="1:37" ht="24">
      <c r="A77" s="1560" t="s">
        <v>1965</v>
      </c>
      <c r="B77" s="886">
        <f>估价对象房地状况!C22</f>
        <v>0</v>
      </c>
      <c r="C77" s="1482"/>
      <c r="D77" s="4184">
        <f t="shared" si="17"/>
        <v>0</v>
      </c>
      <c r="E77" s="4186"/>
      <c r="F77" s="4193"/>
      <c r="G77" s="4188"/>
      <c r="H77" s="4189" t="str">
        <f t="shared" si="18"/>
        <v>——</v>
      </c>
      <c r="I77" s="4190">
        <v>0.09</v>
      </c>
      <c r="J77" s="4191">
        <f t="shared" si="19"/>
        <v>0</v>
      </c>
      <c r="K77" s="4191">
        <f t="shared" si="20"/>
        <v>0</v>
      </c>
      <c r="L77" s="4191">
        <v>0</v>
      </c>
      <c r="M77" s="4191">
        <f t="shared" si="21"/>
        <v>0</v>
      </c>
      <c r="N77" s="4191">
        <f t="shared" si="21"/>
        <v>0</v>
      </c>
      <c r="O77" s="750"/>
      <c r="P77" s="750"/>
      <c r="Z77" s="1440"/>
      <c r="AA77" s="1490"/>
      <c r="AG77" s="752"/>
      <c r="AK77" s="1490"/>
    </row>
    <row r="78" spans="1:37" ht="24">
      <c r="A78" s="1560" t="s">
        <v>1962</v>
      </c>
      <c r="B78" s="1565" t="s">
        <v>1963</v>
      </c>
      <c r="C78" s="1482"/>
      <c r="D78" s="4184">
        <f t="shared" si="17"/>
        <v>0</v>
      </c>
      <c r="E78" s="4186"/>
      <c r="F78" s="4193"/>
      <c r="G78" s="4188"/>
      <c r="H78" s="4189" t="str">
        <f t="shared" si="18"/>
        <v>——</v>
      </c>
      <c r="I78" s="4190">
        <v>0.05</v>
      </c>
      <c r="J78" s="4191">
        <f t="shared" si="19"/>
        <v>0</v>
      </c>
      <c r="K78" s="4191">
        <f t="shared" si="20"/>
        <v>0</v>
      </c>
      <c r="L78" s="4191">
        <v>0</v>
      </c>
      <c r="M78" s="4191">
        <f t="shared" si="21"/>
        <v>0</v>
      </c>
      <c r="N78" s="4191">
        <f t="shared" si="21"/>
        <v>0</v>
      </c>
      <c r="O78" s="1439"/>
      <c r="P78" s="1439"/>
      <c r="Z78" s="1440"/>
      <c r="AA78" s="1490"/>
      <c r="AG78" s="752"/>
      <c r="AK78" s="1490"/>
    </row>
    <row r="79" spans="1:37" ht="24">
      <c r="A79" s="1560" t="s">
        <v>1966</v>
      </c>
      <c r="B79" s="1563">
        <f>估价对象房地状况!C20</f>
        <v>0</v>
      </c>
      <c r="C79" s="1482"/>
      <c r="D79" s="4184">
        <f t="shared" si="17"/>
        <v>0</v>
      </c>
      <c r="E79" s="4186"/>
      <c r="F79" s="4193"/>
      <c r="G79" s="4188"/>
      <c r="H79" s="4189" t="str">
        <f t="shared" si="18"/>
        <v>——</v>
      </c>
      <c r="I79" s="4190">
        <v>0.12</v>
      </c>
      <c r="J79" s="4191">
        <f t="shared" si="19"/>
        <v>0</v>
      </c>
      <c r="K79" s="4191">
        <f t="shared" si="20"/>
        <v>0</v>
      </c>
      <c r="L79" s="4191">
        <v>0</v>
      </c>
      <c r="M79" s="4191">
        <f t="shared" si="21"/>
        <v>0</v>
      </c>
      <c r="N79" s="4191">
        <f t="shared" si="21"/>
        <v>0</v>
      </c>
      <c r="Z79" s="1440"/>
      <c r="AA79" s="1490"/>
      <c r="AG79" s="752"/>
      <c r="AK79" s="1490"/>
    </row>
    <row r="80" spans="1:37" ht="24.75" thickBot="1">
      <c r="A80" s="1567" t="s">
        <v>1973</v>
      </c>
      <c r="B80" s="1571"/>
      <c r="C80" s="1482"/>
      <c r="D80" s="4184">
        <f t="shared" si="17"/>
        <v>0</v>
      </c>
      <c r="E80" s="4187"/>
      <c r="F80" s="4193"/>
      <c r="G80" s="4188"/>
      <c r="H80" s="4189" t="str">
        <f t="shared" si="18"/>
        <v>——</v>
      </c>
      <c r="I80" s="4192">
        <v>0.05</v>
      </c>
      <c r="J80" s="4191">
        <f t="shared" si="19"/>
        <v>0</v>
      </c>
      <c r="K80" s="4191">
        <f t="shared" si="20"/>
        <v>0</v>
      </c>
      <c r="L80" s="4191">
        <v>0</v>
      </c>
      <c r="M80" s="4191">
        <f t="shared" si="21"/>
        <v>0</v>
      </c>
      <c r="N80" s="4191">
        <f t="shared" si="21"/>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1626</v>
      </c>
      <c r="K82" s="389" t="s">
        <v>1627</v>
      </c>
      <c r="L82" s="389" t="s">
        <v>1628</v>
      </c>
      <c r="M82" s="389" t="s">
        <v>1629</v>
      </c>
      <c r="N82" s="389" t="s">
        <v>1630</v>
      </c>
      <c r="Z82" s="1440"/>
      <c r="AA82" s="1490"/>
      <c r="AG82" s="752"/>
      <c r="AK82" s="1490"/>
    </row>
    <row r="83" spans="1:37" ht="24">
      <c r="A83" s="1560" t="s">
        <v>1975</v>
      </c>
      <c r="B83" s="905">
        <f>估价对象房地状况!G15</f>
        <v>0</v>
      </c>
      <c r="C83" s="1482"/>
      <c r="D83" s="4184">
        <f t="shared" ref="D83:D90" si="22">SUMIF($J$82:$N$82,C83,J83:N83)</f>
        <v>0</v>
      </c>
      <c r="E83" s="4185">
        <f>ROUND(SUM(D83:D90),4)</f>
        <v>0</v>
      </c>
      <c r="F83" s="4193" t="str">
        <f>IF(E2="工业",SUMIF(L1:L12,G2,N1:N12),"——")</f>
        <v>——</v>
      </c>
      <c r="G83" s="4188"/>
      <c r="H83" s="4189" t="str">
        <f t="shared" ref="H83:H90" si="23">IFERROR(ROUNDDOWN($F$83*I83/2,4),"——")</f>
        <v>——</v>
      </c>
      <c r="I83" s="4190">
        <v>0.26</v>
      </c>
      <c r="J83" s="4191">
        <f t="shared" ref="J83:J90" si="24">K83+$G83</f>
        <v>0</v>
      </c>
      <c r="K83" s="4191">
        <f t="shared" ref="K83:K90" si="25">$L83+$G83</f>
        <v>0</v>
      </c>
      <c r="L83" s="4191">
        <v>0</v>
      </c>
      <c r="M83" s="4191">
        <f t="shared" ref="M83:N90" si="26">L83-$G83</f>
        <v>0</v>
      </c>
      <c r="N83" s="4191">
        <f t="shared" si="26"/>
        <v>0</v>
      </c>
      <c r="Z83" s="1440"/>
      <c r="AA83" s="1490"/>
      <c r="AG83" s="752"/>
      <c r="AK83" s="1490"/>
    </row>
    <row r="84" spans="1:37" ht="14.25">
      <c r="A84" s="1560" t="s">
        <v>1958</v>
      </c>
      <c r="B84" s="905">
        <f>估价对象房地状况!G16</f>
        <v>0</v>
      </c>
      <c r="C84" s="1482"/>
      <c r="D84" s="4184">
        <f t="shared" si="22"/>
        <v>0</v>
      </c>
      <c r="E84" s="4186"/>
      <c r="F84" s="4193"/>
      <c r="G84" s="4188"/>
      <c r="H84" s="4189" t="str">
        <f t="shared" si="23"/>
        <v>——</v>
      </c>
      <c r="I84" s="4190">
        <v>0.3</v>
      </c>
      <c r="J84" s="4191">
        <f t="shared" si="24"/>
        <v>0</v>
      </c>
      <c r="K84" s="4191">
        <f t="shared" si="25"/>
        <v>0</v>
      </c>
      <c r="L84" s="4191">
        <v>0</v>
      </c>
      <c r="M84" s="4191">
        <f t="shared" si="26"/>
        <v>0</v>
      </c>
      <c r="N84" s="4191">
        <f t="shared" si="26"/>
        <v>0</v>
      </c>
      <c r="Z84" s="1440"/>
      <c r="AA84" s="1490"/>
      <c r="AG84" s="752"/>
      <c r="AK84" s="1490"/>
    </row>
    <row r="85" spans="1:37" ht="36">
      <c r="A85" s="2443" t="s">
        <v>3146</v>
      </c>
      <c r="B85" s="905">
        <f>估价对象房地状况!G17</f>
        <v>0</v>
      </c>
      <c r="C85" s="1482"/>
      <c r="D85" s="4184">
        <f t="shared" si="22"/>
        <v>0</v>
      </c>
      <c r="E85" s="4186"/>
      <c r="F85" s="4193"/>
      <c r="G85" s="4188"/>
      <c r="H85" s="4189" t="str">
        <f t="shared" si="23"/>
        <v>——</v>
      </c>
      <c r="I85" s="4190">
        <v>0.1</v>
      </c>
      <c r="J85" s="4191">
        <f t="shared" si="24"/>
        <v>0</v>
      </c>
      <c r="K85" s="4191">
        <f t="shared" si="25"/>
        <v>0</v>
      </c>
      <c r="L85" s="4191">
        <v>0</v>
      </c>
      <c r="M85" s="4191">
        <f t="shared" si="26"/>
        <v>0</v>
      </c>
      <c r="N85" s="4191">
        <f t="shared" si="26"/>
        <v>0</v>
      </c>
      <c r="Z85" s="1440"/>
      <c r="AA85" s="1490"/>
      <c r="AG85" s="752"/>
      <c r="AK85" s="1490"/>
    </row>
    <row r="86" spans="1:37" ht="14.25">
      <c r="A86" s="1560" t="s">
        <v>1972</v>
      </c>
      <c r="B86" s="905">
        <f>估价对象房地状况!G22</f>
        <v>0</v>
      </c>
      <c r="C86" s="1482"/>
      <c r="D86" s="4184">
        <f t="shared" si="22"/>
        <v>0</v>
      </c>
      <c r="E86" s="4186"/>
      <c r="F86" s="4193"/>
      <c r="G86" s="4188"/>
      <c r="H86" s="4189" t="str">
        <f t="shared" si="23"/>
        <v>——</v>
      </c>
      <c r="I86" s="4190">
        <v>0.05</v>
      </c>
      <c r="J86" s="4191">
        <f t="shared" si="24"/>
        <v>0</v>
      </c>
      <c r="K86" s="4191">
        <f t="shared" si="25"/>
        <v>0</v>
      </c>
      <c r="L86" s="4191">
        <v>0</v>
      </c>
      <c r="M86" s="4191">
        <f t="shared" si="26"/>
        <v>0</v>
      </c>
      <c r="N86" s="4191">
        <f t="shared" si="26"/>
        <v>0</v>
      </c>
      <c r="Z86" s="1440"/>
      <c r="AA86" s="1490"/>
      <c r="AG86" s="752"/>
      <c r="AK86" s="1490"/>
    </row>
    <row r="87" spans="1:37" ht="24">
      <c r="A87" s="1560" t="s">
        <v>1964</v>
      </c>
      <c r="B87" s="886">
        <f>估价对象房地状况!G19</f>
        <v>0</v>
      </c>
      <c r="C87" s="1482"/>
      <c r="D87" s="4184">
        <f t="shared" si="22"/>
        <v>0</v>
      </c>
      <c r="E87" s="4186"/>
      <c r="F87" s="4193"/>
      <c r="G87" s="4188"/>
      <c r="H87" s="4189" t="str">
        <f t="shared" si="23"/>
        <v>——</v>
      </c>
      <c r="I87" s="4190">
        <v>0.06</v>
      </c>
      <c r="J87" s="4191">
        <f t="shared" si="24"/>
        <v>0</v>
      </c>
      <c r="K87" s="4191">
        <f t="shared" si="25"/>
        <v>0</v>
      </c>
      <c r="L87" s="4191">
        <v>0</v>
      </c>
      <c r="M87" s="4191">
        <f t="shared" si="26"/>
        <v>0</v>
      </c>
      <c r="N87" s="4191">
        <f t="shared" si="26"/>
        <v>0</v>
      </c>
    </row>
    <row r="88" spans="1:37" ht="24">
      <c r="A88" s="1560" t="s">
        <v>1965</v>
      </c>
      <c r="B88" s="886">
        <f>估价对象房地状况!G20</f>
        <v>0</v>
      </c>
      <c r="C88" s="1482"/>
      <c r="D88" s="4184">
        <f t="shared" si="22"/>
        <v>0</v>
      </c>
      <c r="E88" s="4186"/>
      <c r="F88" s="4193"/>
      <c r="G88" s="4188"/>
      <c r="H88" s="4189" t="str">
        <f t="shared" si="23"/>
        <v>——</v>
      </c>
      <c r="I88" s="4190">
        <v>0.12</v>
      </c>
      <c r="J88" s="4191">
        <f t="shared" si="24"/>
        <v>0</v>
      </c>
      <c r="K88" s="4191">
        <f t="shared" si="25"/>
        <v>0</v>
      </c>
      <c r="L88" s="4191">
        <v>0</v>
      </c>
      <c r="M88" s="4191">
        <f t="shared" si="26"/>
        <v>0</v>
      </c>
      <c r="N88" s="4191">
        <f t="shared" si="26"/>
        <v>0</v>
      </c>
    </row>
    <row r="89" spans="1:37" ht="24">
      <c r="A89" s="1560" t="s">
        <v>1962</v>
      </c>
      <c r="B89" s="1565" t="s">
        <v>1976</v>
      </c>
      <c r="C89" s="1482"/>
      <c r="D89" s="4184">
        <f t="shared" si="22"/>
        <v>0</v>
      </c>
      <c r="E89" s="4186"/>
      <c r="F89" s="4193"/>
      <c r="G89" s="4188"/>
      <c r="H89" s="4189" t="str">
        <f t="shared" si="23"/>
        <v>——</v>
      </c>
      <c r="I89" s="4190">
        <v>0.06</v>
      </c>
      <c r="J89" s="4191">
        <f t="shared" si="24"/>
        <v>0</v>
      </c>
      <c r="K89" s="4191">
        <f t="shared" si="25"/>
        <v>0</v>
      </c>
      <c r="L89" s="4191">
        <v>0</v>
      </c>
      <c r="M89" s="4191">
        <f t="shared" si="26"/>
        <v>0</v>
      </c>
      <c r="N89" s="4191">
        <f t="shared" si="26"/>
        <v>0</v>
      </c>
    </row>
    <row r="90" spans="1:37" ht="15" thickBot="1">
      <c r="A90" s="1567" t="s">
        <v>1977</v>
      </c>
      <c r="B90" s="1572">
        <f>估价对象房地状况!G18</f>
        <v>0</v>
      </c>
      <c r="C90" s="1482"/>
      <c r="D90" s="4184">
        <f t="shared" si="22"/>
        <v>0</v>
      </c>
      <c r="E90" s="4187"/>
      <c r="F90" s="4193"/>
      <c r="G90" s="4188"/>
      <c r="H90" s="4189" t="str">
        <f t="shared" si="23"/>
        <v>——</v>
      </c>
      <c r="I90" s="4192">
        <v>0.05</v>
      </c>
      <c r="J90" s="4191">
        <f t="shared" si="24"/>
        <v>0</v>
      </c>
      <c r="K90" s="4191">
        <f t="shared" si="25"/>
        <v>0</v>
      </c>
      <c r="L90" s="4191">
        <v>0</v>
      </c>
      <c r="M90" s="4191">
        <f t="shared" si="26"/>
        <v>0</v>
      </c>
      <c r="N90" s="4191">
        <f t="shared" si="26"/>
        <v>0</v>
      </c>
    </row>
    <row r="91" spans="1:37" ht="15">
      <c r="A91" s="2451" t="s">
        <v>2490</v>
      </c>
      <c r="B91" s="2452">
        <f>1+E93</f>
        <v>1</v>
      </c>
      <c r="C91" s="2445"/>
      <c r="D91" s="2446"/>
      <c r="E91" s="1301"/>
      <c r="F91" s="1301"/>
      <c r="G91" s="2447"/>
      <c r="H91" s="2448"/>
      <c r="I91" s="2449"/>
      <c r="J91" s="2450"/>
      <c r="K91" s="2450"/>
      <c r="L91" s="2450"/>
      <c r="M91" s="2450"/>
      <c r="N91" s="2450"/>
    </row>
    <row r="92" spans="1:37" ht="24.75">
      <c r="A92" s="2453" t="s">
        <v>3147</v>
      </c>
      <c r="B92" s="1848"/>
      <c r="C92" s="1848" t="s">
        <v>3156</v>
      </c>
      <c r="D92" s="1848" t="s">
        <v>3157</v>
      </c>
      <c r="E92" s="2432" t="s">
        <v>3158</v>
      </c>
      <c r="F92" s="2455" t="s">
        <v>3159</v>
      </c>
      <c r="G92" s="1848" t="s">
        <v>3160</v>
      </c>
      <c r="H92" s="2459" t="s">
        <v>3163</v>
      </c>
      <c r="I92" s="1848" t="s">
        <v>3164</v>
      </c>
      <c r="J92" s="1698" t="s">
        <v>3165</v>
      </c>
      <c r="K92" s="1698" t="s">
        <v>3166</v>
      </c>
      <c r="L92" s="1698" t="s">
        <v>3167</v>
      </c>
      <c r="M92" s="1698" t="s">
        <v>3168</v>
      </c>
      <c r="N92" s="1698" t="s">
        <v>3169</v>
      </c>
    </row>
    <row r="93" spans="1:37" ht="24">
      <c r="A93" s="2443" t="s">
        <v>3148</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7">K93+$G93</f>
        <v>0</v>
      </c>
      <c r="K93" s="4198">
        <f t="shared" ref="K93:K101" si="28">$L93+$G93</f>
        <v>0</v>
      </c>
      <c r="L93" s="4198">
        <v>0</v>
      </c>
      <c r="M93" s="4198">
        <f t="shared" ref="M93:N101" si="29">L93-$G93</f>
        <v>0</v>
      </c>
      <c r="N93" s="4198">
        <f t="shared" si="29"/>
        <v>0</v>
      </c>
    </row>
    <row r="94" spans="1:37" ht="14.25">
      <c r="A94" s="2453" t="s">
        <v>3149</v>
      </c>
      <c r="B94" s="2444">
        <f>估价对象房地状况!C18</f>
        <v>0</v>
      </c>
      <c r="C94" s="1482"/>
      <c r="D94" s="4194">
        <f t="shared" ref="D94:D101" si="30">SUMIF($J$60:$N$60,C94,J94:N94)</f>
        <v>0</v>
      </c>
      <c r="E94" s="4199"/>
      <c r="F94" s="4193"/>
      <c r="G94" s="4196"/>
      <c r="H94" s="4197" t="str">
        <f>IFERROR(ROUNDDOWN($F$93*I94/2,4),"——")</f>
        <v>——</v>
      </c>
      <c r="I94" s="4190">
        <v>0.26</v>
      </c>
      <c r="J94" s="4198">
        <f t="shared" si="27"/>
        <v>0</v>
      </c>
      <c r="K94" s="4198">
        <f t="shared" si="28"/>
        <v>0</v>
      </c>
      <c r="L94" s="4198">
        <v>0</v>
      </c>
      <c r="M94" s="4198">
        <f t="shared" si="29"/>
        <v>0</v>
      </c>
      <c r="N94" s="4198">
        <f t="shared" si="29"/>
        <v>0</v>
      </c>
    </row>
    <row r="95" spans="1:37" ht="36">
      <c r="A95" s="2443" t="s">
        <v>3145</v>
      </c>
      <c r="B95" s="2444">
        <f>估价对象房地状况!C19</f>
        <v>0</v>
      </c>
      <c r="C95" s="1482"/>
      <c r="D95" s="4194">
        <f t="shared" si="30"/>
        <v>0</v>
      </c>
      <c r="E95" s="4199"/>
      <c r="F95" s="4193"/>
      <c r="G95" s="4196"/>
      <c r="H95" s="4197" t="str">
        <f t="shared" ref="H95:H101" si="31">IFERROR(ROUNDDOWN($F$93*I95/2,4),"——")</f>
        <v>——</v>
      </c>
      <c r="I95" s="4190">
        <v>0.11</v>
      </c>
      <c r="J95" s="4198">
        <f t="shared" si="27"/>
        <v>0</v>
      </c>
      <c r="K95" s="4198">
        <f t="shared" si="28"/>
        <v>0</v>
      </c>
      <c r="L95" s="4198">
        <v>0</v>
      </c>
      <c r="M95" s="4198">
        <f t="shared" si="29"/>
        <v>0</v>
      </c>
      <c r="N95" s="4198">
        <f t="shared" si="29"/>
        <v>0</v>
      </c>
    </row>
    <row r="96" spans="1:37" ht="36.75">
      <c r="A96" s="2453" t="s">
        <v>3150</v>
      </c>
      <c r="B96" s="2456" t="s">
        <v>3161</v>
      </c>
      <c r="C96" s="1482"/>
      <c r="D96" s="4194">
        <f t="shared" si="30"/>
        <v>0</v>
      </c>
      <c r="E96" s="4199"/>
      <c r="F96" s="4193"/>
      <c r="G96" s="4196"/>
      <c r="H96" s="4197" t="str">
        <f t="shared" si="31"/>
        <v>——</v>
      </c>
      <c r="I96" s="4190">
        <v>0.05</v>
      </c>
      <c r="J96" s="4198">
        <f t="shared" si="27"/>
        <v>0</v>
      </c>
      <c r="K96" s="4198">
        <f t="shared" si="28"/>
        <v>0</v>
      </c>
      <c r="L96" s="4198">
        <v>0</v>
      </c>
      <c r="M96" s="4198">
        <f t="shared" si="29"/>
        <v>0</v>
      </c>
      <c r="N96" s="4198">
        <f t="shared" si="29"/>
        <v>0</v>
      </c>
    </row>
    <row r="97" spans="1:14" ht="24">
      <c r="A97" s="2453" t="s">
        <v>3151</v>
      </c>
      <c r="B97" s="2444">
        <f>估价对象房地状况!C24</f>
        <v>0</v>
      </c>
      <c r="C97" s="1482"/>
      <c r="D97" s="4194">
        <f t="shared" si="30"/>
        <v>0</v>
      </c>
      <c r="E97" s="4199"/>
      <c r="F97" s="4193"/>
      <c r="G97" s="4196"/>
      <c r="H97" s="4197" t="str">
        <f t="shared" si="31"/>
        <v>——</v>
      </c>
      <c r="I97" s="4190">
        <v>0.05</v>
      </c>
      <c r="J97" s="4198">
        <f t="shared" si="27"/>
        <v>0</v>
      </c>
      <c r="K97" s="4198">
        <f t="shared" si="28"/>
        <v>0</v>
      </c>
      <c r="L97" s="4198">
        <v>0</v>
      </c>
      <c r="M97" s="4198">
        <f t="shared" si="29"/>
        <v>0</v>
      </c>
      <c r="N97" s="4198">
        <f t="shared" si="29"/>
        <v>0</v>
      </c>
    </row>
    <row r="98" spans="1:14" ht="24">
      <c r="A98" s="2453" t="s">
        <v>3152</v>
      </c>
      <c r="B98" s="2457" t="s">
        <v>3162</v>
      </c>
      <c r="C98" s="1482"/>
      <c r="D98" s="4194">
        <f t="shared" si="30"/>
        <v>0</v>
      </c>
      <c r="E98" s="4199"/>
      <c r="F98" s="4193"/>
      <c r="G98" s="4196"/>
      <c r="H98" s="4197" t="str">
        <f t="shared" si="31"/>
        <v>——</v>
      </c>
      <c r="I98" s="4190">
        <v>0.06</v>
      </c>
      <c r="J98" s="4198">
        <f t="shared" si="27"/>
        <v>0</v>
      </c>
      <c r="K98" s="4198">
        <f t="shared" si="28"/>
        <v>0</v>
      </c>
      <c r="L98" s="4198">
        <v>0</v>
      </c>
      <c r="M98" s="4198">
        <f t="shared" si="29"/>
        <v>0</v>
      </c>
      <c r="N98" s="4198">
        <f t="shared" si="29"/>
        <v>0</v>
      </c>
    </row>
    <row r="99" spans="1:14" ht="24">
      <c r="A99" s="2453" t="s">
        <v>3153</v>
      </c>
      <c r="B99" s="2444">
        <f>估价对象房地状况!C21</f>
        <v>0</v>
      </c>
      <c r="C99" s="1482"/>
      <c r="D99" s="4194">
        <f t="shared" si="30"/>
        <v>0</v>
      </c>
      <c r="E99" s="4199"/>
      <c r="F99" s="4193"/>
      <c r="G99" s="4196"/>
      <c r="H99" s="4197" t="str">
        <f t="shared" si="31"/>
        <v>——</v>
      </c>
      <c r="I99" s="4190">
        <v>0.06</v>
      </c>
      <c r="J99" s="4198">
        <f t="shared" si="27"/>
        <v>0</v>
      </c>
      <c r="K99" s="4198">
        <f t="shared" si="28"/>
        <v>0</v>
      </c>
      <c r="L99" s="4198">
        <v>0</v>
      </c>
      <c r="M99" s="4198">
        <f t="shared" si="29"/>
        <v>0</v>
      </c>
      <c r="N99" s="4198">
        <f t="shared" si="29"/>
        <v>0</v>
      </c>
    </row>
    <row r="100" spans="1:14" ht="24">
      <c r="A100" s="2453" t="s">
        <v>3154</v>
      </c>
      <c r="B100" s="2444">
        <f>估价对象房地状况!C22</f>
        <v>0</v>
      </c>
      <c r="C100" s="1482"/>
      <c r="D100" s="4194">
        <f t="shared" si="30"/>
        <v>0</v>
      </c>
      <c r="E100" s="4199"/>
      <c r="F100" s="4193"/>
      <c r="G100" s="4196"/>
      <c r="H100" s="4197" t="str">
        <f t="shared" si="31"/>
        <v>——</v>
      </c>
      <c r="I100" s="4190">
        <v>0.09</v>
      </c>
      <c r="J100" s="4198">
        <f t="shared" si="27"/>
        <v>0</v>
      </c>
      <c r="K100" s="4198">
        <f t="shared" si="28"/>
        <v>0</v>
      </c>
      <c r="L100" s="4198">
        <v>0</v>
      </c>
      <c r="M100" s="4198">
        <f t="shared" si="29"/>
        <v>0</v>
      </c>
      <c r="N100" s="4198">
        <f t="shared" si="29"/>
        <v>0</v>
      </c>
    </row>
    <row r="101" spans="1:14" ht="24.75" thickBot="1">
      <c r="A101" s="2454" t="s">
        <v>3155</v>
      </c>
      <c r="B101" s="2458">
        <f>估价对象房地状况!C20</f>
        <v>0</v>
      </c>
      <c r="C101" s="1482"/>
      <c r="D101" s="4194">
        <f t="shared" si="30"/>
        <v>0</v>
      </c>
      <c r="E101" s="4174"/>
      <c r="F101" s="4193"/>
      <c r="G101" s="4196"/>
      <c r="H101" s="4197" t="str">
        <f t="shared" si="31"/>
        <v>——</v>
      </c>
      <c r="I101" s="4192">
        <v>7.0000000000000007E-2</v>
      </c>
      <c r="J101" s="4198">
        <f t="shared" si="27"/>
        <v>0</v>
      </c>
      <c r="K101" s="4198">
        <f t="shared" si="28"/>
        <v>0</v>
      </c>
      <c r="L101" s="4198">
        <v>0</v>
      </c>
      <c r="M101" s="4198">
        <f t="shared" si="29"/>
        <v>0</v>
      </c>
      <c r="N101" s="4198">
        <f t="shared" si="29"/>
        <v>0</v>
      </c>
    </row>
    <row r="103" spans="1:14">
      <c r="A103" s="4666" t="s">
        <v>3170</v>
      </c>
      <c r="B103" s="4666"/>
      <c r="C103" s="4666"/>
      <c r="D103" s="4666"/>
      <c r="E103" s="4666"/>
      <c r="F103" s="4666"/>
      <c r="G103" s="4666"/>
      <c r="H103" s="4666"/>
      <c r="I103" s="4666"/>
      <c r="J103" s="4666"/>
      <c r="K103" s="1293"/>
      <c r="L103" s="1293"/>
      <c r="M103" s="1293"/>
      <c r="N103" s="1293"/>
    </row>
    <row r="104" spans="1:14">
      <c r="A104" s="4667" t="s">
        <v>3171</v>
      </c>
      <c r="B104" s="4667" t="s">
        <v>3172</v>
      </c>
      <c r="C104" s="4214" t="s">
        <v>3173</v>
      </c>
      <c r="D104" s="1534"/>
      <c r="E104" s="1534"/>
      <c r="F104" s="1534"/>
      <c r="G104" s="1534"/>
      <c r="H104" s="1534"/>
      <c r="I104" s="1534"/>
      <c r="J104" s="1534"/>
      <c r="K104" s="1534"/>
      <c r="L104" s="1534"/>
      <c r="M104" s="1534"/>
      <c r="N104" s="4215"/>
    </row>
    <row r="105" spans="1:14">
      <c r="A105" s="4667"/>
      <c r="B105" s="4667"/>
      <c r="C105" s="2460" t="s">
        <v>3174</v>
      </c>
      <c r="D105" s="2460" t="s">
        <v>3175</v>
      </c>
      <c r="E105" s="2460" t="s">
        <v>3176</v>
      </c>
      <c r="F105" s="2460" t="s">
        <v>3177</v>
      </c>
      <c r="G105" s="2460" t="s">
        <v>3178</v>
      </c>
      <c r="H105" s="2460" t="s">
        <v>3179</v>
      </c>
      <c r="I105" s="2460" t="s">
        <v>3180</v>
      </c>
      <c r="J105" s="2460" t="s">
        <v>3181</v>
      </c>
      <c r="K105" s="2460" t="s">
        <v>3182</v>
      </c>
      <c r="L105" s="2460" t="s">
        <v>3183</v>
      </c>
      <c r="M105" s="2460" t="s">
        <v>3184</v>
      </c>
      <c r="N105" s="2460" t="s">
        <v>3185</v>
      </c>
    </row>
    <row r="106" spans="1:14">
      <c r="A106" s="4657" t="s">
        <v>3186</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58"/>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58"/>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58"/>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58"/>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58"/>
      <c r="B111" s="2460" t="s">
        <v>3144</v>
      </c>
      <c r="C111" s="4200">
        <f>$I$3</f>
        <v>0</v>
      </c>
      <c r="D111" s="4200">
        <f t="shared" ref="D111:M111" si="32">$I$3</f>
        <v>0</v>
      </c>
      <c r="E111" s="4200">
        <f t="shared" si="32"/>
        <v>0</v>
      </c>
      <c r="F111" s="4200">
        <f t="shared" si="32"/>
        <v>0</v>
      </c>
      <c r="G111" s="4200">
        <f t="shared" si="32"/>
        <v>0</v>
      </c>
      <c r="H111" s="4200">
        <f t="shared" si="32"/>
        <v>0</v>
      </c>
      <c r="I111" s="4200">
        <f t="shared" si="32"/>
        <v>0</v>
      </c>
      <c r="J111" s="4200">
        <f t="shared" si="32"/>
        <v>0</v>
      </c>
      <c r="K111" s="4200">
        <f t="shared" si="32"/>
        <v>0</v>
      </c>
      <c r="L111" s="4200">
        <f t="shared" si="32"/>
        <v>0</v>
      </c>
      <c r="M111" s="4200">
        <f t="shared" si="32"/>
        <v>0</v>
      </c>
      <c r="N111" s="4200">
        <f>$I$3</f>
        <v>0</v>
      </c>
    </row>
    <row r="112" spans="1:14">
      <c r="A112" s="4659"/>
      <c r="B112" s="2460">
        <v>6</v>
      </c>
      <c r="C112" s="4201">
        <f>(-0.5556*(C111^2)-0.2719*C111+8944)*(10^(-4))</f>
        <v>0.89440000000000008</v>
      </c>
      <c r="D112" s="4201">
        <f>(-0.5556*(D111^2)-0.2719*D111+8944)*(10^(-4))</f>
        <v>0.89440000000000008</v>
      </c>
      <c r="E112" s="4201">
        <f>(-0.7912*(E111^2)-11.3794*E111+8482)*(10^(-4))</f>
        <v>0.84820000000000007</v>
      </c>
      <c r="F112" s="4201">
        <f t="shared" ref="F112:I112" si="33">(-0.7912*(F111^2)-11.3794*F111+8482)*(10^(-4))</f>
        <v>0.84820000000000007</v>
      </c>
      <c r="G112" s="4201">
        <f t="shared" si="33"/>
        <v>0.84820000000000007</v>
      </c>
      <c r="H112" s="4201">
        <f t="shared" si="33"/>
        <v>0.84820000000000007</v>
      </c>
      <c r="I112" s="4201">
        <f t="shared" si="33"/>
        <v>0.84820000000000007</v>
      </c>
      <c r="J112" s="4201">
        <f>(-0.989*(J111^2)-63.78*J111+7771)*(10^(-4))</f>
        <v>0.77710000000000001</v>
      </c>
      <c r="K112" s="4201">
        <f t="shared" ref="K112:N112" si="34">(-0.989*(K111^2)-63.78*K111+7771)*(10^(-4))</f>
        <v>0.77710000000000001</v>
      </c>
      <c r="L112" s="4201">
        <f t="shared" si="34"/>
        <v>0.77710000000000001</v>
      </c>
      <c r="M112" s="4201">
        <f t="shared" si="34"/>
        <v>0.77710000000000001</v>
      </c>
      <c r="N112" s="4201">
        <f t="shared" si="34"/>
        <v>0.77710000000000001</v>
      </c>
    </row>
    <row r="113" spans="1:14">
      <c r="A113" s="4660" t="s">
        <v>3187</v>
      </c>
      <c r="B113" s="4660"/>
      <c r="C113" s="4660"/>
      <c r="D113" s="4660"/>
      <c r="E113" s="4660"/>
      <c r="F113" s="4660"/>
      <c r="G113" s="4660"/>
      <c r="H113" s="4660"/>
      <c r="I113" s="4660"/>
      <c r="J113" s="4660"/>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8" t="s">
        <v>3188</v>
      </c>
      <c r="B116" s="4212">
        <f>G3</f>
        <v>3.5</v>
      </c>
      <c r="C116" s="4209" t="s">
        <v>3189</v>
      </c>
      <c r="D116" s="4213">
        <f>SUMPRODUCT((A118:A122=F116)*(B117:M117=H116)*B118:M122)</f>
        <v>0</v>
      </c>
      <c r="E116" s="4209" t="s">
        <v>3190</v>
      </c>
      <c r="F116" s="4210">
        <f>E2</f>
        <v>0</v>
      </c>
      <c r="G116" s="4209" t="s">
        <v>3191</v>
      </c>
      <c r="H116" s="4210">
        <f>G2</f>
        <v>0</v>
      </c>
      <c r="I116" s="4211"/>
      <c r="J116" s="2463"/>
      <c r="K116" s="2463"/>
      <c r="L116" s="2463"/>
      <c r="M116" s="2463"/>
      <c r="N116" s="2462"/>
    </row>
    <row r="117" spans="1:14">
      <c r="A117" s="2434"/>
      <c r="B117" s="2464" t="s">
        <v>3192</v>
      </c>
      <c r="C117" s="2464" t="s">
        <v>3193</v>
      </c>
      <c r="D117" s="2464" t="s">
        <v>3194</v>
      </c>
      <c r="E117" s="2464" t="s">
        <v>3195</v>
      </c>
      <c r="F117" s="2464" t="s">
        <v>3196</v>
      </c>
      <c r="G117" s="2464" t="s">
        <v>3197</v>
      </c>
      <c r="H117" s="4205" t="s">
        <v>3198</v>
      </c>
      <c r="I117" s="4205" t="s">
        <v>3199</v>
      </c>
      <c r="J117" s="2464" t="s">
        <v>3200</v>
      </c>
      <c r="K117" s="2464" t="s">
        <v>3201</v>
      </c>
      <c r="L117" s="2464" t="s">
        <v>3202</v>
      </c>
      <c r="M117" s="4206" t="s">
        <v>3203</v>
      </c>
      <c r="N117" s="2462"/>
    </row>
    <row r="118" spans="1:14">
      <c r="A118" s="2436" t="s">
        <v>3204</v>
      </c>
      <c r="B118" s="4201">
        <f>ROUND(0.9968-0.011*B116,4)</f>
        <v>0.95830000000000004</v>
      </c>
      <c r="C118" s="4201">
        <f>B118</f>
        <v>0.95830000000000004</v>
      </c>
      <c r="D118" s="4201">
        <f>ROUND(0.949-0.014*B116,4)</f>
        <v>0.9</v>
      </c>
      <c r="E118" s="4201">
        <f>D118</f>
        <v>0.9</v>
      </c>
      <c r="F118" s="4201">
        <f>E118</f>
        <v>0.9</v>
      </c>
      <c r="G118" s="4201">
        <f>F118</f>
        <v>0.9</v>
      </c>
      <c r="H118" s="4201">
        <f>G118</f>
        <v>0.9</v>
      </c>
      <c r="I118" s="4201">
        <f>ROUND(0.8486-0.018*B116,4)</f>
        <v>0.78559999999999997</v>
      </c>
      <c r="J118" s="4201">
        <f t="shared" ref="J118:M122" si="35">I118</f>
        <v>0.78559999999999997</v>
      </c>
      <c r="K118" s="4201">
        <f t="shared" si="35"/>
        <v>0.78559999999999997</v>
      </c>
      <c r="L118" s="4201">
        <f t="shared" si="35"/>
        <v>0.78559999999999997</v>
      </c>
      <c r="M118" s="4202">
        <f t="shared" si="35"/>
        <v>0.78559999999999997</v>
      </c>
      <c r="N118" s="2462"/>
    </row>
    <row r="119" spans="1:14">
      <c r="A119" s="2436" t="s">
        <v>3205</v>
      </c>
      <c r="B119" s="4201">
        <f>ROUND(0.993-0.0112*B116,4)</f>
        <v>0.95379999999999998</v>
      </c>
      <c r="C119" s="4201">
        <f>B119</f>
        <v>0.95379999999999998</v>
      </c>
      <c r="D119" s="4201">
        <f>ROUND(0.9415-0.0142*B116,4)</f>
        <v>0.89180000000000004</v>
      </c>
      <c r="E119" s="4201">
        <f t="shared" ref="E119:H120" si="36">D119</f>
        <v>0.89180000000000004</v>
      </c>
      <c r="F119" s="4201">
        <f t="shared" si="36"/>
        <v>0.89180000000000004</v>
      </c>
      <c r="G119" s="4201">
        <f t="shared" si="36"/>
        <v>0.89180000000000004</v>
      </c>
      <c r="H119" s="4201">
        <f t="shared" si="36"/>
        <v>0.89180000000000004</v>
      </c>
      <c r="I119" s="4201">
        <f>ROUND(0.838-0.0182*B116,4)</f>
        <v>0.77429999999999999</v>
      </c>
      <c r="J119" s="4201">
        <f t="shared" si="35"/>
        <v>0.77429999999999999</v>
      </c>
      <c r="K119" s="4201">
        <f t="shared" si="35"/>
        <v>0.77429999999999999</v>
      </c>
      <c r="L119" s="4201">
        <f t="shared" si="35"/>
        <v>0.77429999999999999</v>
      </c>
      <c r="M119" s="4202">
        <f t="shared" si="35"/>
        <v>0.77429999999999999</v>
      </c>
      <c r="N119" s="2462"/>
    </row>
    <row r="120" spans="1:14">
      <c r="A120" s="2436" t="s">
        <v>3206</v>
      </c>
      <c r="B120" s="4201">
        <f>ROUND(0.9448-0.0115*B116,4)</f>
        <v>0.90459999999999996</v>
      </c>
      <c r="C120" s="4201">
        <f>B120</f>
        <v>0.90459999999999996</v>
      </c>
      <c r="D120" s="4201">
        <f>ROUND(0.937-0.0145*B116,4)</f>
        <v>0.88629999999999998</v>
      </c>
      <c r="E120" s="4201">
        <f t="shared" si="36"/>
        <v>0.88629999999999998</v>
      </c>
      <c r="F120" s="4201">
        <f t="shared" si="36"/>
        <v>0.88629999999999998</v>
      </c>
      <c r="G120" s="4201">
        <f t="shared" si="36"/>
        <v>0.88629999999999998</v>
      </c>
      <c r="H120" s="4201">
        <f t="shared" si="36"/>
        <v>0.88629999999999998</v>
      </c>
      <c r="I120" s="4201">
        <f>ROUND(0.7965-0.0185*B116,4)</f>
        <v>0.73180000000000001</v>
      </c>
      <c r="J120" s="4201">
        <f t="shared" si="35"/>
        <v>0.73180000000000001</v>
      </c>
      <c r="K120" s="4201">
        <f t="shared" si="35"/>
        <v>0.73180000000000001</v>
      </c>
      <c r="L120" s="4201">
        <f t="shared" si="35"/>
        <v>0.73180000000000001</v>
      </c>
      <c r="M120" s="4202">
        <f t="shared" si="35"/>
        <v>0.73180000000000001</v>
      </c>
      <c r="N120" s="2462"/>
    </row>
    <row r="121" spans="1:14">
      <c r="A121" s="2436" t="s">
        <v>3207</v>
      </c>
      <c r="B121" s="4201">
        <f>ROUND(0.7836-0.012*B116,4)</f>
        <v>0.74160000000000004</v>
      </c>
      <c r="C121" s="4201">
        <f>B121</f>
        <v>0.74160000000000004</v>
      </c>
      <c r="D121" s="4201">
        <f>ROUND(0.753-0.015*B116,4)</f>
        <v>0.70050000000000001</v>
      </c>
      <c r="E121" s="4201">
        <f>D121</f>
        <v>0.70050000000000001</v>
      </c>
      <c r="F121" s="4201">
        <f>E121</f>
        <v>0.70050000000000001</v>
      </c>
      <c r="G121" s="4201">
        <f>ROUND(0.6612-0.018*B116,4)</f>
        <v>0.59819999999999995</v>
      </c>
      <c r="H121" s="4201">
        <f>G121</f>
        <v>0.59819999999999995</v>
      </c>
      <c r="I121" s="4201">
        <f>ROUND(0.5905-0.019*B116,4)</f>
        <v>0.52400000000000002</v>
      </c>
      <c r="J121" s="4201">
        <f t="shared" si="35"/>
        <v>0.52400000000000002</v>
      </c>
      <c r="K121" s="4201">
        <f t="shared" si="35"/>
        <v>0.52400000000000002</v>
      </c>
      <c r="L121" s="4201">
        <f t="shared" si="35"/>
        <v>0.52400000000000002</v>
      </c>
      <c r="M121" s="4202">
        <f t="shared" si="35"/>
        <v>0.52400000000000002</v>
      </c>
      <c r="N121" s="2462"/>
    </row>
    <row r="122" spans="1:14" ht="13.5" thickBot="1">
      <c r="A122" s="4207" t="s">
        <v>2490</v>
      </c>
      <c r="B122" s="4203">
        <f>ROUND(0.9404-0.0106*B116,4)</f>
        <v>0.90329999999999999</v>
      </c>
      <c r="C122" s="4203">
        <f>B122</f>
        <v>0.90329999999999999</v>
      </c>
      <c r="D122" s="4203">
        <f>ROUND(0.8955-0.0135*B116,4)</f>
        <v>0.84830000000000005</v>
      </c>
      <c r="E122" s="4203">
        <f t="shared" ref="E122:H122" si="37">D122</f>
        <v>0.84830000000000005</v>
      </c>
      <c r="F122" s="4203">
        <f t="shared" si="37"/>
        <v>0.84830000000000005</v>
      </c>
      <c r="G122" s="4203">
        <f t="shared" si="37"/>
        <v>0.84830000000000005</v>
      </c>
      <c r="H122" s="4203">
        <f t="shared" si="37"/>
        <v>0.84830000000000005</v>
      </c>
      <c r="I122" s="4203">
        <f>ROUND(0.7632-0.0166*B116,4)</f>
        <v>0.70509999999999995</v>
      </c>
      <c r="J122" s="4203">
        <f t="shared" si="35"/>
        <v>0.70509999999999995</v>
      </c>
      <c r="K122" s="4203">
        <f t="shared" si="35"/>
        <v>0.70509999999999995</v>
      </c>
      <c r="L122" s="4203">
        <f t="shared" si="35"/>
        <v>0.70509999999999995</v>
      </c>
      <c r="M122" s="4204">
        <f t="shared" si="35"/>
        <v>0.70509999999999995</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P40" sqref="P4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3504</v>
      </c>
      <c r="B1" s="47"/>
      <c r="C1" s="785"/>
      <c r="D1" s="784"/>
      <c r="E1" s="2045"/>
      <c r="F1" s="2045"/>
      <c r="G1" s="1938"/>
      <c r="H1" s="2045"/>
      <c r="I1" s="2045"/>
      <c r="J1" s="2045"/>
      <c r="K1" s="2046">
        <f>MATCH(C1,'数据-取费表'!A6:A16,0)+5</f>
        <v>10</v>
      </c>
    </row>
    <row r="2" spans="1:33" ht="18" customHeight="1">
      <c r="A2" s="96" t="s">
        <v>1429</v>
      </c>
      <c r="B2" s="2523">
        <f ca="1">C34</f>
        <v>-54706</v>
      </c>
      <c r="C2" s="171" t="s">
        <v>1529</v>
      </c>
      <c r="D2" s="171"/>
      <c r="E2" s="2045"/>
      <c r="F2" s="2045"/>
      <c r="G2" s="2045"/>
      <c r="H2" s="2045"/>
      <c r="I2" s="2045"/>
      <c r="J2" s="2045"/>
      <c r="K2" s="2045"/>
    </row>
    <row r="3" spans="1:33" ht="18" customHeight="1">
      <c r="A3" s="98" t="s">
        <v>1431</v>
      </c>
      <c r="B3" s="2523">
        <f ca="1">ROUND(B2*10000/IF(C1="",'数据-汇总表'!E3,INDIRECT("'数据-取费表'!K"&amp;$K$1)),0)</f>
        <v>-3556</v>
      </c>
      <c r="C3" s="171" t="s">
        <v>1530</v>
      </c>
      <c r="D3" s="171"/>
      <c r="E3" s="2045"/>
      <c r="F3" s="2045"/>
      <c r="G3" s="2045"/>
      <c r="H3" s="2045"/>
      <c r="I3" s="2045"/>
      <c r="J3" s="2045"/>
      <c r="K3" s="2045"/>
    </row>
    <row r="4" spans="1:33" ht="18" customHeight="1">
      <c r="A4" s="3386" t="s">
        <v>3619</v>
      </c>
      <c r="B4" s="2522">
        <f ca="1">ROUND(B2*10000/IF(C1="",'数据-汇总表'!D3,INDIRECT("'数据-取费表'!R"&amp;$K$1)),0)</f>
        <v>-25357</v>
      </c>
      <c r="C4" s="1336" t="s">
        <v>3621</v>
      </c>
      <c r="D4" s="171"/>
      <c r="E4" s="2045"/>
      <c r="F4" s="2045"/>
      <c r="G4" s="2045"/>
      <c r="H4" s="2045"/>
      <c r="I4" s="2045"/>
      <c r="J4" s="2045"/>
      <c r="K4" s="2045"/>
    </row>
    <row r="5" spans="1:33" ht="18" customHeight="1" thickBot="1">
      <c r="A5" s="94"/>
      <c r="B5" s="3395">
        <f ca="1">ROUND(B2/(IF(C1="",'数据-汇总表'!D3,INDIRECT("'数据-取费表'!R"&amp;$K$1))/666.67),0)</f>
        <v>-1691</v>
      </c>
      <c r="C5" s="3389" t="s">
        <v>3620</v>
      </c>
      <c r="D5" s="171"/>
      <c r="E5" s="2045"/>
      <c r="F5" s="2045"/>
      <c r="G5" s="2045"/>
      <c r="H5" s="2045"/>
      <c r="I5" s="2045"/>
      <c r="J5" s="2045"/>
      <c r="K5" s="2045"/>
    </row>
    <row r="6" spans="1:33" s="515" customFormat="1" ht="16.5" customHeight="1">
      <c r="A6" s="2653" t="s">
        <v>3508</v>
      </c>
      <c r="B6" s="2652"/>
      <c r="C6" s="4644" t="s">
        <v>3365</v>
      </c>
      <c r="D6" s="4644"/>
      <c r="E6" s="4644"/>
      <c r="F6" s="4644"/>
      <c r="G6" s="4644"/>
      <c r="H6" s="4644"/>
      <c r="I6" s="4644"/>
      <c r="J6" s="4644"/>
      <c r="K6" s="4645"/>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3944</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3" t="s">
        <v>3945</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3948</v>
      </c>
      <c r="B10" s="4074" t="s">
        <v>3943</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72" t="s">
        <v>3509</v>
      </c>
      <c r="B11" s="4673"/>
      <c r="C11" s="4673"/>
      <c r="D11" s="4673"/>
      <c r="E11" s="4673"/>
      <c r="F11" s="4673"/>
      <c r="G11" s="4673"/>
      <c r="H11" s="4673"/>
      <c r="I11" s="4673"/>
      <c r="J11" s="4673"/>
      <c r="K11" s="4674"/>
    </row>
    <row r="12" spans="1:33" s="4071" customFormat="1" ht="13.5" customHeight="1">
      <c r="A12" s="3211" t="s">
        <v>3498</v>
      </c>
      <c r="B12" s="4068" t="s">
        <v>1535</v>
      </c>
      <c r="C12" s="4072" t="s">
        <v>3943</v>
      </c>
      <c r="D12" s="4068" t="s">
        <v>1537</v>
      </c>
      <c r="E12" s="4068" t="s">
        <v>1538</v>
      </c>
      <c r="F12" s="4068" t="s">
        <v>1539</v>
      </c>
      <c r="G12" s="4080" t="s">
        <v>3389</v>
      </c>
      <c r="H12" s="4081"/>
      <c r="I12" s="4081"/>
      <c r="J12" s="4081"/>
      <c r="K12" s="4082"/>
    </row>
    <row r="13" spans="1:33" s="521" customFormat="1" ht="13.5" customHeight="1">
      <c r="A13" s="2493">
        <v>1</v>
      </c>
      <c r="B13" s="2677" t="s">
        <v>3510</v>
      </c>
      <c r="C13" s="2662">
        <f>SUM(C10:K10)</f>
        <v>0</v>
      </c>
      <c r="D13" s="520"/>
      <c r="E13" s="520"/>
      <c r="F13" s="3225"/>
      <c r="G13" s="3350"/>
      <c r="H13" s="3349"/>
      <c r="I13" s="3349"/>
      <c r="J13" s="3349"/>
      <c r="K13" s="3361"/>
    </row>
    <row r="14" spans="1:33" s="521" customFormat="1" ht="13.5" customHeight="1">
      <c r="A14" s="2493">
        <v>2</v>
      </c>
      <c r="B14" s="2678" t="s">
        <v>3613</v>
      </c>
      <c r="C14" s="2662">
        <v>0</v>
      </c>
      <c r="D14" s="2678"/>
      <c r="E14" s="2678"/>
      <c r="F14" s="2596">
        <v>0</v>
      </c>
      <c r="G14" s="3529" t="s">
        <v>3663</v>
      </c>
      <c r="H14" s="3349"/>
      <c r="I14" s="3349"/>
      <c r="J14" s="3349"/>
      <c r="K14" s="3361"/>
    </row>
    <row r="15" spans="1:33" s="523" customFormat="1" ht="13.5" customHeight="1">
      <c r="A15" s="2493">
        <v>3</v>
      </c>
      <c r="B15" s="530" t="s">
        <v>3583</v>
      </c>
      <c r="C15" s="2534">
        <f ca="1">C32-C33</f>
        <v>54706</v>
      </c>
      <c r="D15" s="530"/>
      <c r="E15" s="173"/>
      <c r="F15" s="3226"/>
      <c r="G15" s="3351" t="s">
        <v>3528</v>
      </c>
      <c r="H15" s="526"/>
      <c r="I15" s="526"/>
      <c r="J15" s="526"/>
      <c r="K15" s="527"/>
    </row>
    <row r="16" spans="1:33" s="523" customFormat="1" ht="13.5" customHeight="1">
      <c r="A16" s="3362" t="s">
        <v>3578</v>
      </c>
      <c r="B16" s="3230" t="s">
        <v>3511</v>
      </c>
      <c r="C16" s="3231">
        <f ca="1">SUM(C17:C22)</f>
        <v>46774</v>
      </c>
      <c r="D16" s="3230"/>
      <c r="E16" s="3230"/>
      <c r="F16" s="3232"/>
      <c r="G16" s="2632"/>
      <c r="H16" s="3349"/>
      <c r="I16" s="3349"/>
      <c r="J16" s="3349"/>
      <c r="K16" s="3361"/>
    </row>
    <row r="17" spans="1:33" s="523" customFormat="1" ht="13.5" customHeight="1">
      <c r="A17" s="3363" t="s">
        <v>3529</v>
      </c>
      <c r="B17" s="3217" t="s">
        <v>3516</v>
      </c>
      <c r="C17" s="2501">
        <f ca="1">IF(C1="",'数据-取费表'!M16,INDIRECT("'数据-取费表'!M"&amp;$K$1)+INDIRECT("'数据-取费表'!ap"&amp;$K$1))</f>
        <v>34301</v>
      </c>
      <c r="D17" s="3233"/>
      <c r="E17" s="3234"/>
      <c r="F17" s="3246"/>
      <c r="G17" s="3352"/>
      <c r="H17" s="3349"/>
      <c r="I17" s="3349"/>
      <c r="J17" s="3349"/>
      <c r="K17" s="3361"/>
    </row>
    <row r="18" spans="1:33" s="523" customFormat="1" ht="13.5" customHeight="1">
      <c r="A18" s="3363" t="s">
        <v>3517</v>
      </c>
      <c r="B18" s="3218" t="s">
        <v>3518</v>
      </c>
      <c r="C18" s="2501">
        <f ca="1">ROUND(C17*F18,0)</f>
        <v>2744</v>
      </c>
      <c r="D18" s="3230"/>
      <c r="E18" s="3230"/>
      <c r="F18" s="3247">
        <f>'数据-取费表'!B33</f>
        <v>0.08</v>
      </c>
      <c r="G18" s="2632"/>
      <c r="H18" s="3349"/>
      <c r="I18" s="3349"/>
      <c r="J18" s="3349"/>
      <c r="K18" s="3361"/>
    </row>
    <row r="19" spans="1:33" s="523" customFormat="1" ht="13.5" customHeight="1">
      <c r="A19" s="3363" t="s">
        <v>3530</v>
      </c>
      <c r="B19" s="3219" t="s">
        <v>3486</v>
      </c>
      <c r="C19" s="2501">
        <f ca="1">ROUND(IF(C1="",SUMIF('数据-取费表'!C:C,"住宅",'数据-取费表'!M:M)*F19,IF(INDIRECT("'数据-取费表'!c"&amp;$K$1)="住宅",INDIRECT("'数据-取费表'!M"&amp;$K$1)*F19,0)),0)</f>
        <v>2287</v>
      </c>
      <c r="D19" s="3235"/>
      <c r="E19" s="3235"/>
      <c r="F19" s="3247">
        <f>'数据-取费表'!B34</f>
        <v>0.1</v>
      </c>
      <c r="G19" s="2497"/>
      <c r="H19" s="3349"/>
      <c r="I19" s="3349"/>
      <c r="J19" s="3349"/>
      <c r="K19" s="3361"/>
    </row>
    <row r="20" spans="1:33" s="523" customFormat="1" ht="13.5" customHeight="1">
      <c r="A20" s="3363" t="s">
        <v>3531</v>
      </c>
      <c r="B20" s="3219" t="s">
        <v>3539</v>
      </c>
      <c r="C20" s="2501">
        <f ca="1">ROUND(D20*E20/10000,0)</f>
        <v>5384</v>
      </c>
      <c r="D20" s="3228">
        <f ca="1">IF(C1="",'数据-汇总表'!E3,INDIRECT("'数据-取费表'!K"&amp;$K$1)+INDIRECT("'数据-取费表'!S"&amp;$K$1))</f>
        <v>153829</v>
      </c>
      <c r="E20" s="3229">
        <f>'数据-取费表'!B35</f>
        <v>350</v>
      </c>
      <c r="F20" s="3228"/>
      <c r="G20" s="2497"/>
      <c r="H20" s="3349"/>
      <c r="I20" s="3349"/>
      <c r="J20" s="526"/>
      <c r="K20" s="527"/>
    </row>
    <row r="21" spans="1:33" s="523" customFormat="1" ht="13.5" customHeight="1">
      <c r="A21" s="3363" t="s">
        <v>3532</v>
      </c>
      <c r="B21" s="3220" t="s">
        <v>3489</v>
      </c>
      <c r="C21" s="2501">
        <f ca="1">ROUND(C17*F21,0)</f>
        <v>1029</v>
      </c>
      <c r="D21" s="3235"/>
      <c r="E21" s="3235"/>
      <c r="F21" s="3247">
        <f>'数据-取费表'!B36</f>
        <v>0.03</v>
      </c>
      <c r="G21" s="2497"/>
      <c r="H21" s="528"/>
      <c r="I21" s="528"/>
      <c r="J21" s="528"/>
      <c r="K21" s="3364"/>
    </row>
    <row r="22" spans="1:33" s="523" customFormat="1" ht="13.5" customHeight="1">
      <c r="A22" s="3363" t="s">
        <v>3533</v>
      </c>
      <c r="B22" s="3220" t="s">
        <v>3540</v>
      </c>
      <c r="C22" s="2501">
        <f ca="1">ROUND(C17*F22,0)</f>
        <v>1029</v>
      </c>
      <c r="D22" s="3235"/>
      <c r="E22" s="3235"/>
      <c r="F22" s="3247">
        <f>'数据-取费表'!B37</f>
        <v>0.03</v>
      </c>
      <c r="G22" s="2497"/>
      <c r="H22" s="528"/>
      <c r="I22" s="528"/>
      <c r="J22" s="528"/>
      <c r="K22" s="3364"/>
    </row>
    <row r="23" spans="1:33" s="524" customFormat="1" ht="13.5" customHeight="1">
      <c r="A23" s="3362" t="s">
        <v>3579</v>
      </c>
      <c r="B23" s="3230" t="s">
        <v>3475</v>
      </c>
      <c r="C23" s="2506">
        <f ca="1">ROUND(C16*F23,0)</f>
        <v>468</v>
      </c>
      <c r="D23" s="3236"/>
      <c r="E23" s="3236"/>
      <c r="F23" s="3248">
        <f>'数据-取费表'!B38</f>
        <v>0.01</v>
      </c>
      <c r="G23" s="2509" t="s">
        <v>3512</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3580</v>
      </c>
      <c r="B24" s="3230" t="s">
        <v>3519</v>
      </c>
      <c r="C24" s="2506" t="str">
        <f>F24&amp;"V建"</f>
        <v>0.03V建</v>
      </c>
      <c r="D24" s="3236"/>
      <c r="E24" s="3236"/>
      <c r="F24" s="3248">
        <f>'数据-取费表'!B39</f>
        <v>0.03</v>
      </c>
      <c r="G24" s="2509" t="s">
        <v>3513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3581</v>
      </c>
      <c r="B25" s="3230" t="s">
        <v>3406</v>
      </c>
      <c r="C25" s="3237" t="str">
        <f ca="1">C26&amp;"+"&amp;C27&amp;"V建"</f>
        <v>1891+0.0004V建</v>
      </c>
      <c r="D25" s="3238"/>
      <c r="E25" s="3238"/>
      <c r="F25" s="3247">
        <f ca="1">'数据-取费表'!B41</f>
        <v>3.1899999999999998E-2</v>
      </c>
      <c r="G25" s="3353" t="s">
        <v>3520</v>
      </c>
      <c r="H25" s="3354"/>
      <c r="I25" s="3354"/>
      <c r="J25" s="3354"/>
      <c r="K25" s="3365"/>
    </row>
    <row r="26" spans="1:33" s="524" customFormat="1" ht="13.5" customHeight="1">
      <c r="A26" s="3363" t="s">
        <v>3521</v>
      </c>
      <c r="B26" s="3220" t="s">
        <v>3544</v>
      </c>
      <c r="C26" s="3237">
        <f ca="1">ROUND(IF('数据-取费表'!B20&lt;=1,(C16+C23)*F25*'数据-取费表'!B20/2,(C23+C16)*(POWER((1+F25),'数据-取费表'!B20/2)-1)),0)</f>
        <v>1891</v>
      </c>
      <c r="D26" s="3238"/>
      <c r="E26" s="3238"/>
      <c r="F26" s="3228"/>
      <c r="G26" s="3353" t="s">
        <v>3522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3523</v>
      </c>
      <c r="B27" s="3220" t="s">
        <v>3545</v>
      </c>
      <c r="C27" s="3239">
        <f>ROUND(IF('数据-取费表'!B20&lt;=1,F24*F25*'数据-取费表'!B20/2,F24*(POWER((1+F23),'数据-取费表'!B20/2)-1)),4)</f>
        <v>4.0000000000000002E-4</v>
      </c>
      <c r="D27" s="3030"/>
      <c r="E27" s="3030"/>
      <c r="F27" s="3246"/>
      <c r="G27" s="3355"/>
      <c r="H27" s="3349"/>
      <c r="I27" s="3349"/>
      <c r="J27" s="3349"/>
      <c r="K27" s="3361"/>
    </row>
    <row r="28" spans="1:33" s="523" customFormat="1" ht="13.5" customHeight="1">
      <c r="A28" s="3362" t="s">
        <v>3524</v>
      </c>
      <c r="B28" s="3230" t="s">
        <v>3541</v>
      </c>
      <c r="C28" s="2650" t="str">
        <f ca="1">C29&amp;"+"&amp;C30&amp;"V建"</f>
        <v>3779+0.0024V建</v>
      </c>
      <c r="D28" s="1011"/>
      <c r="E28" s="1011"/>
      <c r="F28" s="3249">
        <f ca="1">IF(C1="",'数据-取费表'!Q16,INDIRECT("'数据-取费表'!q"&amp;$K$1))</f>
        <v>0.08</v>
      </c>
      <c r="G28" s="4675" t="s">
        <v>3525</v>
      </c>
      <c r="H28" s="3349"/>
      <c r="I28" s="3349"/>
      <c r="J28" s="3349"/>
      <c r="K28" s="3361"/>
    </row>
    <row r="29" spans="1:33" s="523" customFormat="1" ht="13.5" customHeight="1">
      <c r="A29" s="3363" t="s">
        <v>3537</v>
      </c>
      <c r="B29" s="3220" t="s">
        <v>3542</v>
      </c>
      <c r="C29" s="2651">
        <f ca="1">ROUND((C16+C23)*F28,0)</f>
        <v>3779</v>
      </c>
      <c r="D29" s="1011"/>
      <c r="E29" s="1011"/>
      <c r="F29" s="2720"/>
      <c r="G29" s="4675"/>
      <c r="H29" s="3356"/>
      <c r="I29" s="3356"/>
      <c r="J29" s="3356"/>
      <c r="K29" s="3366"/>
    </row>
    <row r="30" spans="1:33" s="531" customFormat="1" ht="13.5" customHeight="1">
      <c r="A30" s="3363" t="s">
        <v>3538</v>
      </c>
      <c r="B30" s="3220" t="s">
        <v>3543</v>
      </c>
      <c r="C30" s="2501">
        <f ca="1">ROUND(F24*F28,4)</f>
        <v>2.3999999999999998E-3</v>
      </c>
      <c r="D30" s="3240"/>
      <c r="E30" s="3238"/>
      <c r="F30" s="3228"/>
      <c r="G30" s="3357"/>
      <c r="H30" s="526"/>
      <c r="I30" s="526"/>
      <c r="J30" s="526"/>
      <c r="K30" s="527"/>
    </row>
    <row r="31" spans="1:33" s="531" customFormat="1" ht="13.5" customHeight="1">
      <c r="A31" s="3362" t="s">
        <v>3534</v>
      </c>
      <c r="B31" s="3230" t="s">
        <v>3546</v>
      </c>
      <c r="C31" s="2501">
        <v>0</v>
      </c>
      <c r="D31" s="3241"/>
      <c r="E31" s="3242"/>
      <c r="F31" s="3228"/>
      <c r="G31" s="3358" t="s">
        <v>3514</v>
      </c>
      <c r="H31" s="526"/>
      <c r="I31" s="526"/>
      <c r="J31" s="526"/>
      <c r="K31" s="527"/>
    </row>
    <row r="32" spans="1:33" s="523" customFormat="1" ht="13.5" customHeight="1">
      <c r="A32" s="3362" t="s">
        <v>3535</v>
      </c>
      <c r="B32" s="3230" t="s">
        <v>3582</v>
      </c>
      <c r="C32" s="3231">
        <f ca="1">ROUND((C16+C23+C26+C29)/(1-F24-C27-C30),0)</f>
        <v>54706</v>
      </c>
      <c r="D32" s="3241"/>
      <c r="E32" s="3242"/>
      <c r="F32" s="3228"/>
      <c r="G32" s="3359" t="s">
        <v>3515</v>
      </c>
      <c r="H32" s="3360"/>
      <c r="I32" s="3360"/>
      <c r="J32" s="3360"/>
      <c r="K32" s="3367"/>
    </row>
    <row r="33" spans="1:11" s="176" customFormat="1" ht="13.5" customHeight="1">
      <c r="A33" s="3362" t="s">
        <v>3536</v>
      </c>
      <c r="B33" s="3243" t="s">
        <v>3526</v>
      </c>
      <c r="C33" s="3244">
        <f ca="1">ROUND(C32*(1-F33),0)</f>
        <v>0</v>
      </c>
      <c r="D33" s="3245"/>
      <c r="E33" s="3030"/>
      <c r="F33" s="3248">
        <f>IF('数据-取费表'!B24=0,'数据-取费表'!N16,1)</f>
        <v>1</v>
      </c>
      <c r="G33" s="3351" t="s">
        <v>3527</v>
      </c>
      <c r="H33" s="3356"/>
      <c r="I33" s="3356"/>
      <c r="J33" s="3356"/>
      <c r="K33" s="3366"/>
    </row>
    <row r="34" spans="1:11" s="521" customFormat="1" ht="15.75" thickBot="1">
      <c r="A34" s="3368">
        <v>4</v>
      </c>
      <c r="B34" s="3369" t="s">
        <v>3584</v>
      </c>
      <c r="C34" s="3370">
        <f ca="1">C13-C15</f>
        <v>-54706</v>
      </c>
      <c r="D34" s="3369"/>
      <c r="E34" s="3369"/>
      <c r="F34" s="3371"/>
      <c r="G34" s="3372" t="s">
        <v>3612</v>
      </c>
      <c r="H34" s="3373"/>
      <c r="I34" s="3373"/>
      <c r="J34" s="3373"/>
      <c r="K34" s="337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P40" sqref="P4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3505</v>
      </c>
      <c r="B1" s="3224"/>
      <c r="C1" s="2828"/>
      <c r="D1" s="93"/>
      <c r="E1" s="93"/>
      <c r="F1" s="93"/>
      <c r="G1" s="756">
        <f>MATCH(C1,'数据-取费表'!A6:A16,0)+5</f>
        <v>10</v>
      </c>
    </row>
    <row r="2" spans="1:7" s="95" customFormat="1" ht="15.75">
      <c r="A2" s="96" t="s">
        <v>1429</v>
      </c>
      <c r="B2" s="2522">
        <f ca="1">C34</f>
        <v>8105</v>
      </c>
      <c r="C2" s="94" t="s">
        <v>1430</v>
      </c>
      <c r="D2" s="94"/>
      <c r="E2" s="2510"/>
      <c r="F2" s="94"/>
      <c r="G2" s="94"/>
    </row>
    <row r="3" spans="1:7" s="95" customFormat="1" ht="15.75">
      <c r="A3" s="98" t="s">
        <v>1431</v>
      </c>
      <c r="B3" s="2523">
        <f ca="1">ROUND(B2*10000/(IF(C1="",'数据-汇总表'!E3,INDIRECT("'数据-取费表'!k"&amp;$G$1))),0)</f>
        <v>527</v>
      </c>
      <c r="C3" s="94" t="s">
        <v>1432</v>
      </c>
      <c r="D3" s="94"/>
      <c r="E3" s="2510"/>
      <c r="F3" s="94"/>
      <c r="G3" s="94"/>
    </row>
    <row r="4" spans="1:7" s="95" customFormat="1" ht="15.75">
      <c r="A4" s="3386" t="s">
        <v>3619</v>
      </c>
      <c r="B4" s="2522">
        <f ca="1">ROUND(B2*10000/'数据-汇总表'!D3,0)</f>
        <v>3757</v>
      </c>
      <c r="C4" s="96" t="s">
        <v>3621</v>
      </c>
      <c r="D4" s="94"/>
      <c r="E4" s="2510"/>
      <c r="F4" s="94"/>
      <c r="G4" s="94"/>
    </row>
    <row r="5" spans="1:7" s="95" customFormat="1" ht="16.5" thickBot="1">
      <c r="A5" s="94"/>
      <c r="B5" s="3395">
        <f ca="1">ROUND(B2/('数据-汇总表'!D3/666.67),0)</f>
        <v>250</v>
      </c>
      <c r="C5" s="3380" t="s">
        <v>3620</v>
      </c>
      <c r="D5" s="94"/>
      <c r="E5" s="2510"/>
      <c r="F5" s="94"/>
      <c r="G5" s="94"/>
    </row>
    <row r="6" spans="1:7" s="95" customFormat="1" ht="15.75">
      <c r="A6" s="3268" t="s">
        <v>3318</v>
      </c>
      <c r="B6" s="3269" t="s">
        <v>3319</v>
      </c>
      <c r="C6" s="3270" t="s">
        <v>3940</v>
      </c>
      <c r="D6" s="3271" t="s">
        <v>3324</v>
      </c>
      <c r="E6" s="3272" t="s">
        <v>3325</v>
      </c>
      <c r="F6" s="3272" t="s">
        <v>3326</v>
      </c>
      <c r="G6" s="3273" t="s">
        <v>3320</v>
      </c>
    </row>
    <row r="7" spans="1:7" s="103" customFormat="1" ht="15.75">
      <c r="A7" s="3274" t="s">
        <v>3317</v>
      </c>
      <c r="B7" s="2503" t="s">
        <v>3564</v>
      </c>
      <c r="C7" s="2525">
        <f>IF(G7="征收国有地",C8,IF(G7="征收集体地",C11,C17))</f>
        <v>0</v>
      </c>
      <c r="D7" s="3256"/>
      <c r="E7" s="3256"/>
      <c r="F7" s="3256"/>
      <c r="G7" s="3331"/>
    </row>
    <row r="8" spans="1:7" s="109" customFormat="1">
      <c r="A8" s="3275" t="s">
        <v>3588</v>
      </c>
      <c r="B8" s="3263" t="s">
        <v>3559</v>
      </c>
      <c r="C8" s="2562">
        <f>C9+C10</f>
        <v>0</v>
      </c>
      <c r="D8" s="3222"/>
      <c r="E8" s="3222"/>
      <c r="F8" s="3222"/>
      <c r="G8" s="3254"/>
    </row>
    <row r="9" spans="1:7" s="109" customFormat="1">
      <c r="A9" s="2581" t="s">
        <v>1449</v>
      </c>
      <c r="B9" s="124" t="s">
        <v>3547</v>
      </c>
      <c r="C9" s="3407">
        <f>ROUND(D9*E9/10000,0)</f>
        <v>0</v>
      </c>
      <c r="D9" s="3252"/>
      <c r="E9" s="3252"/>
      <c r="F9" s="3222"/>
      <c r="G9" s="3276"/>
    </row>
    <row r="10" spans="1:7" s="109" customFormat="1">
      <c r="A10" s="2581" t="s">
        <v>1451</v>
      </c>
      <c r="B10" s="124" t="s">
        <v>3548</v>
      </c>
      <c r="C10" s="3407">
        <f>ROUND(D10*E10/10000,0)</f>
        <v>0</v>
      </c>
      <c r="D10" s="3252"/>
      <c r="E10" s="3252"/>
      <c r="F10" s="3222"/>
      <c r="G10" s="3276"/>
    </row>
    <row r="11" spans="1:7" s="109" customFormat="1" ht="13.5">
      <c r="A11" s="3223" t="s">
        <v>3570</v>
      </c>
      <c r="B11" s="3326" t="s">
        <v>3560</v>
      </c>
      <c r="C11" s="136">
        <f>C12+C15+C16</f>
        <v>0</v>
      </c>
      <c r="D11" s="3222"/>
      <c r="E11" s="3222"/>
      <c r="F11" s="3222"/>
      <c r="G11" s="3276"/>
    </row>
    <row r="12" spans="1:7" s="109" customFormat="1">
      <c r="A12" s="2581" t="s">
        <v>1449</v>
      </c>
      <c r="B12" s="124" t="s">
        <v>3549</v>
      </c>
      <c r="C12" s="124">
        <f>C13+C14</f>
        <v>0</v>
      </c>
      <c r="D12" s="994"/>
      <c r="E12" s="994"/>
      <c r="F12" s="3222"/>
      <c r="G12" s="3277" t="s">
        <v>3550</v>
      </c>
    </row>
    <row r="13" spans="1:7" s="109" customFormat="1">
      <c r="A13" s="3327" t="s">
        <v>3572</v>
      </c>
      <c r="B13" s="3328" t="s">
        <v>3571</v>
      </c>
      <c r="C13" s="3407">
        <f>ROUND(D13*E13/10000,0)</f>
        <v>0</v>
      </c>
      <c r="D13" s="3252"/>
      <c r="E13" s="3252"/>
      <c r="F13" s="3222"/>
      <c r="G13" s="3278" t="s">
        <v>3652</v>
      </c>
    </row>
    <row r="14" spans="1:7" s="109" customFormat="1">
      <c r="A14" s="3327" t="s">
        <v>3574</v>
      </c>
      <c r="B14" s="3328" t="s">
        <v>3573</v>
      </c>
      <c r="C14" s="3252">
        <v>0</v>
      </c>
      <c r="D14" s="994"/>
      <c r="E14" s="994"/>
      <c r="F14" s="3222"/>
      <c r="G14" s="3278"/>
    </row>
    <row r="15" spans="1:7" s="109" customFormat="1">
      <c r="A15" s="2581" t="s">
        <v>1451</v>
      </c>
      <c r="B15" s="124" t="s">
        <v>3551</v>
      </c>
      <c r="C15" s="3407">
        <f t="shared" ref="C15" si="0">ROUND(D15*E15/10000,0)</f>
        <v>0</v>
      </c>
      <c r="D15" s="3252"/>
      <c r="E15" s="3252"/>
      <c r="F15" s="3222"/>
      <c r="G15" s="3278" t="s">
        <v>3552</v>
      </c>
    </row>
    <row r="16" spans="1:7" s="109" customFormat="1">
      <c r="A16" s="2581" t="s">
        <v>3563</v>
      </c>
      <c r="B16" s="3264" t="s">
        <v>3553</v>
      </c>
      <c r="C16" s="3407">
        <f>C13*F16</f>
        <v>0</v>
      </c>
      <c r="D16" s="3252"/>
      <c r="E16" s="3252"/>
      <c r="F16" s="3408">
        <v>0.25</v>
      </c>
      <c r="G16" s="3341" t="s">
        <v>3554</v>
      </c>
    </row>
    <row r="17" spans="1:9" s="109" customFormat="1" ht="13.5">
      <c r="A17" s="3223" t="s">
        <v>337</v>
      </c>
      <c r="B17" s="3263" t="s">
        <v>3561</v>
      </c>
      <c r="C17" s="2521">
        <f>C18+C19</f>
        <v>0</v>
      </c>
      <c r="D17" s="3333"/>
      <c r="E17" s="3334"/>
      <c r="F17" s="2553"/>
      <c r="G17" s="3342"/>
    </row>
    <row r="18" spans="1:9" s="109" customFormat="1">
      <c r="A18" s="3221" t="s">
        <v>347</v>
      </c>
      <c r="B18" s="3264" t="s">
        <v>1440</v>
      </c>
      <c r="C18" s="3020"/>
      <c r="D18" s="3335"/>
      <c r="E18" s="3334"/>
      <c r="F18" s="2552"/>
      <c r="G18" s="3409" t="s">
        <v>3653</v>
      </c>
    </row>
    <row r="19" spans="1:9" s="109" customFormat="1">
      <c r="A19" s="3221" t="s">
        <v>1441</v>
      </c>
      <c r="B19" s="3264" t="s">
        <v>1442</v>
      </c>
      <c r="C19" s="2521">
        <f>ROUND(C18*F19,0)</f>
        <v>0</v>
      </c>
      <c r="D19" s="3333"/>
      <c r="E19" s="3334"/>
      <c r="F19" s="2553">
        <f>IF(项目基本情况!B8="出让",0,'数据-取费表'!B49+'数据-取费表'!B50)</f>
        <v>3.0499999999999999E-2</v>
      </c>
      <c r="G19" s="3342"/>
    </row>
    <row r="20" spans="1:9" s="2533" customFormat="1" ht="15.75">
      <c r="A20" s="3274" t="s">
        <v>3589</v>
      </c>
      <c r="B20" s="2503" t="s">
        <v>3562</v>
      </c>
      <c r="C20" s="2534">
        <f ca="1">C21+C24+C25</f>
        <v>7691</v>
      </c>
      <c r="D20" s="3336"/>
      <c r="E20" s="3337"/>
      <c r="F20" s="2557"/>
      <c r="G20" s="3343"/>
    </row>
    <row r="21" spans="1:9" s="118" customFormat="1" ht="15">
      <c r="A21" s="3279" t="s">
        <v>3585</v>
      </c>
      <c r="B21" s="3257" t="s">
        <v>3310</v>
      </c>
      <c r="C21" s="2562">
        <f>IF(G21="已包含在土地购买价格中","0",IF(C1="",'数据-取费表'!B29,IF(G22="全部缴纳",C22+C23,H22)))</f>
        <v>0</v>
      </c>
      <c r="D21" s="3338"/>
      <c r="E21" s="3339"/>
      <c r="F21" s="3253"/>
      <c r="G21" s="1338"/>
    </row>
    <row r="22" spans="1:9" s="109" customFormat="1">
      <c r="A22" s="2505" t="s">
        <v>3568</v>
      </c>
      <c r="B22" s="3258" t="s">
        <v>1445</v>
      </c>
      <c r="C22" s="2561">
        <f ca="1">ROUND(D22*E22/10000,0)</f>
        <v>497</v>
      </c>
      <c r="D22" s="3250">
        <f ca="1">IF(C1="",'数据-汇总表'!E5,IF(INDIRECT("'数据-取费表'!c"&amp;$G$1)="住宅",INDIRECT("'数据-取费表'!k"&amp;$G$1),0))</f>
        <v>99449</v>
      </c>
      <c r="E22" s="3250">
        <f>'数据-取费表'!B27</f>
        <v>50</v>
      </c>
      <c r="F22" s="2553"/>
      <c r="G22" s="1339"/>
      <c r="H22" s="762"/>
      <c r="I22" s="1340" t="s">
        <v>1446</v>
      </c>
    </row>
    <row r="23" spans="1:9" s="109" customFormat="1">
      <c r="A23" s="2505" t="s">
        <v>3569</v>
      </c>
      <c r="B23" s="3258" t="s">
        <v>1447</v>
      </c>
      <c r="C23" s="2561">
        <f ca="1">ROUND(D23*E23/10000,0)</f>
        <v>489</v>
      </c>
      <c r="D23" s="3250">
        <f ca="1">IF(C1="",'数据-汇总表'!E6,IF(INDIRECT("'数据-取费表'!c"&amp;$G$1)="住宅",INDIRECT("'数据-取费表'!s"&amp;$G$1),INDIRECT("'数据-取费表'!k"&amp;$G$1)+INDIRECT("'数据-取费表'!s"&amp;$G$1)))</f>
        <v>54380</v>
      </c>
      <c r="E23" s="3250">
        <f>'数据-取费表'!B28</f>
        <v>90</v>
      </c>
      <c r="F23" s="2553"/>
      <c r="G23" s="3344"/>
    </row>
    <row r="24" spans="1:9" s="109" customFormat="1" ht="13.5">
      <c r="A24" s="3223" t="s">
        <v>3570</v>
      </c>
      <c r="B24" s="3259" t="s">
        <v>3586</v>
      </c>
      <c r="C24" s="2562">
        <f ca="1">IF(G24="已包含在土地取得成本中","0",ROUND(D24*E24/10000,0))</f>
        <v>2307</v>
      </c>
      <c r="D24" s="3251">
        <f ca="1">D22+D23</f>
        <v>153829</v>
      </c>
      <c r="E24" s="3251">
        <f>'数据-取费表'!B31</f>
        <v>150</v>
      </c>
      <c r="F24" s="3260"/>
      <c r="G24" s="1338"/>
    </row>
    <row r="25" spans="1:9" s="109" customFormat="1" ht="13.5">
      <c r="A25" s="3223" t="s">
        <v>337</v>
      </c>
      <c r="B25" s="3259" t="s">
        <v>3587</v>
      </c>
      <c r="C25" s="2562">
        <f ca="1">ROUND(E25*D25/10000,0)</f>
        <v>5384</v>
      </c>
      <c r="D25" s="3251">
        <f ca="1">D24</f>
        <v>153829</v>
      </c>
      <c r="E25" s="3251">
        <f>'数据-取费表'!B35</f>
        <v>350</v>
      </c>
      <c r="F25" s="3253"/>
      <c r="G25" s="3345"/>
    </row>
    <row r="26" spans="1:9" s="103" customFormat="1" ht="15.75">
      <c r="A26" s="3274" t="s">
        <v>3590</v>
      </c>
      <c r="B26" s="2503" t="s">
        <v>3591</v>
      </c>
      <c r="C26" s="2522">
        <f>C27+C28</f>
        <v>0</v>
      </c>
      <c r="D26" s="3340"/>
      <c r="E26" s="3340"/>
      <c r="F26" s="3253"/>
      <c r="G26" s="3346"/>
    </row>
    <row r="27" spans="1:9" s="109" customFormat="1">
      <c r="A27" s="3275" t="s">
        <v>3588</v>
      </c>
      <c r="B27" s="3261" t="s">
        <v>3555</v>
      </c>
      <c r="C27" s="2562">
        <f>ROUND(E27*D27/10000,0)</f>
        <v>0</v>
      </c>
      <c r="D27" s="3262"/>
      <c r="E27" s="3284">
        <v>25</v>
      </c>
      <c r="F27" s="3253"/>
      <c r="G27" s="3341" t="s">
        <v>3556</v>
      </c>
    </row>
    <row r="28" spans="1:9" s="109" customFormat="1">
      <c r="A28" s="3280" t="s">
        <v>3570</v>
      </c>
      <c r="B28" s="3261" t="s">
        <v>3557</v>
      </c>
      <c r="C28" s="2562">
        <f>ROUND(E28*D28/10000,0)</f>
        <v>0</v>
      </c>
      <c r="D28" s="3262"/>
      <c r="E28" s="3284">
        <v>60.1</v>
      </c>
      <c r="F28" s="3253"/>
      <c r="G28" s="3341" t="s">
        <v>3558</v>
      </c>
    </row>
    <row r="29" spans="1:9" s="2533" customFormat="1" ht="15.75">
      <c r="A29" s="3274" t="s">
        <v>3592</v>
      </c>
      <c r="B29" s="2503" t="s">
        <v>3593</v>
      </c>
      <c r="C29" s="2513">
        <f ca="1">ROUND(IF('数据-取费表'!B19&lt;=1,((C7+C26)*'数据-取费表'!B19+C20*'数据-取费表'!B19/2)*F29,((C7+C26)*(POWER((1+F29),'数据-取费表'!B19)-1)+C20*(POWER((1+F29),'数据-取费表'!B19/2)-1))),0)</f>
        <v>0</v>
      </c>
      <c r="D29" s="2538"/>
      <c r="E29" s="296"/>
      <c r="F29" s="3255">
        <f ca="1">'数据-取费表'!B41</f>
        <v>3.1899999999999998E-2</v>
      </c>
      <c r="G29" s="3347" t="str">
        <f>IF('数据-取费表'!B19&lt;=1,"单利计息","复利计息")</f>
        <v>单利计息</v>
      </c>
    </row>
    <row r="30" spans="1:9" s="2533" customFormat="1" ht="15.75">
      <c r="A30" s="3274" t="s">
        <v>3594</v>
      </c>
      <c r="B30" s="2503" t="s">
        <v>3595</v>
      </c>
      <c r="C30" s="2540">
        <f ca="1">ROUND((C7+C20+C26)*F30,0)</f>
        <v>615</v>
      </c>
      <c r="D30" s="2538"/>
      <c r="E30" s="296"/>
      <c r="F30" s="3265">
        <f ca="1">IF(C1="",'数据-取费表'!Q16,INDIRECT("'数据-取费表'!q"&amp;$G$1))</f>
        <v>0.08</v>
      </c>
      <c r="G30" s="3347"/>
    </row>
    <row r="31" spans="1:9" s="109" customFormat="1" ht="15.75">
      <c r="A31" s="2504" t="s">
        <v>3575</v>
      </c>
      <c r="B31" s="2503" t="s">
        <v>3567</v>
      </c>
      <c r="C31" s="2525">
        <f ca="1">C7+C20+C29+C30</f>
        <v>8306</v>
      </c>
      <c r="D31" s="2516"/>
      <c r="E31" s="2516"/>
      <c r="F31" s="2515"/>
      <c r="G31" s="2517" t="s">
        <v>3598</v>
      </c>
    </row>
    <row r="32" spans="1:9" s="109" customFormat="1" ht="15.75">
      <c r="A32" s="2504" t="s">
        <v>3566</v>
      </c>
      <c r="B32" s="2503" t="s">
        <v>3565</v>
      </c>
      <c r="C32" s="3330">
        <f ca="1">ROUND(C31*F32,0)</f>
        <v>831</v>
      </c>
      <c r="D32" s="130"/>
      <c r="E32" s="131"/>
      <c r="F32" s="3266">
        <v>0.1</v>
      </c>
      <c r="G32" s="3348"/>
    </row>
    <row r="33" spans="1:14" s="109" customFormat="1" ht="15.75">
      <c r="A33" s="3329">
        <v>8</v>
      </c>
      <c r="B33" s="2503" t="s">
        <v>3577</v>
      </c>
      <c r="C33" s="2525">
        <f ca="1">C31+C32</f>
        <v>9137</v>
      </c>
      <c r="D33" s="2516"/>
      <c r="E33" s="2516"/>
      <c r="F33" s="3267"/>
      <c r="G33" s="2517" t="s">
        <v>3597</v>
      </c>
    </row>
    <row r="34" spans="1:14" s="118" customFormat="1" ht="16.5" thickBot="1">
      <c r="A34" s="3281">
        <v>9</v>
      </c>
      <c r="B34" s="3282" t="s">
        <v>3576</v>
      </c>
      <c r="C34" s="2525">
        <f ca="1">ROUND(C33*F34,0)</f>
        <v>8105</v>
      </c>
      <c r="D34" s="3283"/>
      <c r="E34" s="3283"/>
      <c r="F34" s="3332">
        <f>'数据-取费表'!AS16</f>
        <v>0.88700000000000001</v>
      </c>
      <c r="G34" s="2517" t="s">
        <v>3599</v>
      </c>
    </row>
    <row r="35" spans="1:14" s="109" customFormat="1"/>
    <row r="36" spans="1:14" s="109" customFormat="1"/>
    <row r="41" spans="1:14">
      <c r="J41" s="4230" t="s">
        <v>4050</v>
      </c>
    </row>
    <row r="42" spans="1:14">
      <c r="J42" s="4230" t="s">
        <v>4047</v>
      </c>
    </row>
    <row r="43" spans="1:14">
      <c r="J43" s="4231" t="s">
        <v>3986</v>
      </c>
      <c r="K43" s="4231"/>
      <c r="L43" s="4232"/>
      <c r="M43" s="4232"/>
      <c r="N43" s="4232"/>
    </row>
    <row r="44" spans="1:14" ht="25.5">
      <c r="J44" s="4684" t="s">
        <v>3987</v>
      </c>
      <c r="K44" s="4685"/>
      <c r="L44" s="4686"/>
      <c r="M44" s="4233" t="s">
        <v>3988</v>
      </c>
      <c r="N44" s="4233" t="s">
        <v>3989</v>
      </c>
    </row>
    <row r="45" spans="1:14">
      <c r="J45" s="4684" t="s">
        <v>3990</v>
      </c>
      <c r="K45" s="4685"/>
      <c r="L45" s="4686"/>
      <c r="M45" s="4233" t="s">
        <v>3991</v>
      </c>
      <c r="N45" s="4681" t="s">
        <v>3992</v>
      </c>
    </row>
    <row r="46" spans="1:14">
      <c r="J46" s="4684" t="s">
        <v>3993</v>
      </c>
      <c r="K46" s="4685"/>
      <c r="L46" s="4686"/>
      <c r="M46" s="4677" t="s">
        <v>3994</v>
      </c>
      <c r="N46" s="4682"/>
    </row>
    <row r="47" spans="1:14">
      <c r="J47" s="4684" t="s">
        <v>3995</v>
      </c>
      <c r="K47" s="4685"/>
      <c r="L47" s="4686"/>
      <c r="M47" s="4679"/>
      <c r="N47" s="4682"/>
    </row>
    <row r="48" spans="1:14">
      <c r="J48" s="4681" t="s">
        <v>4006</v>
      </c>
      <c r="K48" s="4677"/>
      <c r="L48" s="4233" t="s">
        <v>3996</v>
      </c>
      <c r="M48" s="4677" t="s">
        <v>3997</v>
      </c>
      <c r="N48" s="4682"/>
    </row>
    <row r="49" spans="10:15">
      <c r="J49" s="4682"/>
      <c r="K49" s="4678"/>
      <c r="L49" s="4233" t="s">
        <v>3998</v>
      </c>
      <c r="M49" s="4678"/>
      <c r="N49" s="4682"/>
    </row>
    <row r="50" spans="10:15">
      <c r="J50" s="4682"/>
      <c r="K50" s="4679"/>
      <c r="L50" s="4233" t="s">
        <v>3999</v>
      </c>
      <c r="M50" s="4678"/>
      <c r="N50" s="4682"/>
    </row>
    <row r="51" spans="10:15">
      <c r="J51" s="4682"/>
      <c r="K51" s="4681" t="s">
        <v>4007</v>
      </c>
      <c r="L51" s="4233" t="s">
        <v>4000</v>
      </c>
      <c r="M51" s="4678"/>
      <c r="N51" s="4682"/>
    </row>
    <row r="52" spans="10:15">
      <c r="J52" s="4683"/>
      <c r="K52" s="4682"/>
      <c r="L52" s="4233" t="s">
        <v>4008</v>
      </c>
      <c r="M52" s="4678"/>
      <c r="N52" s="4682"/>
    </row>
    <row r="53" spans="10:15">
      <c r="J53" s="4677"/>
      <c r="K53" s="4682"/>
      <c r="L53" s="4233" t="s">
        <v>4009</v>
      </c>
      <c r="M53" s="4678"/>
      <c r="N53" s="4682"/>
    </row>
    <row r="54" spans="10:15">
      <c r="J54" s="4678"/>
      <c r="K54" s="4682"/>
      <c r="L54" s="4233" t="s">
        <v>4001</v>
      </c>
      <c r="M54" s="4678"/>
      <c r="N54" s="4682"/>
    </row>
    <row r="55" spans="10:15">
      <c r="J55" s="4678"/>
      <c r="K55" s="4682"/>
      <c r="L55" s="4233" t="s">
        <v>4002</v>
      </c>
      <c r="M55" s="4678"/>
      <c r="N55" s="4682"/>
    </row>
    <row r="56" spans="10:15">
      <c r="J56" s="4678"/>
      <c r="K56" s="4682"/>
      <c r="L56" s="4233" t="s">
        <v>4003</v>
      </c>
      <c r="M56" s="4679"/>
      <c r="N56" s="4682"/>
    </row>
    <row r="57" spans="10:15">
      <c r="J57" s="4679"/>
      <c r="K57" s="4683"/>
      <c r="L57" s="4233" t="s">
        <v>4004</v>
      </c>
      <c r="M57" s="4234" t="s">
        <v>4005</v>
      </c>
      <c r="N57" s="4683"/>
    </row>
    <row r="60" spans="10:15">
      <c r="J60" s="4232" t="s">
        <v>4010</v>
      </c>
      <c r="K60" s="4232"/>
      <c r="L60" s="4232"/>
      <c r="M60" s="4232"/>
      <c r="N60" s="4232"/>
      <c r="O60" s="4232"/>
    </row>
    <row r="61" spans="10:15">
      <c r="J61" s="4231" t="s">
        <v>4011</v>
      </c>
      <c r="K61" s="4231" t="s">
        <v>4012</v>
      </c>
      <c r="L61" s="4231" t="s">
        <v>4013</v>
      </c>
      <c r="M61" s="4231" t="s">
        <v>4014</v>
      </c>
      <c r="N61" s="4231" t="s">
        <v>4015</v>
      </c>
      <c r="O61" s="4231" t="s">
        <v>4007</v>
      </c>
    </row>
    <row r="62" spans="10:15">
      <c r="J62" s="4231" t="s">
        <v>4016</v>
      </c>
      <c r="K62" s="4235" t="s">
        <v>4049</v>
      </c>
      <c r="L62" s="4231" t="s">
        <v>4017</v>
      </c>
      <c r="M62" s="4231" t="s">
        <v>4017</v>
      </c>
      <c r="N62" s="4231" t="s">
        <v>4018</v>
      </c>
      <c r="O62" s="4231" t="s">
        <v>4018</v>
      </c>
    </row>
    <row r="63" spans="10:15">
      <c r="J63" s="4231" t="s">
        <v>4019</v>
      </c>
      <c r="K63" s="4231" t="s">
        <v>4020</v>
      </c>
      <c r="L63" s="4231" t="s">
        <v>4021</v>
      </c>
      <c r="M63" s="4231" t="s">
        <v>4021</v>
      </c>
      <c r="N63" s="4231" t="s">
        <v>4022</v>
      </c>
      <c r="O63" s="4231" t="s">
        <v>4022</v>
      </c>
    </row>
    <row r="67" spans="10:15">
      <c r="J67" s="4232" t="s">
        <v>4023</v>
      </c>
      <c r="K67" s="4232"/>
      <c r="L67" s="4232"/>
      <c r="M67" s="4232"/>
      <c r="N67" s="4232"/>
      <c r="O67" s="4232"/>
    </row>
    <row r="68" spans="10:15">
      <c r="J68" s="4231" t="s">
        <v>4011</v>
      </c>
      <c r="K68" s="4231" t="s">
        <v>4024</v>
      </c>
      <c r="L68" s="4680" t="s">
        <v>4025</v>
      </c>
      <c r="M68" s="4680"/>
      <c r="N68" s="4680"/>
      <c r="O68" s="4231" t="s">
        <v>3989</v>
      </c>
    </row>
    <row r="69" spans="10:15" ht="25.5">
      <c r="J69" s="4231" t="s">
        <v>4026</v>
      </c>
      <c r="K69" s="4236" t="s">
        <v>4027</v>
      </c>
      <c r="L69" s="4676" t="s">
        <v>4028</v>
      </c>
      <c r="M69" s="4676"/>
      <c r="N69" s="4676"/>
      <c r="O69" s="4231"/>
    </row>
    <row r="70" spans="10:15" ht="25.5">
      <c r="J70" s="4231" t="s">
        <v>4029</v>
      </c>
      <c r="K70" s="4236" t="s">
        <v>4030</v>
      </c>
      <c r="L70" s="4676" t="s">
        <v>4031</v>
      </c>
      <c r="M70" s="4676"/>
      <c r="N70" s="4676"/>
      <c r="O70" s="4231"/>
    </row>
    <row r="71" spans="10:15" ht="25.5">
      <c r="J71" s="4231" t="s">
        <v>4032</v>
      </c>
      <c r="K71" s="4236" t="s">
        <v>4033</v>
      </c>
      <c r="L71" s="4676" t="s">
        <v>4034</v>
      </c>
      <c r="M71" s="4676"/>
      <c r="N71" s="4676"/>
      <c r="O71" s="4231"/>
    </row>
    <row r="72" spans="10:15" ht="27" customHeight="1">
      <c r="J72" s="4231" t="s">
        <v>4035</v>
      </c>
      <c r="K72" s="4236" t="s">
        <v>4036</v>
      </c>
      <c r="L72" s="4676" t="s">
        <v>4048</v>
      </c>
      <c r="M72" s="4676"/>
      <c r="N72" s="4676"/>
      <c r="O72" s="4231"/>
    </row>
    <row r="73" spans="10:15" ht="30" customHeight="1">
      <c r="J73" s="4231" t="s">
        <v>4037</v>
      </c>
      <c r="K73" s="4236" t="s">
        <v>4038</v>
      </c>
      <c r="L73" s="4676" t="s">
        <v>4039</v>
      </c>
      <c r="M73" s="4676"/>
      <c r="N73" s="4676"/>
      <c r="O73" s="4231" t="s">
        <v>2193</v>
      </c>
    </row>
    <row r="74" spans="10:15" ht="57.75" customHeight="1">
      <c r="J74" s="4231" t="s">
        <v>4040</v>
      </c>
      <c r="K74" s="4236" t="s">
        <v>4041</v>
      </c>
      <c r="L74" s="4676" t="s">
        <v>4042</v>
      </c>
      <c r="M74" s="4676"/>
      <c r="N74" s="4676"/>
      <c r="O74" s="4231" t="s">
        <v>4043</v>
      </c>
    </row>
    <row r="75" spans="10:15" ht="32.25" customHeight="1">
      <c r="J75" s="4231" t="s">
        <v>4044</v>
      </c>
      <c r="K75" s="4236" t="s">
        <v>4045</v>
      </c>
      <c r="L75" s="4676" t="s">
        <v>4046</v>
      </c>
      <c r="M75" s="4676"/>
      <c r="N75" s="4676"/>
      <c r="O75" s="4231"/>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2472</v>
      </c>
      <c r="B1" s="2226" t="s">
        <v>2473</v>
      </c>
      <c r="C1" s="2226" t="s">
        <v>2474</v>
      </c>
      <c r="D1" s="2226" t="s">
        <v>2475</v>
      </c>
      <c r="E1" s="2226" t="s">
        <v>2476</v>
      </c>
      <c r="F1" s="2226" t="s">
        <v>2477</v>
      </c>
      <c r="G1" s="2226" t="s">
        <v>2478</v>
      </c>
      <c r="H1" s="2226" t="s">
        <v>2479</v>
      </c>
      <c r="I1" s="2226" t="s">
        <v>2480</v>
      </c>
      <c r="J1" s="2226" t="s">
        <v>2481</v>
      </c>
      <c r="K1" s="2226" t="s">
        <v>2482</v>
      </c>
      <c r="L1" s="2226" t="s">
        <v>2483</v>
      </c>
      <c r="M1" s="2227" t="s">
        <v>2484</v>
      </c>
    </row>
    <row r="2" spans="1:13" ht="19.5" customHeight="1">
      <c r="A2" s="2229" t="s">
        <v>2485</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2486</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2487</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2488</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2489</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2490</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2491</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2492</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2493</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2494</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2495</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2496</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2497</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2498</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2499</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2500</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2501</v>
      </c>
      <c r="B18" s="2238"/>
      <c r="C18" s="2239"/>
      <c r="D18" s="2239"/>
      <c r="E18" s="2238"/>
      <c r="F18" s="2239"/>
      <c r="G18" s="2239"/>
    </row>
    <row r="19" spans="1:13" ht="19.5" customHeight="1" thickBot="1">
      <c r="A19" s="2237" t="s">
        <v>2502</v>
      </c>
      <c r="B19" s="2241" t="s">
        <v>2503</v>
      </c>
      <c r="C19" s="2241" t="s">
        <v>2504</v>
      </c>
      <c r="D19" s="2242"/>
      <c r="E19" s="2237" t="s">
        <v>2505</v>
      </c>
      <c r="F19" s="2243"/>
      <c r="G19" s="2243"/>
    </row>
    <row r="20" spans="1:13" ht="19.5" customHeight="1">
      <c r="A20" s="4697" t="s">
        <v>2485</v>
      </c>
      <c r="B20" s="4687" t="s">
        <v>2506</v>
      </c>
      <c r="C20" s="2492" t="s">
        <v>2317</v>
      </c>
      <c r="D20" s="2492"/>
      <c r="E20" s="3055">
        <v>1</v>
      </c>
      <c r="F20" s="2246" t="s">
        <v>2318</v>
      </c>
      <c r="G20" s="2246"/>
    </row>
    <row r="21" spans="1:13" ht="19.5" customHeight="1">
      <c r="A21" s="4698"/>
      <c r="B21" s="4688"/>
      <c r="C21" s="2255" t="s">
        <v>2319</v>
      </c>
      <c r="D21" s="2255"/>
      <c r="E21" s="3056">
        <v>1</v>
      </c>
      <c r="F21" s="2246" t="s">
        <v>2320</v>
      </c>
      <c r="G21" s="2246"/>
    </row>
    <row r="22" spans="1:13" ht="19.5" customHeight="1">
      <c r="A22" s="4698"/>
      <c r="B22" s="4688"/>
      <c r="C22" s="2255" t="s">
        <v>2321</v>
      </c>
      <c r="D22" s="2255"/>
      <c r="E22" s="3056">
        <v>0.9</v>
      </c>
      <c r="F22" s="2246" t="s">
        <v>2322</v>
      </c>
      <c r="G22" s="2246"/>
    </row>
    <row r="23" spans="1:13" ht="19.5" customHeight="1">
      <c r="A23" s="4698"/>
      <c r="B23" s="4688"/>
      <c r="C23" s="2255" t="s">
        <v>2323</v>
      </c>
      <c r="D23" s="2255"/>
      <c r="E23" s="3056">
        <v>0.9</v>
      </c>
      <c r="F23" s="2246" t="s">
        <v>2324</v>
      </c>
      <c r="G23" s="2246"/>
    </row>
    <row r="24" spans="1:13" ht="19.5" customHeight="1">
      <c r="A24" s="4698"/>
      <c r="B24" s="4688"/>
      <c r="C24" s="2255" t="s">
        <v>2325</v>
      </c>
      <c r="D24" s="2255"/>
      <c r="E24" s="3056">
        <v>0.8</v>
      </c>
      <c r="F24" s="2246" t="s">
        <v>2326</v>
      </c>
      <c r="G24" s="2246"/>
    </row>
    <row r="25" spans="1:13" ht="19.5" customHeight="1">
      <c r="A25" s="4698"/>
      <c r="B25" s="4688"/>
      <c r="C25" s="2255" t="s">
        <v>2327</v>
      </c>
      <c r="D25" s="2255"/>
      <c r="E25" s="3056">
        <v>0.8</v>
      </c>
      <c r="F25" s="2246"/>
      <c r="G25" s="2246"/>
    </row>
    <row r="26" spans="1:13" ht="19.5" customHeight="1">
      <c r="A26" s="4698"/>
      <c r="B26" s="4688"/>
      <c r="C26" s="2255" t="s">
        <v>3266</v>
      </c>
      <c r="D26" s="2255"/>
      <c r="E26" s="3056">
        <v>0.43</v>
      </c>
      <c r="F26" s="2246"/>
      <c r="G26" s="2246"/>
    </row>
    <row r="27" spans="1:13" ht="19.5" customHeight="1" thickBot="1">
      <c r="A27" s="4699"/>
      <c r="B27" s="4689"/>
      <c r="C27" s="2489" t="s">
        <v>3267</v>
      </c>
      <c r="D27" s="2489"/>
      <c r="E27" s="3057">
        <f>E26*0.9</f>
        <v>0.38700000000000001</v>
      </c>
      <c r="F27" s="2246" t="s">
        <v>2328</v>
      </c>
      <c r="G27" s="2246"/>
    </row>
    <row r="28" spans="1:13" ht="19.5" customHeight="1" thickBot="1">
      <c r="A28" s="2488" t="s">
        <v>2507</v>
      </c>
      <c r="B28" s="2487" t="s">
        <v>2506</v>
      </c>
      <c r="C28" s="2490" t="s">
        <v>2508</v>
      </c>
      <c r="D28" s="2491"/>
      <c r="E28" s="3058">
        <v>1</v>
      </c>
      <c r="F28" s="2246" t="s">
        <v>2329</v>
      </c>
      <c r="G28" s="2246"/>
    </row>
    <row r="29" spans="1:13" ht="19.5" customHeight="1">
      <c r="A29" s="4690" t="s">
        <v>2509</v>
      </c>
      <c r="B29" s="4693" t="s">
        <v>2490</v>
      </c>
      <c r="C29" s="2244" t="s">
        <v>2330</v>
      </c>
      <c r="D29" s="2245"/>
      <c r="E29" s="3055">
        <v>1</v>
      </c>
      <c r="F29" s="2246" t="s">
        <v>2331</v>
      </c>
      <c r="G29" s="2246"/>
    </row>
    <row r="30" spans="1:13" ht="19.5" customHeight="1">
      <c r="A30" s="4691"/>
      <c r="B30" s="4694"/>
      <c r="C30" s="2247" t="s">
        <v>2332</v>
      </c>
      <c r="D30" s="2248"/>
      <c r="E30" s="3056">
        <v>1</v>
      </c>
      <c r="F30" s="2246" t="s">
        <v>2333</v>
      </c>
      <c r="G30" s="2246"/>
    </row>
    <row r="31" spans="1:13" ht="19.5" customHeight="1">
      <c r="A31" s="4691"/>
      <c r="B31" s="4694"/>
      <c r="C31" s="2247" t="s">
        <v>2334</v>
      </c>
      <c r="D31" s="2248"/>
      <c r="E31" s="3056">
        <v>0.8</v>
      </c>
      <c r="F31" s="2246" t="s">
        <v>2335</v>
      </c>
      <c r="G31" s="2246"/>
    </row>
    <row r="32" spans="1:13" ht="19.5" customHeight="1">
      <c r="A32" s="4691"/>
      <c r="B32" s="4694"/>
      <c r="C32" s="2247" t="s">
        <v>2336</v>
      </c>
      <c r="D32" s="2248"/>
      <c r="E32" s="3056">
        <v>0.8</v>
      </c>
      <c r="F32" s="2246" t="s">
        <v>2337</v>
      </c>
      <c r="G32" s="2246"/>
    </row>
    <row r="33" spans="1:7" ht="19.5" customHeight="1">
      <c r="A33" s="4691"/>
      <c r="B33" s="4694"/>
      <c r="C33" s="2247" t="s">
        <v>2338</v>
      </c>
      <c r="D33" s="2248"/>
      <c r="E33" s="3056">
        <v>0.8</v>
      </c>
      <c r="F33" s="2246" t="s">
        <v>2339</v>
      </c>
      <c r="G33" s="2246"/>
    </row>
    <row r="34" spans="1:7" ht="19.5" customHeight="1">
      <c r="A34" s="4691"/>
      <c r="B34" s="4694"/>
      <c r="C34" s="2247" t="s">
        <v>2340</v>
      </c>
      <c r="D34" s="2248"/>
      <c r="E34" s="3056">
        <v>0.7</v>
      </c>
      <c r="F34" s="2246" t="s">
        <v>2341</v>
      </c>
      <c r="G34" s="2246"/>
    </row>
    <row r="35" spans="1:7" ht="19.5" customHeight="1">
      <c r="A35" s="4691"/>
      <c r="B35" s="4694"/>
      <c r="C35" s="2247" t="s">
        <v>2342</v>
      </c>
      <c r="D35" s="2248"/>
      <c r="E35" s="3056">
        <v>0.8</v>
      </c>
      <c r="F35" s="2246" t="s">
        <v>2343</v>
      </c>
      <c r="G35" s="2246"/>
    </row>
    <row r="36" spans="1:7" ht="19.5" customHeight="1">
      <c r="A36" s="4691"/>
      <c r="B36" s="4694"/>
      <c r="C36" s="2247" t="s">
        <v>2344</v>
      </c>
      <c r="D36" s="2248"/>
      <c r="E36" s="3056">
        <v>0.6</v>
      </c>
      <c r="F36" s="2246" t="s">
        <v>2345</v>
      </c>
      <c r="G36" s="2246"/>
    </row>
    <row r="37" spans="1:7" ht="19.5" customHeight="1">
      <c r="A37" s="4691"/>
      <c r="B37" s="4694"/>
      <c r="C37" s="2247" t="s">
        <v>2346</v>
      </c>
      <c r="D37" s="2248"/>
      <c r="E37" s="3056">
        <v>0.2</v>
      </c>
      <c r="F37" s="2246" t="s">
        <v>2347</v>
      </c>
      <c r="G37" s="2246"/>
    </row>
    <row r="38" spans="1:7" ht="19.5" customHeight="1">
      <c r="A38" s="4691"/>
      <c r="B38" s="4694"/>
      <c r="C38" s="2247" t="s">
        <v>2348</v>
      </c>
      <c r="D38" s="2248"/>
      <c r="E38" s="3056">
        <v>0.2</v>
      </c>
      <c r="F38" s="2246" t="s">
        <v>2349</v>
      </c>
      <c r="G38" s="2246"/>
    </row>
    <row r="39" spans="1:7" ht="19.5" customHeight="1">
      <c r="A39" s="4691"/>
      <c r="B39" s="4695" t="s">
        <v>2510</v>
      </c>
      <c r="C39" s="2247" t="s">
        <v>2350</v>
      </c>
      <c r="D39" s="2248"/>
      <c r="E39" s="3056">
        <v>0.6</v>
      </c>
      <c r="F39" s="2246" t="s">
        <v>2351</v>
      </c>
      <c r="G39" s="2246"/>
    </row>
    <row r="40" spans="1:7" ht="19.5" customHeight="1">
      <c r="A40" s="4691"/>
      <c r="B40" s="4694"/>
      <c r="C40" s="2247" t="s">
        <v>2352</v>
      </c>
      <c r="D40" s="2248"/>
      <c r="E40" s="3056">
        <v>0.6</v>
      </c>
      <c r="F40" s="2246" t="s">
        <v>2353</v>
      </c>
      <c r="G40" s="2246"/>
    </row>
    <row r="41" spans="1:7" ht="19.5" customHeight="1" thickBot="1">
      <c r="A41" s="4692"/>
      <c r="B41" s="4696"/>
      <c r="C41" s="2249" t="s">
        <v>2354</v>
      </c>
      <c r="D41" s="2250"/>
      <c r="E41" s="3057">
        <v>0.6</v>
      </c>
      <c r="F41" s="2246" t="s">
        <v>2355</v>
      </c>
      <c r="G41" s="2246"/>
    </row>
    <row r="42" spans="1:7" ht="19.5" customHeight="1" thickBot="1">
      <c r="A42" s="2251" t="s">
        <v>2487</v>
      </c>
      <c r="B42" s="2252" t="s">
        <v>2487</v>
      </c>
      <c r="C42" s="2253" t="s">
        <v>2511</v>
      </c>
      <c r="D42" s="2254"/>
      <c r="E42" s="3059">
        <v>1</v>
      </c>
      <c r="F42" s="2246" t="s">
        <v>2356</v>
      </c>
      <c r="G42" s="2246"/>
    </row>
    <row r="43" spans="1:7" ht="19.5" customHeight="1">
      <c r="A43" s="4697" t="s">
        <v>2488</v>
      </c>
      <c r="B43" s="4693" t="s">
        <v>2512</v>
      </c>
      <c r="C43" s="2244" t="s">
        <v>2357</v>
      </c>
      <c r="D43" s="2245"/>
      <c r="E43" s="3055">
        <v>1</v>
      </c>
      <c r="F43" s="2246" t="s">
        <v>2358</v>
      </c>
      <c r="G43" s="2246"/>
    </row>
    <row r="44" spans="1:7" ht="19.5" customHeight="1">
      <c r="A44" s="4698"/>
      <c r="B44" s="4694"/>
      <c r="C44" s="2247" t="s">
        <v>2359</v>
      </c>
      <c r="D44" s="2248"/>
      <c r="E44" s="3056">
        <v>1</v>
      </c>
      <c r="F44" s="2246" t="s">
        <v>2360</v>
      </c>
      <c r="G44" s="2246"/>
    </row>
    <row r="45" spans="1:7" ht="19.5" customHeight="1">
      <c r="A45" s="4698"/>
      <c r="B45" s="4700"/>
      <c r="C45" s="2247" t="s">
        <v>2361</v>
      </c>
      <c r="D45" s="2248"/>
      <c r="E45" s="3056">
        <v>1.5</v>
      </c>
      <c r="F45" s="2246" t="s">
        <v>2362</v>
      </c>
      <c r="G45" s="2246"/>
    </row>
    <row r="46" spans="1:7" ht="19.5" customHeight="1">
      <c r="A46" s="4698"/>
      <c r="B46" s="2255" t="s">
        <v>2513</v>
      </c>
      <c r="C46" s="2247" t="s">
        <v>2514</v>
      </c>
      <c r="D46" s="2248"/>
      <c r="E46" s="3056">
        <v>2</v>
      </c>
      <c r="F46" s="2246" t="s">
        <v>2363</v>
      </c>
      <c r="G46" s="2246"/>
    </row>
    <row r="47" spans="1:7" ht="19.5" customHeight="1">
      <c r="A47" s="4698"/>
      <c r="B47" s="4695" t="s">
        <v>2515</v>
      </c>
      <c r="C47" s="2247" t="s">
        <v>2364</v>
      </c>
      <c r="D47" s="2248"/>
      <c r="E47" s="3056">
        <v>1</v>
      </c>
      <c r="F47" s="2246" t="s">
        <v>2365</v>
      </c>
      <c r="G47" s="2246"/>
    </row>
    <row r="48" spans="1:7" ht="19.5" customHeight="1">
      <c r="A48" s="4698"/>
      <c r="B48" s="4694"/>
      <c r="C48" s="2247" t="s">
        <v>2366</v>
      </c>
      <c r="D48" s="2248"/>
      <c r="E48" s="3056">
        <v>1</v>
      </c>
      <c r="F48" s="2246" t="s">
        <v>2367</v>
      </c>
      <c r="G48" s="2246"/>
    </row>
    <row r="49" spans="1:7" ht="19.5" customHeight="1">
      <c r="A49" s="4698"/>
      <c r="B49" s="4694"/>
      <c r="C49" s="2247" t="s">
        <v>2368</v>
      </c>
      <c r="D49" s="2248"/>
      <c r="E49" s="3056">
        <v>1</v>
      </c>
      <c r="F49" s="2246" t="s">
        <v>2369</v>
      </c>
      <c r="G49" s="2246"/>
    </row>
    <row r="50" spans="1:7" ht="19.5" customHeight="1">
      <c r="A50" s="4698"/>
      <c r="B50" s="4694"/>
      <c r="C50" s="2247" t="s">
        <v>2370</v>
      </c>
      <c r="D50" s="2248"/>
      <c r="E50" s="3056">
        <v>1</v>
      </c>
      <c r="F50" s="2246" t="s">
        <v>2371</v>
      </c>
      <c r="G50" s="2246"/>
    </row>
    <row r="51" spans="1:7" ht="19.5" customHeight="1">
      <c r="A51" s="4698"/>
      <c r="B51" s="4694"/>
      <c r="C51" s="2247" t="s">
        <v>2372</v>
      </c>
      <c r="D51" s="2248"/>
      <c r="E51" s="3056">
        <v>1</v>
      </c>
      <c r="F51" s="2246" t="s">
        <v>2373</v>
      </c>
      <c r="G51" s="2246"/>
    </row>
    <row r="52" spans="1:7" ht="19.5" customHeight="1">
      <c r="A52" s="4698"/>
      <c r="B52" s="4694"/>
      <c r="C52" s="2247" t="s">
        <v>2374</v>
      </c>
      <c r="D52" s="2248"/>
      <c r="E52" s="3056">
        <v>1</v>
      </c>
      <c r="F52" s="2246" t="s">
        <v>2375</v>
      </c>
      <c r="G52" s="2246"/>
    </row>
    <row r="53" spans="1:7" ht="19.5" customHeight="1" thickBot="1">
      <c r="A53" s="4699"/>
      <c r="B53" s="4696"/>
      <c r="C53" s="2249" t="s">
        <v>2376</v>
      </c>
      <c r="D53" s="2250"/>
      <c r="E53" s="3057">
        <v>1</v>
      </c>
      <c r="F53" s="2246" t="s">
        <v>2377</v>
      </c>
      <c r="G53" s="2246"/>
    </row>
    <row r="54" spans="1:7" ht="19.5" customHeight="1">
      <c r="A54" s="2256"/>
      <c r="B54" s="2256"/>
      <c r="C54" s="2256"/>
      <c r="D54" s="2256"/>
      <c r="E54" s="2256"/>
      <c r="F54" s="2256"/>
      <c r="G54" s="2256"/>
    </row>
    <row r="56" spans="1:7" ht="19.5" customHeight="1">
      <c r="A56" s="2257"/>
      <c r="B56" s="2235" t="s">
        <v>2516</v>
      </c>
      <c r="C56" s="2235" t="s">
        <v>2516</v>
      </c>
      <c r="D56" s="2235" t="s">
        <v>2516</v>
      </c>
      <c r="E56" s="2237" t="s">
        <v>2516</v>
      </c>
      <c r="F56" s="2237" t="s">
        <v>2517</v>
      </c>
      <c r="G56" s="2237" t="s">
        <v>2518</v>
      </c>
    </row>
    <row r="57" spans="1:7" ht="19.5" customHeight="1">
      <c r="A57" s="2258"/>
      <c r="B57" s="2237" t="s">
        <v>2485</v>
      </c>
      <c r="C57" s="2237" t="s">
        <v>2485</v>
      </c>
      <c r="D57" s="2237" t="s">
        <v>2485</v>
      </c>
      <c r="E57" s="2235" t="s">
        <v>2486</v>
      </c>
      <c r="F57" s="2235" t="s">
        <v>2488</v>
      </c>
      <c r="G57" s="2235" t="s">
        <v>2519</v>
      </c>
    </row>
    <row r="58" spans="1:7" ht="19.5" customHeight="1">
      <c r="A58" s="2259"/>
      <c r="B58" s="3050">
        <v>1</v>
      </c>
      <c r="C58" s="3050">
        <v>2</v>
      </c>
      <c r="D58" s="3050">
        <v>3</v>
      </c>
      <c r="E58" s="2260" t="s">
        <v>2520</v>
      </c>
      <c r="F58" s="2260" t="s">
        <v>2520</v>
      </c>
      <c r="G58" s="2260" t="s">
        <v>2520</v>
      </c>
    </row>
    <row r="59" spans="1:7" ht="19.5" customHeight="1">
      <c r="A59" s="2261" t="s">
        <v>2473</v>
      </c>
      <c r="B59" s="3047">
        <v>0.7</v>
      </c>
      <c r="C59" s="3047">
        <v>0.4</v>
      </c>
      <c r="D59" s="3047">
        <v>0.3</v>
      </c>
      <c r="E59" s="3060">
        <v>0.3</v>
      </c>
      <c r="F59" s="3047">
        <v>0.3</v>
      </c>
      <c r="G59" s="3047">
        <v>0.2</v>
      </c>
    </row>
    <row r="60" spans="1:7" ht="19.5" customHeight="1">
      <c r="A60" s="2261" t="s">
        <v>2474</v>
      </c>
      <c r="B60" s="3047">
        <v>0.7</v>
      </c>
      <c r="C60" s="3047">
        <v>0.4</v>
      </c>
      <c r="D60" s="3047">
        <v>0.3</v>
      </c>
      <c r="E60" s="3047">
        <v>0.3</v>
      </c>
      <c r="F60" s="3047">
        <v>0.3</v>
      </c>
      <c r="G60" s="3047">
        <v>0.2</v>
      </c>
    </row>
    <row r="61" spans="1:7" ht="19.5" customHeight="1">
      <c r="A61" s="2261" t="s">
        <v>2475</v>
      </c>
      <c r="B61" s="3047">
        <v>0.6</v>
      </c>
      <c r="C61" s="3047">
        <v>0.3</v>
      </c>
      <c r="D61" s="3047">
        <v>0.25</v>
      </c>
      <c r="E61" s="3047">
        <v>0.25</v>
      </c>
      <c r="F61" s="3047">
        <v>0.25</v>
      </c>
      <c r="G61" s="3047">
        <v>0.15</v>
      </c>
    </row>
    <row r="62" spans="1:7" ht="19.5" customHeight="1">
      <c r="A62" s="2261" t="s">
        <v>2476</v>
      </c>
      <c r="B62" s="3047">
        <v>0.6</v>
      </c>
      <c r="C62" s="3047">
        <v>0.3</v>
      </c>
      <c r="D62" s="3047">
        <v>0.25</v>
      </c>
      <c r="E62" s="3047">
        <v>0.25</v>
      </c>
      <c r="F62" s="3047">
        <v>0.25</v>
      </c>
      <c r="G62" s="3047">
        <v>0.15</v>
      </c>
    </row>
    <row r="63" spans="1:7" ht="19.5" customHeight="1">
      <c r="A63" s="2261" t="s">
        <v>2477</v>
      </c>
      <c r="B63" s="3047">
        <v>0.6</v>
      </c>
      <c r="C63" s="3047">
        <v>0.3</v>
      </c>
      <c r="D63" s="3047">
        <v>0.25</v>
      </c>
      <c r="E63" s="3047">
        <v>0.25</v>
      </c>
      <c r="F63" s="3047">
        <v>0.25</v>
      </c>
      <c r="G63" s="3047">
        <v>0.15</v>
      </c>
    </row>
    <row r="64" spans="1:7" ht="19.5" customHeight="1">
      <c r="A64" s="2261" t="s">
        <v>2478</v>
      </c>
      <c r="B64" s="3047">
        <v>0.6</v>
      </c>
      <c r="C64" s="3047">
        <v>0.3</v>
      </c>
      <c r="D64" s="3047">
        <v>0.25</v>
      </c>
      <c r="E64" s="3047">
        <v>0.25</v>
      </c>
      <c r="F64" s="3047">
        <v>0.25</v>
      </c>
      <c r="G64" s="3047">
        <v>0.15</v>
      </c>
    </row>
    <row r="65" spans="1:7" ht="19.5" customHeight="1">
      <c r="A65" s="2261" t="s">
        <v>2479</v>
      </c>
      <c r="B65" s="3047">
        <v>0.6</v>
      </c>
      <c r="C65" s="3047">
        <v>0.3</v>
      </c>
      <c r="D65" s="3047">
        <v>0.25</v>
      </c>
      <c r="E65" s="3047">
        <v>0.25</v>
      </c>
      <c r="F65" s="3047">
        <v>0.25</v>
      </c>
      <c r="G65" s="3047">
        <v>0.15</v>
      </c>
    </row>
    <row r="66" spans="1:7" ht="19.5" customHeight="1">
      <c r="A66" s="2261" t="s">
        <v>2480</v>
      </c>
      <c r="B66" s="3047">
        <v>0.5</v>
      </c>
      <c r="C66" s="3047">
        <v>0.2</v>
      </c>
      <c r="D66" s="3047">
        <v>0.2</v>
      </c>
      <c r="E66" s="3047">
        <v>0.2</v>
      </c>
      <c r="F66" s="3047">
        <v>0.2</v>
      </c>
      <c r="G66" s="3047">
        <v>0.1</v>
      </c>
    </row>
    <row r="67" spans="1:7" ht="19.5" customHeight="1">
      <c r="A67" s="2261" t="s">
        <v>2481</v>
      </c>
      <c r="B67" s="3047">
        <v>0.5</v>
      </c>
      <c r="C67" s="3047">
        <v>0.2</v>
      </c>
      <c r="D67" s="3047">
        <v>0.2</v>
      </c>
      <c r="E67" s="3047">
        <v>0.2</v>
      </c>
      <c r="F67" s="3047">
        <v>0.2</v>
      </c>
      <c r="G67" s="3047">
        <v>0.1</v>
      </c>
    </row>
    <row r="68" spans="1:7" ht="19.5" customHeight="1">
      <c r="A68" s="2261" t="s">
        <v>2482</v>
      </c>
      <c r="B68" s="3047">
        <v>0.5</v>
      </c>
      <c r="C68" s="3047">
        <v>0.2</v>
      </c>
      <c r="D68" s="3047">
        <v>0.2</v>
      </c>
      <c r="E68" s="3047">
        <v>0.2</v>
      </c>
      <c r="F68" s="3047">
        <v>0.2</v>
      </c>
      <c r="G68" s="3047">
        <v>0.1</v>
      </c>
    </row>
    <row r="69" spans="1:7" ht="19.5" customHeight="1">
      <c r="A69" s="2261" t="s">
        <v>2483</v>
      </c>
      <c r="B69" s="3047">
        <v>0.5</v>
      </c>
      <c r="C69" s="3047">
        <v>0.2</v>
      </c>
      <c r="D69" s="3047">
        <v>0.2</v>
      </c>
      <c r="E69" s="3047">
        <v>0.2</v>
      </c>
      <c r="F69" s="3047">
        <v>0.2</v>
      </c>
      <c r="G69" s="3047">
        <v>0.1</v>
      </c>
    </row>
    <row r="70" spans="1:7" ht="19.5" customHeight="1">
      <c r="A70" s="2261" t="s">
        <v>2484</v>
      </c>
      <c r="B70" s="3047">
        <v>0.5</v>
      </c>
      <c r="C70" s="3047">
        <v>0.2</v>
      </c>
      <c r="D70" s="3047">
        <v>0.2</v>
      </c>
      <c r="E70" s="3047">
        <v>0.2</v>
      </c>
      <c r="F70" s="3047">
        <v>0.2</v>
      </c>
      <c r="G70" s="3047">
        <v>0.1</v>
      </c>
    </row>
    <row r="72" spans="1:7" ht="19.5" customHeight="1">
      <c r="A72" s="2246"/>
      <c r="B72" s="2262"/>
      <c r="C72" s="2262"/>
      <c r="D72" s="2262" t="s">
        <v>2521</v>
      </c>
      <c r="E72" s="2262"/>
      <c r="F72" s="2262"/>
    </row>
    <row r="73" spans="1:7" ht="19.5" customHeight="1">
      <c r="A73" s="2255" t="s">
        <v>2522</v>
      </c>
      <c r="B73" s="2255" t="s">
        <v>2523</v>
      </c>
      <c r="C73" s="2255" t="s">
        <v>2524</v>
      </c>
      <c r="D73" s="2255" t="s">
        <v>2525</v>
      </c>
      <c r="E73" s="2255" t="s">
        <v>2526</v>
      </c>
      <c r="F73" s="2255" t="s">
        <v>2527</v>
      </c>
    </row>
    <row r="74" spans="1:7" ht="13.5">
      <c r="A74" s="2255"/>
      <c r="B74" s="2255"/>
      <c r="C74" s="2255" t="s">
        <v>2528</v>
      </c>
      <c r="D74" s="2255"/>
      <c r="E74" s="2255" t="s">
        <v>2499</v>
      </c>
      <c r="F74" s="2255" t="s">
        <v>2499</v>
      </c>
    </row>
    <row r="75" spans="1:7" ht="13.5">
      <c r="A75" s="2255">
        <v>1</v>
      </c>
      <c r="B75" s="4695" t="s">
        <v>2529</v>
      </c>
      <c r="C75" s="2235" t="s">
        <v>2530</v>
      </c>
      <c r="D75" s="2235" t="s">
        <v>2531</v>
      </c>
      <c r="E75" s="3061">
        <v>0.2</v>
      </c>
      <c r="F75" s="3062">
        <v>25</v>
      </c>
    </row>
    <row r="76" spans="1:7" ht="24">
      <c r="A76" s="2255">
        <v>2</v>
      </c>
      <c r="B76" s="4694"/>
      <c r="C76" s="2235" t="s">
        <v>2532</v>
      </c>
      <c r="D76" s="2235" t="s">
        <v>2533</v>
      </c>
      <c r="E76" s="3061">
        <v>0.2</v>
      </c>
      <c r="F76" s="3062">
        <v>25</v>
      </c>
    </row>
    <row r="77" spans="1:7" ht="24">
      <c r="A77" s="2255">
        <v>3</v>
      </c>
      <c r="B77" s="4694"/>
      <c r="C77" s="2235" t="s">
        <v>2534</v>
      </c>
      <c r="D77" s="2235" t="s">
        <v>2535</v>
      </c>
      <c r="E77" s="3061">
        <v>0.2</v>
      </c>
      <c r="F77" s="3062">
        <v>25</v>
      </c>
    </row>
    <row r="78" spans="1:7" ht="13.5">
      <c r="A78" s="2255">
        <v>4</v>
      </c>
      <c r="B78" s="4694"/>
      <c r="C78" s="2235" t="s">
        <v>2536</v>
      </c>
      <c r="D78" s="2235" t="s">
        <v>2537</v>
      </c>
      <c r="E78" s="3061">
        <v>0.15</v>
      </c>
      <c r="F78" s="3062">
        <v>20</v>
      </c>
    </row>
    <row r="79" spans="1:7" ht="24">
      <c r="A79" s="2255">
        <v>5</v>
      </c>
      <c r="B79" s="4694"/>
      <c r="C79" s="2235" t="s">
        <v>2538</v>
      </c>
      <c r="D79" s="2235" t="s">
        <v>2539</v>
      </c>
      <c r="E79" s="3061">
        <v>0.15</v>
      </c>
      <c r="F79" s="3062">
        <v>20</v>
      </c>
    </row>
    <row r="80" spans="1:7" ht="24">
      <c r="A80" s="2255">
        <v>6</v>
      </c>
      <c r="B80" s="4694"/>
      <c r="C80" s="2235" t="s">
        <v>2540</v>
      </c>
      <c r="D80" s="2235" t="s">
        <v>2541</v>
      </c>
      <c r="E80" s="3061">
        <v>0.15</v>
      </c>
      <c r="F80" s="3062">
        <v>20</v>
      </c>
    </row>
    <row r="81" spans="1:6" ht="24">
      <c r="A81" s="2255">
        <v>7</v>
      </c>
      <c r="B81" s="4694"/>
      <c r="C81" s="2235" t="s">
        <v>2542</v>
      </c>
      <c r="D81" s="2235" t="s">
        <v>2543</v>
      </c>
      <c r="E81" s="3061">
        <v>0.15</v>
      </c>
      <c r="F81" s="3062">
        <v>20</v>
      </c>
    </row>
    <row r="82" spans="1:6" ht="24">
      <c r="A82" s="2255">
        <v>8</v>
      </c>
      <c r="B82" s="4694"/>
      <c r="C82" s="2235" t="s">
        <v>2544</v>
      </c>
      <c r="D82" s="2235" t="s">
        <v>2545</v>
      </c>
      <c r="E82" s="3061">
        <v>0.1</v>
      </c>
      <c r="F82" s="3062">
        <v>15</v>
      </c>
    </row>
    <row r="83" spans="1:6" ht="24">
      <c r="A83" s="2255">
        <v>9</v>
      </c>
      <c r="B83" s="4694"/>
      <c r="C83" s="2235" t="s">
        <v>2546</v>
      </c>
      <c r="D83" s="2235" t="s">
        <v>2547</v>
      </c>
      <c r="E83" s="3061">
        <v>0.1</v>
      </c>
      <c r="F83" s="3062">
        <v>15</v>
      </c>
    </row>
    <row r="84" spans="1:6" ht="24">
      <c r="A84" s="2255">
        <v>10</v>
      </c>
      <c r="B84" s="4694"/>
      <c r="C84" s="2235" t="s">
        <v>2548</v>
      </c>
      <c r="D84" s="2235" t="s">
        <v>2549</v>
      </c>
      <c r="E84" s="3061">
        <v>0.1</v>
      </c>
      <c r="F84" s="3062">
        <v>15</v>
      </c>
    </row>
    <row r="85" spans="1:6" ht="24">
      <c r="A85" s="2255">
        <v>11</v>
      </c>
      <c r="B85" s="4694"/>
      <c r="C85" s="2235" t="s">
        <v>2550</v>
      </c>
      <c r="D85" s="2235" t="s">
        <v>2551</v>
      </c>
      <c r="E85" s="3061">
        <v>0.1</v>
      </c>
      <c r="F85" s="3062">
        <v>15</v>
      </c>
    </row>
    <row r="86" spans="1:6" ht="24">
      <c r="A86" s="2255">
        <v>12</v>
      </c>
      <c r="B86" s="4694"/>
      <c r="C86" s="2235" t="s">
        <v>2552</v>
      </c>
      <c r="D86" s="2235" t="s">
        <v>2553</v>
      </c>
      <c r="E86" s="3061">
        <v>0.1</v>
      </c>
      <c r="F86" s="3062">
        <v>15</v>
      </c>
    </row>
    <row r="87" spans="1:6" ht="13.5">
      <c r="A87" s="2255">
        <v>13</v>
      </c>
      <c r="B87" s="4694"/>
      <c r="C87" s="2235" t="s">
        <v>2554</v>
      </c>
      <c r="D87" s="2235" t="s">
        <v>2555</v>
      </c>
      <c r="E87" s="3061">
        <v>0.1</v>
      </c>
      <c r="F87" s="3062">
        <v>15</v>
      </c>
    </row>
    <row r="88" spans="1:6" ht="13.5">
      <c r="A88" s="2255">
        <v>14</v>
      </c>
      <c r="B88" s="4694"/>
      <c r="C88" s="2235" t="s">
        <v>2556</v>
      </c>
      <c r="D88" s="2235" t="s">
        <v>2557</v>
      </c>
      <c r="E88" s="3061">
        <v>0.1</v>
      </c>
      <c r="F88" s="3062">
        <v>15</v>
      </c>
    </row>
    <row r="89" spans="1:6" ht="13.5">
      <c r="A89" s="2255">
        <v>15</v>
      </c>
      <c r="B89" s="4694"/>
      <c r="C89" s="2235" t="s">
        <v>2558</v>
      </c>
      <c r="D89" s="2235" t="s">
        <v>2559</v>
      </c>
      <c r="E89" s="3061">
        <v>0.1</v>
      </c>
      <c r="F89" s="3062">
        <v>15</v>
      </c>
    </row>
    <row r="90" spans="1:6" ht="24">
      <c r="A90" s="2255">
        <v>16</v>
      </c>
      <c r="B90" s="4694"/>
      <c r="C90" s="2235" t="s">
        <v>2560</v>
      </c>
      <c r="D90" s="2235" t="s">
        <v>2561</v>
      </c>
      <c r="E90" s="3061">
        <v>0.1</v>
      </c>
      <c r="F90" s="3062">
        <v>15</v>
      </c>
    </row>
    <row r="91" spans="1:6" ht="24">
      <c r="A91" s="2255">
        <v>17</v>
      </c>
      <c r="B91" s="4700"/>
      <c r="C91" s="2235" t="s">
        <v>2562</v>
      </c>
      <c r="D91" s="2235" t="s">
        <v>2563</v>
      </c>
      <c r="E91" s="3061">
        <v>0.1</v>
      </c>
      <c r="F91" s="3062">
        <v>15</v>
      </c>
    </row>
    <row r="92" spans="1:6" ht="13.5">
      <c r="A92" s="2255">
        <v>18</v>
      </c>
      <c r="B92" s="4695" t="s">
        <v>2564</v>
      </c>
      <c r="C92" s="2235" t="s">
        <v>2565</v>
      </c>
      <c r="D92" s="2235" t="s">
        <v>2566</v>
      </c>
      <c r="E92" s="3061">
        <v>0.2</v>
      </c>
      <c r="F92" s="3062">
        <v>25</v>
      </c>
    </row>
    <row r="93" spans="1:6" ht="24">
      <c r="A93" s="2255">
        <v>19</v>
      </c>
      <c r="B93" s="4694"/>
      <c r="C93" s="2235" t="s">
        <v>2567</v>
      </c>
      <c r="D93" s="2235" t="s">
        <v>2568</v>
      </c>
      <c r="E93" s="3061">
        <v>0.2</v>
      </c>
      <c r="F93" s="3062">
        <v>25</v>
      </c>
    </row>
    <row r="94" spans="1:6" ht="13.5">
      <c r="A94" s="2255">
        <v>20</v>
      </c>
      <c r="B94" s="4694"/>
      <c r="C94" s="2235" t="s">
        <v>2569</v>
      </c>
      <c r="D94" s="2235" t="s">
        <v>2570</v>
      </c>
      <c r="E94" s="3061">
        <v>0.15</v>
      </c>
      <c r="F94" s="3062">
        <v>20</v>
      </c>
    </row>
    <row r="95" spans="1:6" ht="13.5">
      <c r="A95" s="2255">
        <v>21</v>
      </c>
      <c r="B95" s="4694"/>
      <c r="C95" s="2235" t="s">
        <v>2571</v>
      </c>
      <c r="D95" s="2235" t="s">
        <v>2572</v>
      </c>
      <c r="E95" s="3061">
        <v>0.15</v>
      </c>
      <c r="F95" s="3062">
        <v>20</v>
      </c>
    </row>
    <row r="96" spans="1:6" ht="13.5">
      <c r="A96" s="2255">
        <v>22</v>
      </c>
      <c r="B96" s="4694"/>
      <c r="C96" s="2235" t="s">
        <v>2573</v>
      </c>
      <c r="D96" s="2235" t="s">
        <v>2574</v>
      </c>
      <c r="E96" s="3061">
        <v>0.15</v>
      </c>
      <c r="F96" s="3062">
        <v>20</v>
      </c>
    </row>
    <row r="97" spans="1:6" ht="36">
      <c r="A97" s="2255">
        <v>23</v>
      </c>
      <c r="B97" s="4694"/>
      <c r="C97" s="2235" t="s">
        <v>2575</v>
      </c>
      <c r="D97" s="2235" t="s">
        <v>2576</v>
      </c>
      <c r="E97" s="3061">
        <v>0.15</v>
      </c>
      <c r="F97" s="3062">
        <v>20</v>
      </c>
    </row>
    <row r="98" spans="1:6" ht="13.5">
      <c r="A98" s="2255">
        <v>24</v>
      </c>
      <c r="B98" s="4694"/>
      <c r="C98" s="2235" t="s">
        <v>2577</v>
      </c>
      <c r="D98" s="2235" t="s">
        <v>2578</v>
      </c>
      <c r="E98" s="3061">
        <v>0.1</v>
      </c>
      <c r="F98" s="3062">
        <v>15</v>
      </c>
    </row>
    <row r="99" spans="1:6" ht="13.5">
      <c r="A99" s="2255">
        <v>25</v>
      </c>
      <c r="B99" s="4694"/>
      <c r="C99" s="2235" t="s">
        <v>2579</v>
      </c>
      <c r="D99" s="2235" t="s">
        <v>2580</v>
      </c>
      <c r="E99" s="3061">
        <v>0.1</v>
      </c>
      <c r="F99" s="3062">
        <v>15</v>
      </c>
    </row>
    <row r="100" spans="1:6" ht="24">
      <c r="A100" s="2255">
        <v>26</v>
      </c>
      <c r="B100" s="4694"/>
      <c r="C100" s="2235" t="s">
        <v>2581</v>
      </c>
      <c r="D100" s="2235" t="s">
        <v>2582</v>
      </c>
      <c r="E100" s="3061">
        <v>0.1</v>
      </c>
      <c r="F100" s="3062">
        <v>15</v>
      </c>
    </row>
    <row r="101" spans="1:6" ht="24">
      <c r="A101" s="2255">
        <v>27</v>
      </c>
      <c r="B101" s="4694"/>
      <c r="C101" s="2235" t="s">
        <v>2583</v>
      </c>
      <c r="D101" s="2235" t="s">
        <v>2584</v>
      </c>
      <c r="E101" s="3061">
        <v>0.1</v>
      </c>
      <c r="F101" s="3062">
        <v>15</v>
      </c>
    </row>
    <row r="102" spans="1:6" ht="13.5">
      <c r="A102" s="2255">
        <v>28</v>
      </c>
      <c r="B102" s="4694"/>
      <c r="C102" s="2235" t="s">
        <v>2585</v>
      </c>
      <c r="D102" s="2235" t="s">
        <v>2586</v>
      </c>
      <c r="E102" s="3061">
        <v>0.1</v>
      </c>
      <c r="F102" s="3062">
        <v>15</v>
      </c>
    </row>
    <row r="103" spans="1:6" ht="13.5">
      <c r="A103" s="2255">
        <v>29</v>
      </c>
      <c r="B103" s="4694"/>
      <c r="C103" s="2235" t="s">
        <v>2587</v>
      </c>
      <c r="D103" s="2235" t="s">
        <v>2588</v>
      </c>
      <c r="E103" s="3061">
        <v>0.1</v>
      </c>
      <c r="F103" s="3062">
        <v>15</v>
      </c>
    </row>
    <row r="104" spans="1:6" ht="13.5">
      <c r="A104" s="2255">
        <v>30</v>
      </c>
      <c r="B104" s="4694"/>
      <c r="C104" s="2235" t="s">
        <v>2589</v>
      </c>
      <c r="D104" s="2235" t="s">
        <v>2590</v>
      </c>
      <c r="E104" s="3061">
        <v>0.1</v>
      </c>
      <c r="F104" s="3062">
        <v>15</v>
      </c>
    </row>
    <row r="105" spans="1:6" ht="24">
      <c r="A105" s="2255">
        <v>31</v>
      </c>
      <c r="B105" s="4694"/>
      <c r="C105" s="2235" t="s">
        <v>2591</v>
      </c>
      <c r="D105" s="2235" t="s">
        <v>2592</v>
      </c>
      <c r="E105" s="3061">
        <v>0.1</v>
      </c>
      <c r="F105" s="3062">
        <v>15</v>
      </c>
    </row>
    <row r="106" spans="1:6" ht="24">
      <c r="A106" s="2255">
        <v>32</v>
      </c>
      <c r="B106" s="4694"/>
      <c r="C106" s="2235" t="s">
        <v>2593</v>
      </c>
      <c r="D106" s="2235" t="s">
        <v>2594</v>
      </c>
      <c r="E106" s="3061">
        <v>0.1</v>
      </c>
      <c r="F106" s="3062">
        <v>15</v>
      </c>
    </row>
    <row r="107" spans="1:6" ht="24">
      <c r="A107" s="2255">
        <v>33</v>
      </c>
      <c r="B107" s="4694"/>
      <c r="C107" s="2235" t="s">
        <v>2595</v>
      </c>
      <c r="D107" s="2235" t="s">
        <v>2596</v>
      </c>
      <c r="E107" s="3061">
        <v>0.1</v>
      </c>
      <c r="F107" s="3062">
        <v>15</v>
      </c>
    </row>
    <row r="108" spans="1:6" ht="24">
      <c r="A108" s="2255">
        <v>34</v>
      </c>
      <c r="B108" s="4700"/>
      <c r="C108" s="2235" t="s">
        <v>2597</v>
      </c>
      <c r="D108" s="2235" t="s">
        <v>2598</v>
      </c>
      <c r="E108" s="3061">
        <v>0.1</v>
      </c>
      <c r="F108" s="3062">
        <v>15</v>
      </c>
    </row>
    <row r="109" spans="1:6" ht="24">
      <c r="A109" s="2255">
        <v>35</v>
      </c>
      <c r="B109" s="4695" t="s">
        <v>2599</v>
      </c>
      <c r="C109" s="2255" t="s">
        <v>2600</v>
      </c>
      <c r="D109" s="2235" t="s">
        <v>2601</v>
      </c>
      <c r="E109" s="3061">
        <v>0.15</v>
      </c>
      <c r="F109" s="3062">
        <v>20</v>
      </c>
    </row>
    <row r="110" spans="1:6" ht="13.5">
      <c r="A110" s="2255">
        <v>36</v>
      </c>
      <c r="B110" s="4694"/>
      <c r="C110" s="2255" t="s">
        <v>2602</v>
      </c>
      <c r="D110" s="2235" t="s">
        <v>2603</v>
      </c>
      <c r="E110" s="3061">
        <v>0.15</v>
      </c>
      <c r="F110" s="3062">
        <v>20</v>
      </c>
    </row>
    <row r="111" spans="1:6" ht="13.5">
      <c r="A111" s="2255">
        <v>37</v>
      </c>
      <c r="B111" s="4694"/>
      <c r="C111" s="2255" t="s">
        <v>2604</v>
      </c>
      <c r="D111" s="2235" t="s">
        <v>2605</v>
      </c>
      <c r="E111" s="3061">
        <v>0.15</v>
      </c>
      <c r="F111" s="3062">
        <v>20</v>
      </c>
    </row>
    <row r="112" spans="1:6" ht="13.5">
      <c r="A112" s="2255">
        <v>38</v>
      </c>
      <c r="B112" s="4694"/>
      <c r="C112" s="2255" t="s">
        <v>2606</v>
      </c>
      <c r="D112" s="2235" t="s">
        <v>2607</v>
      </c>
      <c r="E112" s="3061">
        <v>0.1</v>
      </c>
      <c r="F112" s="3062">
        <v>15</v>
      </c>
    </row>
    <row r="113" spans="1:6" ht="24">
      <c r="A113" s="2255">
        <v>39</v>
      </c>
      <c r="B113" s="4694"/>
      <c r="C113" s="2255" t="s">
        <v>2608</v>
      </c>
      <c r="D113" s="2235" t="s">
        <v>2609</v>
      </c>
      <c r="E113" s="3061">
        <v>0.1</v>
      </c>
      <c r="F113" s="3062">
        <v>15</v>
      </c>
    </row>
    <row r="114" spans="1:6" ht="24">
      <c r="A114" s="2255">
        <v>40</v>
      </c>
      <c r="B114" s="4700"/>
      <c r="C114" s="2255" t="s">
        <v>2610</v>
      </c>
      <c r="D114" s="2235" t="s">
        <v>2611</v>
      </c>
      <c r="E114" s="3061">
        <v>0.1</v>
      </c>
      <c r="F114" s="3062">
        <v>15</v>
      </c>
    </row>
    <row r="115" spans="1:6" ht="13.5">
      <c r="A115" s="2255">
        <v>41</v>
      </c>
      <c r="B115" s="4688" t="s">
        <v>2612</v>
      </c>
      <c r="C115" s="2255" t="s">
        <v>2613</v>
      </c>
      <c r="D115" s="2235" t="s">
        <v>2614</v>
      </c>
      <c r="E115" s="3061">
        <v>0.1</v>
      </c>
      <c r="F115" s="3062">
        <v>15</v>
      </c>
    </row>
    <row r="116" spans="1:6" ht="13.5">
      <c r="A116" s="2255">
        <v>42</v>
      </c>
      <c r="B116" s="4688"/>
      <c r="C116" s="2255" t="s">
        <v>2615</v>
      </c>
      <c r="D116" s="2235" t="s">
        <v>2616</v>
      </c>
      <c r="E116" s="3061">
        <v>0.1</v>
      </c>
      <c r="F116" s="3062">
        <v>15</v>
      </c>
    </row>
    <row r="117" spans="1:6" ht="24">
      <c r="A117" s="2255">
        <v>43</v>
      </c>
      <c r="B117" s="4688"/>
      <c r="C117" s="2255" t="s">
        <v>2617</v>
      </c>
      <c r="D117" s="2235" t="s">
        <v>2618</v>
      </c>
      <c r="E117" s="3061">
        <v>0.1</v>
      </c>
      <c r="F117" s="3062">
        <v>15</v>
      </c>
    </row>
    <row r="118" spans="1:6" ht="13.5">
      <c r="A118" s="2255">
        <v>44</v>
      </c>
      <c r="B118" s="4695" t="s">
        <v>2619</v>
      </c>
      <c r="C118" s="2255" t="s">
        <v>2620</v>
      </c>
      <c r="D118" s="2235" t="s">
        <v>2621</v>
      </c>
      <c r="E118" s="3061">
        <v>0.1</v>
      </c>
      <c r="F118" s="3062">
        <v>15</v>
      </c>
    </row>
    <row r="119" spans="1:6" ht="24">
      <c r="A119" s="2255">
        <v>45</v>
      </c>
      <c r="B119" s="4700"/>
      <c r="C119" s="2235" t="s">
        <v>2622</v>
      </c>
      <c r="D119" s="2235" t="s">
        <v>2623</v>
      </c>
      <c r="E119" s="3061">
        <v>0.1</v>
      </c>
      <c r="F119" s="3062">
        <v>15</v>
      </c>
    </row>
    <row r="120" spans="1:6" ht="24">
      <c r="A120" s="2255">
        <v>46</v>
      </c>
      <c r="B120" s="4695" t="s">
        <v>2624</v>
      </c>
      <c r="C120" s="2255" t="s">
        <v>2625</v>
      </c>
      <c r="D120" s="2235" t="s">
        <v>2626</v>
      </c>
      <c r="E120" s="3061">
        <v>0.1</v>
      </c>
      <c r="F120" s="3062">
        <v>15</v>
      </c>
    </row>
    <row r="121" spans="1:6" ht="24">
      <c r="A121" s="2255">
        <v>47</v>
      </c>
      <c r="B121" s="4700"/>
      <c r="C121" s="2255" t="s">
        <v>2627</v>
      </c>
      <c r="D121" s="2235" t="s">
        <v>2628</v>
      </c>
      <c r="E121" s="3061">
        <v>0.1</v>
      </c>
      <c r="F121" s="3062">
        <v>15</v>
      </c>
    </row>
    <row r="122" spans="1:6" ht="13.5">
      <c r="A122" s="2255">
        <v>48</v>
      </c>
      <c r="B122" s="4695" t="s">
        <v>2629</v>
      </c>
      <c r="C122" s="2255" t="s">
        <v>2630</v>
      </c>
      <c r="D122" s="2235" t="s">
        <v>2631</v>
      </c>
      <c r="E122" s="3061">
        <v>0.1</v>
      </c>
      <c r="F122" s="3062">
        <v>15</v>
      </c>
    </row>
    <row r="123" spans="1:6" ht="13.5">
      <c r="A123" s="2255">
        <v>49</v>
      </c>
      <c r="B123" s="4700"/>
      <c r="C123" s="2255" t="s">
        <v>2632</v>
      </c>
      <c r="D123" s="2235" t="s">
        <v>2633</v>
      </c>
      <c r="E123" s="3061">
        <v>0.1</v>
      </c>
      <c r="F123" s="3062">
        <v>15</v>
      </c>
    </row>
    <row r="124" spans="1:6" ht="24">
      <c r="A124" s="2255">
        <v>50</v>
      </c>
      <c r="B124" s="4688" t="s">
        <v>2634</v>
      </c>
      <c r="C124" s="2255" t="s">
        <v>2635</v>
      </c>
      <c r="D124" s="2235" t="s">
        <v>2636</v>
      </c>
      <c r="E124" s="3061">
        <v>0.1</v>
      </c>
      <c r="F124" s="3062">
        <v>15</v>
      </c>
    </row>
    <row r="125" spans="1:6" ht="24">
      <c r="A125" s="2255">
        <v>51</v>
      </c>
      <c r="B125" s="4688"/>
      <c r="C125" s="2255" t="s">
        <v>2637</v>
      </c>
      <c r="D125" s="2235" t="s">
        <v>2638</v>
      </c>
      <c r="E125" s="3061">
        <v>0.1</v>
      </c>
      <c r="F125" s="3062">
        <v>15</v>
      </c>
    </row>
    <row r="126" spans="1:6" ht="24">
      <c r="A126" s="2255">
        <v>52</v>
      </c>
      <c r="B126" s="4688" t="s">
        <v>2639</v>
      </c>
      <c r="C126" s="2255" t="s">
        <v>2640</v>
      </c>
      <c r="D126" s="2235" t="s">
        <v>2641</v>
      </c>
      <c r="E126" s="3061">
        <v>0.1</v>
      </c>
      <c r="F126" s="3062">
        <v>15</v>
      </c>
    </row>
    <row r="127" spans="1:6" ht="24">
      <c r="A127" s="2255">
        <v>53</v>
      </c>
      <c r="B127" s="4688"/>
      <c r="C127" s="2255" t="s">
        <v>2642</v>
      </c>
      <c r="D127" s="2235" t="s">
        <v>2643</v>
      </c>
      <c r="E127" s="3061">
        <v>0.1</v>
      </c>
      <c r="F127" s="3062">
        <v>15</v>
      </c>
    </row>
    <row r="128" spans="1:6" ht="13.5">
      <c r="A128" s="2255">
        <v>54</v>
      </c>
      <c r="B128" s="2255" t="s">
        <v>2644</v>
      </c>
      <c r="C128" s="2255" t="s">
        <v>2645</v>
      </c>
      <c r="D128" s="2235" t="s">
        <v>2646</v>
      </c>
      <c r="E128" s="3061">
        <v>0.1</v>
      </c>
      <c r="F128" s="3062">
        <v>15</v>
      </c>
    </row>
    <row r="129" spans="1:6" ht="13.5">
      <c r="A129" s="2255">
        <v>55</v>
      </c>
      <c r="B129" s="4688" t="s">
        <v>2647</v>
      </c>
      <c r="C129" s="2255" t="s">
        <v>2648</v>
      </c>
      <c r="D129" s="2235" t="s">
        <v>2649</v>
      </c>
      <c r="E129" s="3061">
        <v>0.1</v>
      </c>
      <c r="F129" s="3062">
        <v>15</v>
      </c>
    </row>
    <row r="130" spans="1:6" ht="13.5">
      <c r="A130" s="2255">
        <v>56</v>
      </c>
      <c r="B130" s="4688"/>
      <c r="C130" s="2255" t="s">
        <v>2650</v>
      </c>
      <c r="D130" s="2235" t="s">
        <v>2651</v>
      </c>
      <c r="E130" s="3061">
        <v>0.1</v>
      </c>
      <c r="F130" s="3062">
        <v>15</v>
      </c>
    </row>
    <row r="131" spans="1:6" ht="24">
      <c r="A131" s="2255">
        <v>57</v>
      </c>
      <c r="B131" s="4688"/>
      <c r="C131" s="2255" t="s">
        <v>2652</v>
      </c>
      <c r="D131" s="2235" t="s">
        <v>2653</v>
      </c>
      <c r="E131" s="3061">
        <v>0.1</v>
      </c>
      <c r="F131" s="3062">
        <v>15</v>
      </c>
    </row>
    <row r="132" spans="1:6" ht="24">
      <c r="A132" s="2255">
        <v>58</v>
      </c>
      <c r="B132" s="4688" t="s">
        <v>2654</v>
      </c>
      <c r="C132" s="2255" t="s">
        <v>2655</v>
      </c>
      <c r="D132" s="2235" t="s">
        <v>2656</v>
      </c>
      <c r="E132" s="3061">
        <v>0.1</v>
      </c>
      <c r="F132" s="3062">
        <v>15</v>
      </c>
    </row>
    <row r="133" spans="1:6" ht="13.5">
      <c r="A133" s="2255">
        <v>59</v>
      </c>
      <c r="B133" s="4688"/>
      <c r="C133" s="2255" t="s">
        <v>2657</v>
      </c>
      <c r="D133" s="2235" t="s">
        <v>2658</v>
      </c>
      <c r="E133" s="3061">
        <v>0.1</v>
      </c>
      <c r="F133" s="3062">
        <v>15</v>
      </c>
    </row>
    <row r="134" spans="1:6" ht="13.5">
      <c r="A134" s="2255">
        <v>60</v>
      </c>
      <c r="B134" s="4695" t="s">
        <v>2659</v>
      </c>
      <c r="C134" s="2255" t="s">
        <v>2660</v>
      </c>
      <c r="D134" s="2235" t="s">
        <v>2661</v>
      </c>
      <c r="E134" s="3061">
        <v>0.1</v>
      </c>
      <c r="F134" s="3062">
        <v>15</v>
      </c>
    </row>
    <row r="135" spans="1:6" ht="13.5">
      <c r="A135" s="2255">
        <v>61</v>
      </c>
      <c r="B135" s="4700"/>
      <c r="C135" s="2255" t="s">
        <v>2662</v>
      </c>
      <c r="D135" s="2235" t="s">
        <v>2663</v>
      </c>
      <c r="E135" s="3061">
        <v>0.1</v>
      </c>
      <c r="F135" s="3062">
        <v>15</v>
      </c>
    </row>
    <row r="136" spans="1:6" ht="24">
      <c r="A136" s="2255">
        <v>62</v>
      </c>
      <c r="B136" s="2255" t="s">
        <v>2664</v>
      </c>
      <c r="C136" s="2255" t="s">
        <v>2665</v>
      </c>
      <c r="D136" s="2235" t="s">
        <v>2666</v>
      </c>
      <c r="E136" s="3061">
        <v>0.1</v>
      </c>
      <c r="F136" s="3062">
        <v>15</v>
      </c>
    </row>
    <row r="137" spans="1:6" ht="13.5">
      <c r="A137" s="2255">
        <v>63</v>
      </c>
      <c r="B137" s="4688" t="s">
        <v>2667</v>
      </c>
      <c r="C137" s="2255" t="s">
        <v>2668</v>
      </c>
      <c r="D137" s="2235" t="s">
        <v>2669</v>
      </c>
      <c r="E137" s="3061">
        <v>0.1</v>
      </c>
      <c r="F137" s="3062">
        <v>15</v>
      </c>
    </row>
    <row r="138" spans="1:6" ht="13.5">
      <c r="A138" s="2255">
        <v>64</v>
      </c>
      <c r="B138" s="4688"/>
      <c r="C138" s="2255" t="s">
        <v>2670</v>
      </c>
      <c r="D138" s="2235" t="s">
        <v>2671</v>
      </c>
      <c r="E138" s="3061">
        <v>0.1</v>
      </c>
      <c r="F138" s="3062">
        <v>15</v>
      </c>
    </row>
    <row r="139" spans="1:6" ht="13.5">
      <c r="A139" s="2255">
        <v>65</v>
      </c>
      <c r="B139" s="2255" t="s">
        <v>2672</v>
      </c>
      <c r="C139" s="2255" t="s">
        <v>2673</v>
      </c>
      <c r="D139" s="2235" t="s">
        <v>2674</v>
      </c>
      <c r="E139" s="3061">
        <v>0.1</v>
      </c>
      <c r="F139" s="3062">
        <v>15</v>
      </c>
    </row>
    <row r="140" spans="1:6" ht="13.5">
      <c r="A140" s="2255"/>
      <c r="B140" s="2255"/>
      <c r="C140" s="2255"/>
      <c r="D140" s="2255"/>
      <c r="E140" s="2255" t="s">
        <v>2675</v>
      </c>
      <c r="F140" s="2255" t="s">
        <v>2675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I25" sqref="I25"/>
    </sheetView>
  </sheetViews>
  <sheetFormatPr defaultColWidth="9" defaultRowHeight="13.5"/>
  <cols>
    <col min="1" max="13" width="9" style="2277"/>
  </cols>
  <sheetData>
    <row r="1" spans="1:20" ht="15" thickBot="1">
      <c r="A1" s="2263" t="s">
        <v>2676</v>
      </c>
      <c r="B1" s="2263"/>
      <c r="C1" s="2263"/>
      <c r="D1" s="2263"/>
      <c r="E1" s="2263"/>
      <c r="F1" s="2263"/>
      <c r="G1" s="2263"/>
      <c r="H1" s="2263"/>
      <c r="I1" s="2263"/>
      <c r="J1" s="2263"/>
      <c r="K1" s="2263"/>
      <c r="L1" s="2263"/>
      <c r="M1" s="2263"/>
      <c r="N1" s="507"/>
    </row>
    <row r="2" spans="1:20">
      <c r="A2" s="2264" t="s">
        <v>2677</v>
      </c>
      <c r="B2" s="2265" t="s">
        <v>2473</v>
      </c>
      <c r="C2" s="2265" t="s">
        <v>2474</v>
      </c>
      <c r="D2" s="2265" t="s">
        <v>2475</v>
      </c>
      <c r="E2" s="2265" t="s">
        <v>2476</v>
      </c>
      <c r="F2" s="2265" t="s">
        <v>2477</v>
      </c>
      <c r="G2" s="2265" t="s">
        <v>2478</v>
      </c>
      <c r="H2" s="2266" t="s">
        <v>2479</v>
      </c>
      <c r="I2" s="2266" t="s">
        <v>2480</v>
      </c>
      <c r="J2" s="2267" t="s">
        <v>2481</v>
      </c>
      <c r="K2" s="2267" t="s">
        <v>2482</v>
      </c>
      <c r="L2" s="2267" t="s">
        <v>2483</v>
      </c>
      <c r="M2" s="2268" t="s">
        <v>2484</v>
      </c>
      <c r="Q2" s="2278" t="s">
        <v>2682</v>
      </c>
      <c r="R2" s="2278" t="s">
        <v>2683</v>
      </c>
      <c r="S2" s="2278" t="s">
        <v>2684</v>
      </c>
      <c r="T2" s="2278" t="s">
        <v>2685</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2678</v>
      </c>
      <c r="B93" s="2263"/>
      <c r="C93" s="2263"/>
      <c r="D93" s="2263"/>
      <c r="E93" s="2263"/>
      <c r="F93" s="2263"/>
      <c r="G93" s="2263"/>
      <c r="H93" s="2263"/>
      <c r="I93" s="2263"/>
      <c r="J93" s="2263"/>
      <c r="K93" s="2263"/>
      <c r="L93" s="2263"/>
      <c r="M93" s="2263"/>
    </row>
    <row r="94" spans="1:20">
      <c r="A94" s="2264" t="s">
        <v>2677</v>
      </c>
      <c r="B94" s="2265" t="s">
        <v>2473</v>
      </c>
      <c r="C94" s="2265" t="s">
        <v>2474</v>
      </c>
      <c r="D94" s="2265" t="s">
        <v>2475</v>
      </c>
      <c r="E94" s="2265" t="s">
        <v>2476</v>
      </c>
      <c r="F94" s="2265" t="s">
        <v>2477</v>
      </c>
      <c r="G94" s="2265" t="s">
        <v>2478</v>
      </c>
      <c r="H94" s="2266" t="s">
        <v>2479</v>
      </c>
      <c r="I94" s="2266" t="s">
        <v>2480</v>
      </c>
      <c r="J94" s="2267" t="s">
        <v>2481</v>
      </c>
      <c r="K94" s="2267" t="s">
        <v>2482</v>
      </c>
      <c r="L94" s="2267" t="s">
        <v>2483</v>
      </c>
      <c r="M94" s="2268" t="s">
        <v>2484</v>
      </c>
      <c r="N94">
        <f>SUMPRODUCT((A95:A184=ROUNDDOWN(基准地价修正!G3,1))*(B94:M94=基准地价修正!G2)*(B95:M184))</f>
        <v>0</v>
      </c>
      <c r="Q94" s="2278" t="s">
        <v>2682</v>
      </c>
      <c r="R94" s="2278" t="s">
        <v>2683</v>
      </c>
      <c r="S94" s="2278" t="s">
        <v>2684</v>
      </c>
      <c r="T94" s="2278" t="s">
        <v>2685</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2679</v>
      </c>
      <c r="B185" s="2263"/>
      <c r="C185" s="2263"/>
      <c r="D185" s="2263"/>
      <c r="E185" s="2263"/>
      <c r="F185" s="2263"/>
      <c r="G185" s="2263"/>
      <c r="H185" s="2263"/>
      <c r="I185" s="2263"/>
      <c r="J185" s="2263"/>
      <c r="K185" s="2263"/>
      <c r="L185" s="2263"/>
      <c r="M185" s="2263"/>
    </row>
    <row r="186" spans="1:20">
      <c r="A186" s="2264" t="s">
        <v>2677</v>
      </c>
      <c r="B186" s="2265" t="s">
        <v>2473</v>
      </c>
      <c r="C186" s="2265" t="s">
        <v>2474</v>
      </c>
      <c r="D186" s="2265" t="s">
        <v>2475</v>
      </c>
      <c r="E186" s="2265" t="s">
        <v>2476</v>
      </c>
      <c r="F186" s="2265" t="s">
        <v>2477</v>
      </c>
      <c r="G186" s="2265" t="s">
        <v>2478</v>
      </c>
      <c r="H186" s="2266" t="s">
        <v>2479</v>
      </c>
      <c r="I186" s="2266" t="s">
        <v>2480</v>
      </c>
      <c r="J186" s="2267" t="s">
        <v>2481</v>
      </c>
      <c r="K186" s="2267" t="s">
        <v>2482</v>
      </c>
      <c r="L186" s="2267" t="s">
        <v>2483</v>
      </c>
      <c r="M186" s="2268" t="s">
        <v>2484</v>
      </c>
      <c r="Q186" s="2278" t="s">
        <v>2682</v>
      </c>
      <c r="R186" s="2278" t="s">
        <v>2683</v>
      </c>
      <c r="S186" s="2278" t="s">
        <v>2684</v>
      </c>
      <c r="T186" s="2278" t="s">
        <v>2685</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2680</v>
      </c>
      <c r="B277" s="2263"/>
      <c r="C277" s="2263"/>
      <c r="D277" s="2263"/>
      <c r="E277" s="2263"/>
      <c r="F277" s="2263"/>
      <c r="G277" s="2263"/>
      <c r="H277" s="2263"/>
      <c r="I277" s="2263"/>
      <c r="J277" s="2263"/>
      <c r="K277" s="2263"/>
      <c r="L277" s="2263"/>
      <c r="M277" s="2263"/>
    </row>
    <row r="278" spans="1:21">
      <c r="A278" s="2264" t="s">
        <v>2677</v>
      </c>
      <c r="B278" s="2265" t="s">
        <v>2473</v>
      </c>
      <c r="C278" s="2265" t="s">
        <v>2474</v>
      </c>
      <c r="D278" s="2265" t="s">
        <v>2475</v>
      </c>
      <c r="E278" s="2265" t="s">
        <v>2476</v>
      </c>
      <c r="F278" s="2265" t="s">
        <v>2477</v>
      </c>
      <c r="G278" s="2265" t="s">
        <v>2478</v>
      </c>
      <c r="H278" s="2266" t="s">
        <v>2479</v>
      </c>
      <c r="I278" s="2266" t="s">
        <v>2480</v>
      </c>
      <c r="J278" s="2267" t="s">
        <v>2481</v>
      </c>
      <c r="K278" s="2267" t="s">
        <v>2482</v>
      </c>
      <c r="L278" s="2267" t="s">
        <v>2483</v>
      </c>
      <c r="M278" s="2268" t="s">
        <v>2484</v>
      </c>
      <c r="Q278" s="2278" t="s">
        <v>2682</v>
      </c>
      <c r="R278" s="2278" t="s">
        <v>2683</v>
      </c>
      <c r="S278" s="2278" t="s">
        <v>2686</v>
      </c>
      <c r="T278" s="2278" t="s">
        <v>2687</v>
      </c>
      <c r="U278" s="2278" t="s">
        <v>2685</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2681</v>
      </c>
      <c r="B369" s="2276"/>
      <c r="C369" s="2276"/>
      <c r="D369" s="2276"/>
      <c r="E369" s="2276"/>
      <c r="F369" s="2276"/>
      <c r="G369" s="2276"/>
      <c r="H369" s="2276"/>
      <c r="I369" s="2276"/>
      <c r="J369" s="2276"/>
      <c r="K369" s="2276"/>
      <c r="L369" s="2276"/>
      <c r="M369" s="2276"/>
    </row>
    <row r="370" spans="1:20">
      <c r="A370" s="2264" t="s">
        <v>2677</v>
      </c>
      <c r="B370" s="2265" t="s">
        <v>2473</v>
      </c>
      <c r="C370" s="2265" t="s">
        <v>2474</v>
      </c>
      <c r="D370" s="2265" t="s">
        <v>2475</v>
      </c>
      <c r="E370" s="2265" t="s">
        <v>2476</v>
      </c>
      <c r="F370" s="2265" t="s">
        <v>2477</v>
      </c>
      <c r="G370" s="2265" t="s">
        <v>2478</v>
      </c>
      <c r="H370" s="2266" t="s">
        <v>2479</v>
      </c>
      <c r="I370" s="2266" t="s">
        <v>2480</v>
      </c>
      <c r="J370" s="2267" t="s">
        <v>2481</v>
      </c>
      <c r="K370" s="2267" t="s">
        <v>2482</v>
      </c>
      <c r="L370" s="2267" t="s">
        <v>2483</v>
      </c>
      <c r="M370" s="2268" t="s">
        <v>2484</v>
      </c>
      <c r="N370">
        <f>SUMPRODUCT((A371:A460=ROUNDDOWN(基准地价修正!G3,1))*(B370:M370=基准地价修正!G2)*(B371:M460))</f>
        <v>0</v>
      </c>
      <c r="Q370" s="2278" t="s">
        <v>2682</v>
      </c>
      <c r="R370" s="2278" t="s">
        <v>2683</v>
      </c>
      <c r="S370" s="2278" t="s">
        <v>2684</v>
      </c>
      <c r="T370" s="2278" t="s">
        <v>2685</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23862</v>
      </c>
      <c r="C2" s="2" t="s">
        <v>104</v>
      </c>
      <c r="D2" s="94"/>
      <c r="E2" s="94"/>
      <c r="F2" s="94"/>
      <c r="G2" s="94"/>
    </row>
    <row r="3" spans="1:7" s="95" customFormat="1" ht="18" customHeight="1" thickBot="1">
      <c r="A3" s="98" t="s">
        <v>56</v>
      </c>
      <c r="B3" s="99">
        <f ca="1">ROUND(B2*10000/'数据-汇总表'!E3,0)</f>
        <v>1551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497</v>
      </c>
      <c r="D9" s="538">
        <f>'数据-汇总表'!E5</f>
        <v>99449</v>
      </c>
      <c r="E9" s="120">
        <f>'数据-取费表'!B27</f>
        <v>50</v>
      </c>
      <c r="F9" s="116"/>
      <c r="G9" s="121"/>
    </row>
    <row r="10" spans="1:7" s="109" customFormat="1" ht="13.5" customHeight="1">
      <c r="A10" s="512" t="s">
        <v>354</v>
      </c>
      <c r="B10" s="119" t="s">
        <v>65</v>
      </c>
      <c r="C10" s="120">
        <f>ROUND(D10*E10/10000,0)</f>
        <v>489</v>
      </c>
      <c r="D10" s="538">
        <f>'数据-汇总表'!E6</f>
        <v>54380</v>
      </c>
      <c r="E10" s="120">
        <f>'数据-取费表'!B28</f>
        <v>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2307</v>
      </c>
      <c r="D19" s="107">
        <f>'数据-汇总表'!E3</f>
        <v>153829</v>
      </c>
      <c r="E19" s="106">
        <f>'数据-取费表'!B31</f>
        <v>150</v>
      </c>
      <c r="F19" s="126"/>
      <c r="G19" s="1" t="s">
        <v>430</v>
      </c>
    </row>
    <row r="20" spans="1:7" s="109" customFormat="1" ht="13.5" customHeight="1">
      <c r="A20" s="510" t="s">
        <v>413</v>
      </c>
      <c r="B20" s="105" t="s">
        <v>75</v>
      </c>
      <c r="C20" s="127">
        <f>ROUND((C5+C19)*F20,0)</f>
        <v>229</v>
      </c>
      <c r="D20" s="127"/>
      <c r="E20" s="127"/>
      <c r="F20" s="128">
        <f>'数据-取费表'!B38</f>
        <v>0.01</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0</v>
      </c>
      <c r="D22" s="130">
        <f ca="1">C26</f>
        <v>0</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0</v>
      </c>
      <c r="D25" s="133"/>
      <c r="E25" s="136"/>
      <c r="F25" s="134"/>
      <c r="G25" s="137" t="s">
        <v>81</v>
      </c>
    </row>
    <row r="26" spans="1:7" s="109" customFormat="1">
      <c r="A26" s="513" t="s">
        <v>348</v>
      </c>
      <c r="B26" s="110" t="s">
        <v>416</v>
      </c>
      <c r="C26" s="133">
        <f ca="1">ROUND(IF('数据-取费表'!B22&lt;=1,F21*F22*'数据-取费表'!B23/2,F21*(POWER((1+F22),'数据-取费表'!B23/2)-1)),4)</f>
        <v>0</v>
      </c>
      <c r="D26" s="133"/>
      <c r="E26" s="136"/>
      <c r="F26" s="134"/>
      <c r="G26" s="138"/>
    </row>
    <row r="27" spans="1:7" s="109" customFormat="1" ht="24.75">
      <c r="A27" s="510" t="s">
        <v>340</v>
      </c>
      <c r="B27" s="139" t="s">
        <v>83</v>
      </c>
      <c r="C27" s="140">
        <f>C28</f>
        <v>0</v>
      </c>
      <c r="D27" s="130">
        <f>C29</f>
        <v>0</v>
      </c>
      <c r="E27" s="131" t="s">
        <v>97</v>
      </c>
      <c r="F27" s="141">
        <f>'数据-取费表'!Q16</f>
        <v>0.08</v>
      </c>
      <c r="G27" s="142" t="s">
        <v>425</v>
      </c>
    </row>
    <row r="28" spans="1:7" s="109" customFormat="1" ht="13.5" customHeight="1">
      <c r="A28" s="513" t="s">
        <v>347</v>
      </c>
      <c r="B28" s="143" t="s">
        <v>418</v>
      </c>
      <c r="C28" s="144">
        <f>ROUND((C5+C19+C20)*F27*'数据-取费表'!B21/'数据-取费表'!B20,0)</f>
        <v>0</v>
      </c>
      <c r="D28" s="130"/>
      <c r="E28" s="131"/>
      <c r="F28" s="141"/>
      <c r="G28" s="142"/>
    </row>
    <row r="29" spans="1:7" s="109" customFormat="1" ht="13.5" customHeight="1">
      <c r="A29" s="513" t="s">
        <v>345</v>
      </c>
      <c r="B29" s="143" t="s">
        <v>419</v>
      </c>
      <c r="C29" s="133">
        <f>ROUND(C21*F27*'数据-取费表'!B21/'数据-取费表'!B20,4)</f>
        <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23862</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0</v>
      </c>
      <c r="G34" s="114" t="s">
        <v>87</v>
      </c>
    </row>
    <row r="35" spans="1:7" ht="13.5" customHeight="1">
      <c r="A35" s="513" t="s">
        <v>349</v>
      </c>
      <c r="B35" s="110" t="s">
        <v>31</v>
      </c>
      <c r="C35" s="115">
        <f>ROUND(C34*F35,0)</f>
        <v>0</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0.1</v>
      </c>
      <c r="G36" s="155" t="s">
        <v>33</v>
      </c>
    </row>
    <row r="37" spans="1:7" s="153" customFormat="1" ht="13.5" customHeight="1">
      <c r="A37" s="513" t="s">
        <v>351</v>
      </c>
      <c r="B37" s="110" t="s">
        <v>89</v>
      </c>
      <c r="C37" s="144">
        <f>ROUND(E37*D37*F34/10000,0)</f>
        <v>0</v>
      </c>
      <c r="D37" s="112">
        <f>'数据-汇总表'!E3</f>
        <v>153829</v>
      </c>
      <c r="E37" s="144">
        <f>'数据-取费表'!B35</f>
        <v>350</v>
      </c>
      <c r="F37" s="154"/>
      <c r="G37" s="156" t="s">
        <v>90</v>
      </c>
    </row>
    <row r="38" spans="1:7" ht="13.5" customHeight="1">
      <c r="A38" s="513" t="s">
        <v>352</v>
      </c>
      <c r="B38" s="110" t="s">
        <v>34</v>
      </c>
      <c r="C38" s="115">
        <f>ROUND(C34*F38,0)</f>
        <v>0</v>
      </c>
      <c r="D38" s="115"/>
      <c r="E38" s="115"/>
      <c r="F38" s="154">
        <f>'数据-取费表'!B36</f>
        <v>0.03</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0</v>
      </c>
      <c r="D41" s="130">
        <f ca="1">C44</f>
        <v>0</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0</v>
      </c>
      <c r="D42" s="133"/>
      <c r="E42" s="133"/>
      <c r="F42" s="134"/>
      <c r="G42" s="4490" t="s">
        <v>92</v>
      </c>
    </row>
    <row r="43" spans="1:7" ht="13.5" customHeight="1">
      <c r="A43" s="513" t="s">
        <v>345</v>
      </c>
      <c r="B43" s="110" t="s">
        <v>420</v>
      </c>
      <c r="C43" s="133">
        <f ca="1">ROUND(IF('数据-取费表'!B22&lt;=1,C39*F22*'数据-取费表'!B21/2,C39*(POWER((1+F22),'数据-取费表'!B21/2)-1)),0)</f>
        <v>0</v>
      </c>
      <c r="D43" s="133"/>
      <c r="E43" s="133"/>
      <c r="F43" s="134"/>
      <c r="G43" s="4492"/>
    </row>
    <row r="44" spans="1:7" ht="13.5" customHeight="1">
      <c r="A44" s="513" t="s">
        <v>346</v>
      </c>
      <c r="B44" s="110" t="s">
        <v>422</v>
      </c>
      <c r="C44" s="133">
        <f ca="1">ROUND(IF('数据-取费表'!B22&lt;=1,C40*F22*'数据-取费表'!B21/2,C40*(POWER((1+F22),'数据-取费表'!B21/2)-1)),4)</f>
        <v>0</v>
      </c>
      <c r="D44" s="133"/>
      <c r="E44" s="133"/>
      <c r="F44" s="134"/>
      <c r="G44" s="4491"/>
    </row>
    <row r="45" spans="1:7" s="109" customFormat="1" ht="13.5" customHeight="1">
      <c r="A45" s="510" t="s">
        <v>339</v>
      </c>
      <c r="B45" s="139" t="s">
        <v>83</v>
      </c>
      <c r="C45" s="140">
        <f>C46</f>
        <v>0</v>
      </c>
      <c r="D45" s="130">
        <f>C47</f>
        <v>2.3999999999999998E-3</v>
      </c>
      <c r="E45" s="131" t="s">
        <v>100</v>
      </c>
      <c r="F45" s="141"/>
      <c r="G45" s="142" t="s">
        <v>428</v>
      </c>
    </row>
    <row r="46" spans="1:7" s="109" customFormat="1" ht="13.5" customHeight="1">
      <c r="A46" s="513" t="s">
        <v>347</v>
      </c>
      <c r="B46" s="143" t="s">
        <v>421</v>
      </c>
      <c r="C46" s="144">
        <f>ROUND((C33+C39)*F27,0)</f>
        <v>0</v>
      </c>
      <c r="D46" s="158"/>
      <c r="E46" s="131"/>
      <c r="F46" s="141"/>
      <c r="G46" s="142"/>
    </row>
    <row r="47" spans="1:7" s="109" customFormat="1" ht="13.5" customHeight="1">
      <c r="A47" s="513" t="s">
        <v>345</v>
      </c>
      <c r="B47" s="143" t="s">
        <v>423</v>
      </c>
      <c r="C47" s="133">
        <f>ROUND(C40*F27,4)</f>
        <v>2.3999999999999998E-3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0</v>
      </c>
      <c r="D49" s="127"/>
      <c r="E49" s="127"/>
      <c r="F49" s="159"/>
      <c r="G49" s="129" t="s">
        <v>429</v>
      </c>
    </row>
    <row r="50" spans="1:7" s="153" customFormat="1" ht="24">
      <c r="A50" s="510" t="s">
        <v>342</v>
      </c>
      <c r="B50" s="105" t="s">
        <v>95</v>
      </c>
      <c r="C50" s="127"/>
      <c r="D50" s="127"/>
      <c r="E50" s="127"/>
      <c r="F50" s="159">
        <f>IF('数据-取费表'!B24=0,'数据-取费表'!N16,1)</f>
        <v>1</v>
      </c>
      <c r="G50" s="142" t="s">
        <v>96</v>
      </c>
    </row>
    <row r="51" spans="1:7" ht="16.5" customHeight="1">
      <c r="A51" s="510" t="s">
        <v>343</v>
      </c>
      <c r="B51" s="105" t="s">
        <v>103</v>
      </c>
      <c r="C51" s="127">
        <f ca="1">ROUND(C49*F50,0)</f>
        <v>0</v>
      </c>
      <c r="D51" s="127"/>
      <c r="E51" s="127"/>
      <c r="F51" s="159"/>
      <c r="G51" s="129" t="s">
        <v>35</v>
      </c>
    </row>
    <row r="52" spans="1:7" s="103" customFormat="1" ht="16.5" thickBot="1">
      <c r="A52" s="160" t="s">
        <v>36</v>
      </c>
      <c r="B52" s="161"/>
      <c r="C52" s="162">
        <f ca="1">C31+C51</f>
        <v>23862</v>
      </c>
      <c r="D52" s="161"/>
      <c r="E52" s="161"/>
      <c r="F52" s="161"/>
      <c r="G52" s="163"/>
    </row>
    <row r="55" spans="1:7" ht="15">
      <c r="B55" s="165" t="s">
        <v>37</v>
      </c>
      <c r="C55" s="166"/>
    </row>
    <row r="56" spans="1:7">
      <c r="B56" s="168" t="s">
        <v>38</v>
      </c>
      <c r="C56" s="169">
        <f ca="1">ROUND(C51/C52,3)</f>
        <v>0</v>
      </c>
    </row>
    <row r="57" spans="1:7">
      <c r="B57" s="168" t="s">
        <v>39</v>
      </c>
      <c r="C57" s="170">
        <f ca="1">1-C56</f>
        <v>1</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6" t="str">
        <f>IF(项目基本情况!B9="房地产市场价值","估价结果一览表","结果表-2")</f>
        <v>结果表-2</v>
      </c>
      <c r="B1" s="4286"/>
      <c r="C1" s="4286"/>
      <c r="D1" s="4286"/>
      <c r="E1" s="4286"/>
      <c r="F1" s="4286"/>
      <c r="G1" s="4286"/>
      <c r="H1" s="4286"/>
      <c r="I1" s="4286"/>
    </row>
    <row r="2" spans="1:9" ht="30" customHeight="1" thickTop="1">
      <c r="A2" s="4287" t="s">
        <v>910</v>
      </c>
      <c r="B2" s="4287" t="s">
        <v>911</v>
      </c>
      <c r="C2" s="4287" t="s">
        <v>912</v>
      </c>
      <c r="D2" s="4287" t="str">
        <f>结果表!D116</f>
        <v>出让国有建设用地使用权价值</v>
      </c>
      <c r="E2" s="4287"/>
      <c r="F2" s="4287">
        <f>结果表!F116</f>
        <v>0</v>
      </c>
      <c r="G2" s="4287"/>
      <c r="H2" s="4287" t="str">
        <f>IF(项目基本情况!B9="房地产市场价值","房地产市场价值","房地产价值")</f>
        <v>房地产价值</v>
      </c>
      <c r="I2" s="4287"/>
    </row>
    <row r="3" spans="1:9" ht="15">
      <c r="A3" s="4288"/>
      <c r="B3" s="4288"/>
      <c r="C3" s="4288"/>
      <c r="D3" s="544" t="s">
        <v>907</v>
      </c>
      <c r="E3" s="544" t="s">
        <v>913</v>
      </c>
      <c r="F3" s="544" t="s">
        <v>907</v>
      </c>
      <c r="G3" s="544" t="s">
        <v>908</v>
      </c>
      <c r="H3" s="544" t="s">
        <v>907</v>
      </c>
      <c r="I3" s="544" t="s">
        <v>908</v>
      </c>
    </row>
    <row r="4" spans="1:9" ht="15">
      <c r="A4" s="1047" t="str">
        <f>项目基本情况!S2</f>
        <v>北京市房地产</v>
      </c>
      <c r="B4" s="544">
        <f>项目基本情况!C17</f>
        <v>153829</v>
      </c>
      <c r="C4" s="544">
        <f>项目基本情况!C18</f>
        <v>21574</v>
      </c>
      <c r="D4" s="544" t="e">
        <f ca="1">结果表!E118</f>
        <v>#REF!</v>
      </c>
      <c r="E4" s="544" t="e">
        <f ca="1">结果表!D118</f>
        <v>#REF!</v>
      </c>
      <c r="F4" s="544" t="e">
        <f ca="1">结果表!G118</f>
        <v>#REF!</v>
      </c>
      <c r="G4" s="544" t="e">
        <f ca="1">结果表!F118</f>
        <v>#REF!</v>
      </c>
      <c r="H4" s="544">
        <f ca="1">结果表!I118</f>
        <v>20028.535800000001</v>
      </c>
      <c r="I4" s="544">
        <f ca="1">结果表!H118</f>
        <v>85</v>
      </c>
    </row>
    <row r="5" spans="1:9" ht="30" customHeight="1">
      <c r="A5" s="4288" t="s">
        <v>909</v>
      </c>
      <c r="B5" s="4288"/>
      <c r="C5" s="4288"/>
      <c r="D5" s="4288" t="e">
        <f ca="1">结果表!D119</f>
        <v>#REF!</v>
      </c>
      <c r="E5" s="4288"/>
      <c r="F5" s="4288" t="e">
        <f ca="1">结果表!F119</f>
        <v>#REF!</v>
      </c>
      <c r="G5" s="4288"/>
      <c r="H5" s="4288" t="str">
        <f ca="1">结果表!H119</f>
        <v>贰亿零贰拾捌万伍仟叁佰伍拾捌元整</v>
      </c>
      <c r="I5" s="4288"/>
    </row>
    <row r="6" spans="1:9" ht="15.75">
      <c r="A6" s="4289" t="str">
        <f>结果表!A120</f>
        <v>估价师知悉的法定优先受偿款</v>
      </c>
      <c r="B6" s="4289"/>
      <c r="C6" s="4289"/>
      <c r="D6" s="4289">
        <f>结果表!H120</f>
        <v>0</v>
      </c>
      <c r="E6" s="4289"/>
      <c r="F6" s="4289"/>
      <c r="G6" s="4289"/>
      <c r="H6" s="4289"/>
      <c r="I6" s="4289"/>
    </row>
    <row r="7" spans="1:9" ht="15">
      <c r="A7" s="4288" t="s">
        <v>909</v>
      </c>
      <c r="B7" s="4288"/>
      <c r="C7" s="4288"/>
      <c r="D7" s="4290" t="str">
        <f>结果表!H121</f>
        <v>零元整</v>
      </c>
      <c r="E7" s="4291"/>
      <c r="F7" s="4291"/>
      <c r="G7" s="4291"/>
      <c r="H7" s="4291"/>
      <c r="I7" s="4292"/>
    </row>
    <row r="8" spans="1:9" ht="15.75">
      <c r="A8" s="4289" t="str">
        <f>结果表!A122</f>
        <v>房地产抵押价值</v>
      </c>
      <c r="B8" s="4289"/>
      <c r="C8" s="4289"/>
      <c r="D8" s="4289">
        <f ca="1">结果表!H122</f>
        <v>20028.535800000001</v>
      </c>
      <c r="E8" s="4289"/>
      <c r="F8" s="4289"/>
      <c r="G8" s="4289"/>
      <c r="H8" s="4289"/>
      <c r="I8" s="4289"/>
    </row>
    <row r="9" spans="1:9" ht="15">
      <c r="A9" s="4288" t="s">
        <v>909</v>
      </c>
      <c r="B9" s="4288"/>
      <c r="C9" s="4288"/>
      <c r="D9" s="4288" t="str">
        <f ca="1">结果表!H123</f>
        <v>贰亿零贰拾捌万伍仟叁佰伍拾捌元整</v>
      </c>
      <c r="E9" s="4288"/>
      <c r="F9" s="4288"/>
      <c r="G9" s="4288"/>
      <c r="H9" s="4288"/>
      <c r="I9" s="4288"/>
    </row>
    <row r="10" spans="1:9" ht="15.75">
      <c r="A10" s="4289" t="str">
        <f>结果表!A124</f>
        <v/>
      </c>
      <c r="B10" s="4289"/>
      <c r="C10" s="4289"/>
      <c r="D10" s="4289" t="str">
        <f>结果表!H124</f>
        <v>——</v>
      </c>
      <c r="E10" s="4289"/>
      <c r="F10" s="4289"/>
      <c r="G10" s="4289"/>
      <c r="H10" s="4289"/>
      <c r="I10" s="4289"/>
    </row>
    <row r="11" spans="1:9" ht="15">
      <c r="A11" s="4288" t="s">
        <v>909</v>
      </c>
      <c r="B11" s="4288"/>
      <c r="C11" s="4288"/>
      <c r="D11" s="4288" t="e">
        <f>结果表!H125</f>
        <v>#VALUE!</v>
      </c>
      <c r="E11" s="4288"/>
      <c r="F11" s="4288"/>
      <c r="G11" s="4288"/>
      <c r="H11" s="4288"/>
      <c r="I11" s="4288"/>
    </row>
    <row r="12" spans="1:9" ht="15.75">
      <c r="A12" s="4289" t="str">
        <f>结果表!A126</f>
        <v/>
      </c>
      <c r="B12" s="4289"/>
      <c r="C12" s="4289"/>
      <c r="D12" s="4289" t="str">
        <f>结果表!H126</f>
        <v>——</v>
      </c>
      <c r="E12" s="4289"/>
      <c r="F12" s="4289"/>
      <c r="G12" s="4289"/>
      <c r="H12" s="4289"/>
      <c r="I12" s="4289"/>
    </row>
    <row r="13" spans="1:9" ht="15.75" thickBot="1">
      <c r="A13" s="4293" t="s">
        <v>909</v>
      </c>
      <c r="B13" s="4293"/>
      <c r="C13" s="4293"/>
      <c r="D13" s="4293" t="e">
        <f>结果表!H127</f>
        <v>#VALUE!</v>
      </c>
      <c r="E13" s="4293"/>
      <c r="F13" s="4293"/>
      <c r="G13" s="4293"/>
      <c r="H13" s="4293"/>
      <c r="I13" s="4293"/>
    </row>
    <row r="14" spans="1:9" ht="15" thickTop="1">
      <c r="A14" s="4294" t="s">
        <v>914</v>
      </c>
      <c r="B14" s="4294"/>
      <c r="C14" s="4294"/>
      <c r="D14" s="4294"/>
      <c r="E14" s="4294"/>
      <c r="F14" s="4294"/>
      <c r="G14" s="4294"/>
      <c r="H14" s="4294"/>
      <c r="I14" s="4294"/>
    </row>
    <row r="16" spans="1:9" ht="18.75">
      <c r="A16" s="1048" t="s">
        <v>897</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I25" sqref="I25"/>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701" t="s">
        <v>3059</v>
      </c>
      <c r="B1" s="4701"/>
    </row>
    <row r="2" spans="1:7" ht="14.25" thickBot="1">
      <c r="A2" s="2353"/>
      <c r="B2" s="2353"/>
    </row>
    <row r="3" spans="1:7" ht="14.25" thickBot="1">
      <c r="A3" s="2353"/>
      <c r="B3" s="2353"/>
      <c r="C3" s="2354" t="s">
        <v>2689</v>
      </c>
      <c r="D3" s="2354" t="s">
        <v>2745</v>
      </c>
      <c r="E3" s="2354" t="s">
        <v>2691</v>
      </c>
      <c r="F3" s="2354" t="s">
        <v>2746</v>
      </c>
      <c r="G3" s="2354" t="s">
        <v>2509</v>
      </c>
    </row>
    <row r="4" spans="1:7" ht="14.25" thickBot="1">
      <c r="A4" s="2355" t="s">
        <v>2744</v>
      </c>
      <c r="B4" s="2356" t="s">
        <v>2750</v>
      </c>
      <c r="C4" s="2354"/>
      <c r="D4" s="2354"/>
      <c r="E4" s="2354"/>
      <c r="F4" s="2354"/>
      <c r="G4" s="2354"/>
    </row>
    <row r="5" spans="1:7">
      <c r="A5" s="2357" t="s">
        <v>2718</v>
      </c>
      <c r="B5" s="2358" t="s">
        <v>2732</v>
      </c>
      <c r="C5" s="2359">
        <v>9.8000000000000004E-2</v>
      </c>
      <c r="D5" s="2359">
        <v>8.6999999999999994E-2</v>
      </c>
      <c r="E5" s="2359">
        <v>8.6999999999999994E-2</v>
      </c>
      <c r="F5" s="2359">
        <v>9.8000000000000004E-2</v>
      </c>
      <c r="G5" s="2360">
        <v>9.5000000000000001E-2</v>
      </c>
    </row>
    <row r="6" spans="1:7">
      <c r="A6" s="2361" t="s">
        <v>142</v>
      </c>
      <c r="B6" s="2362" t="s">
        <v>2747</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2733</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2783</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2801</v>
      </c>
      <c r="C29" s="2371"/>
      <c r="D29" s="2367">
        <v>5.1999999999999998E-2</v>
      </c>
      <c r="E29" s="2367">
        <v>7.0000000000000007E-2</v>
      </c>
      <c r="F29" s="2371"/>
      <c r="G29" s="2369">
        <v>7.0999999999999994E-2</v>
      </c>
    </row>
    <row r="30" spans="1:7">
      <c r="A30" s="2372" t="s">
        <v>294</v>
      </c>
      <c r="B30" s="2358" t="s">
        <v>2734</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2720</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2804</v>
      </c>
      <c r="C50" s="2363">
        <v>9.8000000000000004E-2</v>
      </c>
      <c r="D50" s="2363">
        <v>7.2999999999999995E-2</v>
      </c>
      <c r="E50" s="2363">
        <v>7.0999999999999994E-2</v>
      </c>
      <c r="F50" s="2374"/>
      <c r="G50" s="2364">
        <v>7.2999999999999995E-2</v>
      </c>
    </row>
    <row r="51" spans="1:7">
      <c r="A51" s="2373" t="s">
        <v>294</v>
      </c>
      <c r="B51" s="2362" t="s">
        <v>2806</v>
      </c>
      <c r="C51" s="2363">
        <v>9.9000000000000005E-2</v>
      </c>
      <c r="D51" s="2363">
        <v>8.5000000000000006E-2</v>
      </c>
      <c r="E51" s="2363">
        <v>6.3E-2</v>
      </c>
      <c r="F51" s="2374"/>
      <c r="G51" s="2364">
        <v>9.6000000000000002E-2</v>
      </c>
    </row>
    <row r="52" spans="1:7">
      <c r="A52" s="2373" t="s">
        <v>294</v>
      </c>
      <c r="B52" s="2362" t="s">
        <v>2810</v>
      </c>
      <c r="C52" s="2363">
        <v>7.3999999999999996E-2</v>
      </c>
      <c r="D52" s="2363">
        <v>9.6000000000000002E-2</v>
      </c>
      <c r="E52" s="2363">
        <v>0.05</v>
      </c>
      <c r="F52" s="2374"/>
      <c r="G52" s="2364">
        <v>9.8000000000000004E-2</v>
      </c>
    </row>
    <row r="53" spans="1:7">
      <c r="A53" s="2373" t="s">
        <v>294</v>
      </c>
      <c r="B53" s="2362" t="s">
        <v>2815</v>
      </c>
      <c r="C53" s="2363">
        <v>8.5999999999999993E-2</v>
      </c>
      <c r="D53" s="2374"/>
      <c r="E53" s="2363">
        <v>9.1999999999999998E-2</v>
      </c>
      <c r="F53" s="2374"/>
      <c r="G53" s="2375"/>
    </row>
    <row r="54" spans="1:7" ht="14.25" thickBot="1">
      <c r="A54" s="2376" t="s">
        <v>294</v>
      </c>
      <c r="B54" s="2366" t="s">
        <v>2818</v>
      </c>
      <c r="C54" s="2367">
        <v>9.6000000000000002E-2</v>
      </c>
      <c r="D54" s="2368"/>
      <c r="E54" s="2377"/>
      <c r="F54" s="2368"/>
      <c r="G54" s="2378"/>
    </row>
    <row r="55" spans="1:7">
      <c r="A55" s="2372" t="s">
        <v>108</v>
      </c>
      <c r="B55" s="2358" t="s">
        <v>2735</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2816</v>
      </c>
      <c r="C78" s="2363">
        <v>0.1</v>
      </c>
      <c r="D78" s="2363">
        <v>8.5000000000000006E-2</v>
      </c>
      <c r="E78" s="2363">
        <v>9.6000000000000002E-2</v>
      </c>
      <c r="F78" s="2374"/>
      <c r="G78" s="2364">
        <v>9.6000000000000002E-2</v>
      </c>
    </row>
    <row r="79" spans="1:7">
      <c r="A79" s="2373" t="s">
        <v>108</v>
      </c>
      <c r="B79" s="2362" t="s">
        <v>2819</v>
      </c>
      <c r="C79" s="2363">
        <v>0.05</v>
      </c>
      <c r="D79" s="2363">
        <v>9.6000000000000002E-2</v>
      </c>
      <c r="E79" s="2363">
        <v>9.5000000000000001E-2</v>
      </c>
      <c r="F79" s="2374"/>
      <c r="G79" s="2364">
        <v>9.8000000000000004E-2</v>
      </c>
    </row>
    <row r="80" spans="1:7">
      <c r="A80" s="2373" t="s">
        <v>108</v>
      </c>
      <c r="B80" s="2362" t="s">
        <v>2823</v>
      </c>
      <c r="C80" s="2363">
        <v>8.5999999999999993E-2</v>
      </c>
      <c r="D80" s="2379"/>
      <c r="E80" s="2363">
        <v>0.1</v>
      </c>
      <c r="F80" s="2374"/>
      <c r="G80" s="2375"/>
    </row>
    <row r="81" spans="1:7">
      <c r="A81" s="2373" t="s">
        <v>108</v>
      </c>
      <c r="B81" s="2362" t="s">
        <v>2828</v>
      </c>
      <c r="C81" s="2363">
        <v>9.6000000000000002E-2</v>
      </c>
      <c r="D81" s="2374"/>
      <c r="E81" s="2363">
        <v>9.8000000000000004E-2</v>
      </c>
      <c r="F81" s="2374"/>
      <c r="G81" s="2375"/>
    </row>
    <row r="82" spans="1:7">
      <c r="A82" s="2373" t="s">
        <v>108</v>
      </c>
      <c r="B82" s="2362" t="s">
        <v>2835</v>
      </c>
      <c r="C82" s="2379"/>
      <c r="D82" s="2374"/>
      <c r="E82" s="2363">
        <v>7.6999999999999999E-2</v>
      </c>
      <c r="F82" s="2374"/>
      <c r="G82" s="2375"/>
    </row>
    <row r="83" spans="1:7">
      <c r="A83" s="2373" t="s">
        <v>108</v>
      </c>
      <c r="B83" s="2362" t="s">
        <v>2841</v>
      </c>
      <c r="C83" s="2374"/>
      <c r="D83" s="2374"/>
      <c r="E83" s="2374"/>
      <c r="F83" s="2363">
        <v>0.1</v>
      </c>
      <c r="G83" s="2380"/>
    </row>
    <row r="84" spans="1:7">
      <c r="A84" s="2373" t="s">
        <v>108</v>
      </c>
      <c r="B84" s="2362" t="s">
        <v>2848</v>
      </c>
      <c r="C84" s="2374"/>
      <c r="D84" s="2374"/>
      <c r="E84" s="2374"/>
      <c r="F84" s="2363">
        <v>0.1</v>
      </c>
      <c r="G84" s="2380"/>
    </row>
    <row r="85" spans="1:7">
      <c r="A85" s="2373" t="s">
        <v>108</v>
      </c>
      <c r="B85" s="2362" t="s">
        <v>2855</v>
      </c>
      <c r="C85" s="2374"/>
      <c r="D85" s="2374"/>
      <c r="E85" s="2374"/>
      <c r="F85" s="2363">
        <v>0.1</v>
      </c>
      <c r="G85" s="2380"/>
    </row>
    <row r="86" spans="1:7" ht="14.25" thickBot="1">
      <c r="A86" s="2376" t="s">
        <v>108</v>
      </c>
      <c r="B86" s="2366" t="s">
        <v>2860</v>
      </c>
      <c r="C86" s="2367">
        <v>9.8000000000000004E-2</v>
      </c>
      <c r="D86" s="2367">
        <v>9.8000000000000004E-2</v>
      </c>
      <c r="E86" s="2367">
        <v>9.6000000000000002E-2</v>
      </c>
      <c r="F86" s="2377"/>
      <c r="G86" s="2369">
        <v>0.1</v>
      </c>
    </row>
    <row r="87" spans="1:7">
      <c r="A87" s="2372" t="s">
        <v>301</v>
      </c>
      <c r="B87" s="2358" t="s">
        <v>2736</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2829</v>
      </c>
      <c r="C113" s="2363">
        <v>0.1</v>
      </c>
      <c r="D113" s="2363">
        <v>0.1</v>
      </c>
      <c r="E113" s="2374"/>
      <c r="F113" s="2374"/>
      <c r="G113" s="2364">
        <v>0.1</v>
      </c>
    </row>
    <row r="114" spans="1:7">
      <c r="A114" s="2373" t="s">
        <v>301</v>
      </c>
      <c r="B114" s="2362" t="s">
        <v>2836</v>
      </c>
      <c r="C114" s="2363">
        <v>9.7000000000000003E-2</v>
      </c>
      <c r="D114" s="2363">
        <v>9.7000000000000003E-2</v>
      </c>
      <c r="E114" s="2374"/>
      <c r="F114" s="2374"/>
      <c r="G114" s="2364">
        <v>9.9000000000000005E-2</v>
      </c>
    </row>
    <row r="115" spans="1:7">
      <c r="A115" s="2373" t="s">
        <v>301</v>
      </c>
      <c r="B115" s="2362" t="s">
        <v>2842</v>
      </c>
      <c r="C115" s="2363">
        <v>0.1</v>
      </c>
      <c r="D115" s="2363">
        <v>0.1</v>
      </c>
      <c r="E115" s="2374"/>
      <c r="F115" s="2374"/>
      <c r="G115" s="2364">
        <v>0.1</v>
      </c>
    </row>
    <row r="116" spans="1:7">
      <c r="A116" s="2373" t="s">
        <v>301</v>
      </c>
      <c r="B116" s="2362" t="s">
        <v>2849</v>
      </c>
      <c r="C116" s="2363">
        <v>0.1</v>
      </c>
      <c r="D116" s="2363">
        <v>0.1</v>
      </c>
      <c r="E116" s="2374"/>
      <c r="F116" s="2374"/>
      <c r="G116" s="2364">
        <v>0.1</v>
      </c>
    </row>
    <row r="117" spans="1:7">
      <c r="A117" s="2373" t="s">
        <v>301</v>
      </c>
      <c r="B117" s="2362" t="s">
        <v>2856</v>
      </c>
      <c r="C117" s="2363">
        <v>9.7000000000000003E-2</v>
      </c>
      <c r="D117" s="2363">
        <v>9.7000000000000003E-2</v>
      </c>
      <c r="E117" s="2374"/>
      <c r="F117" s="2374"/>
      <c r="G117" s="2364">
        <v>9.7000000000000003E-2</v>
      </c>
    </row>
    <row r="118" spans="1:7">
      <c r="A118" s="2373" t="s">
        <v>301</v>
      </c>
      <c r="B118" s="2362" t="s">
        <v>2861</v>
      </c>
      <c r="C118" s="2363">
        <v>0.1</v>
      </c>
      <c r="D118" s="2363">
        <v>0.1</v>
      </c>
      <c r="E118" s="2374"/>
      <c r="F118" s="2374"/>
      <c r="G118" s="2364">
        <v>0.1</v>
      </c>
    </row>
    <row r="119" spans="1:7">
      <c r="A119" s="2373" t="s">
        <v>301</v>
      </c>
      <c r="B119" s="2362" t="s">
        <v>2865</v>
      </c>
      <c r="C119" s="2363">
        <v>5.0999999999999997E-2</v>
      </c>
      <c r="D119" s="2363">
        <v>5.1999999999999998E-2</v>
      </c>
      <c r="E119" s="2374"/>
      <c r="F119" s="2379"/>
      <c r="G119" s="2364">
        <v>0.06</v>
      </c>
    </row>
    <row r="120" spans="1:7">
      <c r="A120" s="2373" t="s">
        <v>301</v>
      </c>
      <c r="B120" s="2362" t="s">
        <v>2869</v>
      </c>
      <c r="C120" s="2374"/>
      <c r="D120" s="2374"/>
      <c r="E120" s="2374"/>
      <c r="F120" s="2363">
        <v>0.1</v>
      </c>
      <c r="G120" s="2380"/>
    </row>
    <row r="121" spans="1:7">
      <c r="A121" s="2373" t="s">
        <v>301</v>
      </c>
      <c r="B121" s="2362" t="s">
        <v>2874</v>
      </c>
      <c r="C121" s="2374"/>
      <c r="D121" s="2374"/>
      <c r="E121" s="2374"/>
      <c r="F121" s="2363">
        <v>0.1</v>
      </c>
      <c r="G121" s="2380"/>
    </row>
    <row r="122" spans="1:7">
      <c r="A122" s="2373" t="s">
        <v>301</v>
      </c>
      <c r="B122" s="2362" t="s">
        <v>2879</v>
      </c>
      <c r="C122" s="2363">
        <v>0.1</v>
      </c>
      <c r="D122" s="2363">
        <v>0.1</v>
      </c>
      <c r="E122" s="2363">
        <v>9.8000000000000004E-2</v>
      </c>
      <c r="F122" s="2363">
        <v>0.1</v>
      </c>
      <c r="G122" s="2364">
        <v>0.1</v>
      </c>
    </row>
    <row r="123" spans="1:7">
      <c r="A123" s="2373" t="s">
        <v>301</v>
      </c>
      <c r="B123" s="2362" t="s">
        <v>2884</v>
      </c>
      <c r="C123" s="2363">
        <v>0.1</v>
      </c>
      <c r="D123" s="2363">
        <v>0.1</v>
      </c>
      <c r="E123" s="2363">
        <v>9.8000000000000004E-2</v>
      </c>
      <c r="F123" s="2363">
        <v>0.1</v>
      </c>
      <c r="G123" s="2364">
        <v>0.1</v>
      </c>
    </row>
    <row r="124" spans="1:7">
      <c r="A124" s="2373" t="s">
        <v>301</v>
      </c>
      <c r="B124" s="2362" t="s">
        <v>2889</v>
      </c>
      <c r="C124" s="2363">
        <v>0.1</v>
      </c>
      <c r="D124" s="2363">
        <v>0.1</v>
      </c>
      <c r="E124" s="2363">
        <v>9.8000000000000004E-2</v>
      </c>
      <c r="F124" s="2379"/>
      <c r="G124" s="2364">
        <v>0.1</v>
      </c>
    </row>
    <row r="125" spans="1:7">
      <c r="A125" s="2373" t="s">
        <v>301</v>
      </c>
      <c r="B125" s="2362" t="s">
        <v>2894</v>
      </c>
      <c r="C125" s="2363">
        <v>9.8000000000000004E-2</v>
      </c>
      <c r="D125" s="2363">
        <v>9.8000000000000004E-2</v>
      </c>
      <c r="E125" s="2363">
        <v>9.6000000000000002E-2</v>
      </c>
      <c r="F125" s="2379"/>
      <c r="G125" s="2364">
        <v>0.1</v>
      </c>
    </row>
    <row r="126" spans="1:7" ht="14.25" thickBot="1">
      <c r="A126" s="2376" t="s">
        <v>301</v>
      </c>
      <c r="B126" s="2366" t="s">
        <v>3060</v>
      </c>
      <c r="C126" s="2367">
        <v>0.1</v>
      </c>
      <c r="D126" s="2367">
        <v>0.1</v>
      </c>
      <c r="E126" s="2367">
        <v>9.8000000000000004E-2</v>
      </c>
      <c r="F126" s="2367">
        <v>0.1</v>
      </c>
      <c r="G126" s="2369">
        <v>0.1</v>
      </c>
    </row>
    <row r="127" spans="1:7">
      <c r="A127" s="2372" t="s">
        <v>27</v>
      </c>
      <c r="B127" s="2358" t="s">
        <v>2737</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2807</v>
      </c>
      <c r="C148" s="2363">
        <v>0.13</v>
      </c>
      <c r="D148" s="2363">
        <v>0.13</v>
      </c>
      <c r="E148" s="2363">
        <v>0.13</v>
      </c>
      <c r="F148" s="2374"/>
      <c r="G148" s="2364">
        <v>0.13</v>
      </c>
    </row>
    <row r="149" spans="1:7">
      <c r="A149" s="2373" t="s">
        <v>27</v>
      </c>
      <c r="B149" s="2362" t="s">
        <v>2811</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2830</v>
      </c>
      <c r="C153" s="2363">
        <v>0.13</v>
      </c>
      <c r="D153" s="2363">
        <v>0.13</v>
      </c>
      <c r="E153" s="2363">
        <v>0.13</v>
      </c>
      <c r="F153" s="2363">
        <v>0.13</v>
      </c>
      <c r="G153" s="2364">
        <v>0.13</v>
      </c>
    </row>
    <row r="154" spans="1:7">
      <c r="A154" s="2373" t="s">
        <v>27</v>
      </c>
      <c r="B154" s="2362" t="s">
        <v>2837</v>
      </c>
      <c r="C154" s="2363">
        <v>0.121</v>
      </c>
      <c r="D154" s="2363">
        <v>0.121</v>
      </c>
      <c r="E154" s="2363">
        <v>0.105</v>
      </c>
      <c r="F154" s="2363">
        <v>0.121</v>
      </c>
      <c r="G154" s="2364">
        <v>0.123</v>
      </c>
    </row>
    <row r="155" spans="1:7">
      <c r="A155" s="2373" t="s">
        <v>27</v>
      </c>
      <c r="B155" s="2362" t="s">
        <v>2843</v>
      </c>
      <c r="C155" s="2363">
        <v>0.1</v>
      </c>
      <c r="D155" s="2363">
        <v>0.1</v>
      </c>
      <c r="E155" s="2363">
        <v>0.1</v>
      </c>
      <c r="F155" s="2363">
        <v>0.1</v>
      </c>
      <c r="G155" s="2364">
        <v>0.1</v>
      </c>
    </row>
    <row r="156" spans="1:7">
      <c r="A156" s="2373" t="s">
        <v>27</v>
      </c>
      <c r="B156" s="2362" t="s">
        <v>2850</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2870</v>
      </c>
      <c r="C160" s="2363">
        <v>0.13</v>
      </c>
      <c r="D160" s="2363">
        <v>0.13</v>
      </c>
      <c r="E160" s="2363">
        <v>0.124</v>
      </c>
      <c r="F160" s="2363">
        <v>0.126</v>
      </c>
      <c r="G160" s="2364">
        <v>0.13</v>
      </c>
    </row>
    <row r="161" spans="1:7">
      <c r="A161" s="2373" t="s">
        <v>27</v>
      </c>
      <c r="B161" s="2362" t="s">
        <v>2875</v>
      </c>
      <c r="C161" s="2363">
        <v>0.13</v>
      </c>
      <c r="D161" s="2363">
        <v>0.13</v>
      </c>
      <c r="E161" s="2363">
        <v>0.124</v>
      </c>
      <c r="F161" s="2363">
        <v>0.127</v>
      </c>
      <c r="G161" s="2364">
        <v>0.13</v>
      </c>
    </row>
    <row r="162" spans="1:7">
      <c r="A162" s="2373" t="s">
        <v>27</v>
      </c>
      <c r="B162" s="2362" t="s">
        <v>2880</v>
      </c>
      <c r="C162" s="2363">
        <v>0.1</v>
      </c>
      <c r="D162" s="2363">
        <v>0.1</v>
      </c>
      <c r="E162" s="2363">
        <v>0.1</v>
      </c>
      <c r="F162" s="2363">
        <v>0.121</v>
      </c>
      <c r="G162" s="2364">
        <v>0.105</v>
      </c>
    </row>
    <row r="163" spans="1:7">
      <c r="A163" s="2373" t="s">
        <v>27</v>
      </c>
      <c r="B163" s="2362" t="s">
        <v>2885</v>
      </c>
      <c r="C163" s="2363">
        <v>0.1</v>
      </c>
      <c r="D163" s="2363">
        <v>0.1</v>
      </c>
      <c r="E163" s="2363">
        <v>0.1</v>
      </c>
      <c r="F163" s="2363">
        <v>0.1</v>
      </c>
      <c r="G163" s="2364">
        <v>0.1</v>
      </c>
    </row>
    <row r="164" spans="1:7">
      <c r="A164" s="2373" t="s">
        <v>27</v>
      </c>
      <c r="B164" s="2362" t="s">
        <v>2890</v>
      </c>
      <c r="C164" s="2379"/>
      <c r="D164" s="2379"/>
      <c r="E164" s="2379"/>
      <c r="F164" s="2363">
        <v>0.1</v>
      </c>
      <c r="G164" s="2375"/>
    </row>
    <row r="165" spans="1:7">
      <c r="A165" s="2373" t="s">
        <v>27</v>
      </c>
      <c r="B165" s="2362" t="s">
        <v>3061</v>
      </c>
      <c r="C165" s="2363">
        <v>0.126</v>
      </c>
      <c r="D165" s="2363">
        <v>0.126</v>
      </c>
      <c r="E165" s="2363">
        <v>0.11899999999999999</v>
      </c>
      <c r="F165" s="2363">
        <v>0.13</v>
      </c>
      <c r="G165" s="2364">
        <v>0.128</v>
      </c>
    </row>
    <row r="166" spans="1:7">
      <c r="A166" s="2373" t="s">
        <v>27</v>
      </c>
      <c r="B166" s="2362" t="s">
        <v>2900</v>
      </c>
      <c r="C166" s="2363">
        <v>0.129</v>
      </c>
      <c r="D166" s="2363">
        <v>0.129</v>
      </c>
      <c r="E166" s="2363">
        <v>0.123</v>
      </c>
      <c r="F166" s="2363">
        <v>0.128</v>
      </c>
      <c r="G166" s="2364">
        <v>0.13</v>
      </c>
    </row>
    <row r="167" spans="1:7">
      <c r="A167" s="2373" t="s">
        <v>27</v>
      </c>
      <c r="B167" s="2362" t="s">
        <v>2904</v>
      </c>
      <c r="C167" s="2363">
        <v>0.125</v>
      </c>
      <c r="D167" s="2363">
        <v>0.125</v>
      </c>
      <c r="E167" s="2363">
        <v>0.11700000000000001</v>
      </c>
      <c r="F167" s="2363">
        <v>0.13</v>
      </c>
      <c r="G167" s="2364">
        <v>0.126</v>
      </c>
    </row>
    <row r="168" spans="1:7">
      <c r="A168" s="2373" t="s">
        <v>27</v>
      </c>
      <c r="B168" s="2362" t="s">
        <v>2909</v>
      </c>
      <c r="C168" s="2363">
        <v>0.128</v>
      </c>
      <c r="D168" s="2363">
        <v>0.128</v>
      </c>
      <c r="E168" s="2363">
        <v>0.123</v>
      </c>
      <c r="F168" s="2374"/>
      <c r="G168" s="2364">
        <v>0.13</v>
      </c>
    </row>
    <row r="169" spans="1:7">
      <c r="A169" s="2373" t="s">
        <v>27</v>
      </c>
      <c r="B169" s="2362" t="s">
        <v>3062</v>
      </c>
      <c r="C169" s="2379"/>
      <c r="D169" s="2379"/>
      <c r="E169" s="2379"/>
      <c r="F169" s="2363">
        <v>0.05</v>
      </c>
      <c r="G169" s="2375"/>
    </row>
    <row r="170" spans="1:7">
      <c r="A170" s="2373" t="s">
        <v>27</v>
      </c>
      <c r="B170" s="2362" t="s">
        <v>3063</v>
      </c>
      <c r="C170" s="2379"/>
      <c r="D170" s="2379"/>
      <c r="E170" s="2379"/>
      <c r="F170" s="2363">
        <v>0.05</v>
      </c>
      <c r="G170" s="2375"/>
    </row>
    <row r="171" spans="1:7">
      <c r="A171" s="2373" t="s">
        <v>27</v>
      </c>
      <c r="B171" s="2362" t="s">
        <v>3064</v>
      </c>
      <c r="C171" s="2379"/>
      <c r="D171" s="2379"/>
      <c r="E171" s="2379"/>
      <c r="F171" s="2363">
        <v>0.05</v>
      </c>
      <c r="G171" s="2380"/>
    </row>
    <row r="172" spans="1:7">
      <c r="A172" s="2373" t="s">
        <v>27</v>
      </c>
      <c r="B172" s="2362" t="s">
        <v>3065</v>
      </c>
      <c r="C172" s="2379"/>
      <c r="D172" s="2379"/>
      <c r="E172" s="2379"/>
      <c r="F172" s="2363">
        <v>0.05</v>
      </c>
      <c r="G172" s="2380"/>
    </row>
    <row r="173" spans="1:7">
      <c r="A173" s="2373" t="s">
        <v>27</v>
      </c>
      <c r="B173" s="2362" t="s">
        <v>3066</v>
      </c>
      <c r="C173" s="2379"/>
      <c r="D173" s="2379"/>
      <c r="E173" s="2379"/>
      <c r="F173" s="2363">
        <v>0.05</v>
      </c>
      <c r="G173" s="2375"/>
    </row>
    <row r="174" spans="1:7">
      <c r="A174" s="2373" t="s">
        <v>27</v>
      </c>
      <c r="B174" s="2362" t="s">
        <v>3067</v>
      </c>
      <c r="C174" s="2379"/>
      <c r="D174" s="2379"/>
      <c r="E174" s="2379"/>
      <c r="F174" s="2363">
        <v>0.05</v>
      </c>
      <c r="G174" s="2375"/>
    </row>
    <row r="175" spans="1:7">
      <c r="A175" s="2373" t="s">
        <v>27</v>
      </c>
      <c r="B175" s="2362" t="s">
        <v>3068</v>
      </c>
      <c r="C175" s="2379"/>
      <c r="D175" s="2379"/>
      <c r="E175" s="2379"/>
      <c r="F175" s="2363">
        <v>0.05</v>
      </c>
      <c r="G175" s="2375"/>
    </row>
    <row r="176" spans="1:7">
      <c r="A176" s="2373" t="s">
        <v>27</v>
      </c>
      <c r="B176" s="2362" t="s">
        <v>3069</v>
      </c>
      <c r="C176" s="2379"/>
      <c r="D176" s="2379"/>
      <c r="E176" s="2379"/>
      <c r="F176" s="2363">
        <v>0.05</v>
      </c>
      <c r="G176" s="2375"/>
    </row>
    <row r="177" spans="1:7">
      <c r="A177" s="2373" t="s">
        <v>27</v>
      </c>
      <c r="B177" s="2362" t="s">
        <v>3070</v>
      </c>
      <c r="C177" s="2374"/>
      <c r="D177" s="2374"/>
      <c r="E177" s="2374"/>
      <c r="F177" s="2363">
        <v>0.05</v>
      </c>
      <c r="G177" s="2380"/>
    </row>
    <row r="178" spans="1:7">
      <c r="A178" s="2373" t="s">
        <v>27</v>
      </c>
      <c r="B178" s="2362" t="s">
        <v>3071</v>
      </c>
      <c r="C178" s="2374"/>
      <c r="D178" s="2374"/>
      <c r="E178" s="2374"/>
      <c r="F178" s="2363">
        <v>0.05</v>
      </c>
      <c r="G178" s="2380"/>
    </row>
    <row r="179" spans="1:7">
      <c r="A179" s="2373" t="s">
        <v>27</v>
      </c>
      <c r="B179" s="2362" t="s">
        <v>3072</v>
      </c>
      <c r="C179" s="2374"/>
      <c r="D179" s="2374"/>
      <c r="E179" s="2374"/>
      <c r="F179" s="2363">
        <v>0.05</v>
      </c>
      <c r="G179" s="2380"/>
    </row>
    <row r="180" spans="1:7">
      <c r="A180" s="2373" t="s">
        <v>27</v>
      </c>
      <c r="B180" s="2362" t="s">
        <v>3073</v>
      </c>
      <c r="C180" s="2374"/>
      <c r="D180" s="2374"/>
      <c r="E180" s="2374"/>
      <c r="F180" s="2363">
        <v>0.05</v>
      </c>
      <c r="G180" s="2380"/>
    </row>
    <row r="181" spans="1:7">
      <c r="A181" s="2373" t="s">
        <v>27</v>
      </c>
      <c r="B181" s="2362" t="s">
        <v>3074</v>
      </c>
      <c r="C181" s="2374"/>
      <c r="D181" s="2374"/>
      <c r="E181" s="2374"/>
      <c r="F181" s="2363">
        <v>0.05</v>
      </c>
      <c r="G181" s="2380"/>
    </row>
    <row r="182" spans="1:7">
      <c r="A182" s="2373" t="s">
        <v>27</v>
      </c>
      <c r="B182" s="2362" t="s">
        <v>3075</v>
      </c>
      <c r="C182" s="2374"/>
      <c r="D182" s="2374"/>
      <c r="E182" s="2374"/>
      <c r="F182" s="2363">
        <v>0.05</v>
      </c>
      <c r="G182" s="2380"/>
    </row>
    <row r="183" spans="1:7">
      <c r="A183" s="2373" t="s">
        <v>27</v>
      </c>
      <c r="B183" s="2362" t="s">
        <v>3076</v>
      </c>
      <c r="C183" s="2374"/>
      <c r="D183" s="2374"/>
      <c r="E183" s="2374"/>
      <c r="F183" s="2363">
        <v>0.05</v>
      </c>
      <c r="G183" s="2380"/>
    </row>
    <row r="184" spans="1:7">
      <c r="A184" s="2373" t="s">
        <v>27</v>
      </c>
      <c r="B184" s="2362" t="s">
        <v>3077</v>
      </c>
      <c r="C184" s="2374"/>
      <c r="D184" s="2374"/>
      <c r="E184" s="2374"/>
      <c r="F184" s="2363">
        <v>0.05</v>
      </c>
      <c r="G184" s="2380"/>
    </row>
    <row r="185" spans="1:7">
      <c r="A185" s="2373" t="s">
        <v>27</v>
      </c>
      <c r="B185" s="2362" t="s">
        <v>3078</v>
      </c>
      <c r="C185" s="2374"/>
      <c r="D185" s="2374"/>
      <c r="E185" s="2374"/>
      <c r="F185" s="2363">
        <v>0.05</v>
      </c>
      <c r="G185" s="2380"/>
    </row>
    <row r="186" spans="1:7">
      <c r="A186" s="2373" t="s">
        <v>27</v>
      </c>
      <c r="B186" s="2362" t="s">
        <v>3079</v>
      </c>
      <c r="C186" s="2374"/>
      <c r="D186" s="2374"/>
      <c r="E186" s="2374"/>
      <c r="F186" s="2363">
        <v>0.05</v>
      </c>
      <c r="G186" s="2380"/>
    </row>
    <row r="187" spans="1:7">
      <c r="A187" s="2373" t="s">
        <v>27</v>
      </c>
      <c r="B187" s="2362" t="s">
        <v>3080</v>
      </c>
      <c r="C187" s="2374"/>
      <c r="D187" s="2374"/>
      <c r="E187" s="2374"/>
      <c r="F187" s="2363">
        <v>0.05</v>
      </c>
      <c r="G187" s="2380"/>
    </row>
    <row r="188" spans="1:7">
      <c r="A188" s="2373" t="s">
        <v>27</v>
      </c>
      <c r="B188" s="2362" t="s">
        <v>3081</v>
      </c>
      <c r="C188" s="2374"/>
      <c r="D188" s="2374"/>
      <c r="E188" s="2374"/>
      <c r="F188" s="2363">
        <v>0.05</v>
      </c>
      <c r="G188" s="2380"/>
    </row>
    <row r="189" spans="1:7" ht="14.25" thickBot="1">
      <c r="A189" s="2376" t="s">
        <v>27</v>
      </c>
      <c r="B189" s="2366" t="s">
        <v>3082</v>
      </c>
      <c r="C189" s="2368"/>
      <c r="D189" s="2368"/>
      <c r="E189" s="2368"/>
      <c r="F189" s="2367">
        <v>0.05</v>
      </c>
      <c r="G189" s="2381"/>
    </row>
    <row r="190" spans="1:7">
      <c r="A190" s="2372" t="s">
        <v>302</v>
      </c>
      <c r="B190" s="2358" t="s">
        <v>2738</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2774</v>
      </c>
      <c r="C199" s="2363">
        <v>0.13</v>
      </c>
      <c r="D199" s="2363">
        <v>0.13</v>
      </c>
      <c r="E199" s="2363">
        <v>0.13</v>
      </c>
      <c r="F199" s="2363">
        <v>0.13</v>
      </c>
      <c r="G199" s="2364">
        <v>0.13</v>
      </c>
    </row>
    <row r="200" spans="1:7">
      <c r="A200" s="2373" t="s">
        <v>302</v>
      </c>
      <c r="B200" s="2362" t="s">
        <v>2777</v>
      </c>
      <c r="C200" s="2379"/>
      <c r="D200" s="2379"/>
      <c r="E200" s="2379"/>
      <c r="F200" s="2363">
        <v>0.13</v>
      </c>
      <c r="G200" s="2375"/>
    </row>
    <row r="201" spans="1:7">
      <c r="A201" s="2373" t="s">
        <v>302</v>
      </c>
      <c r="B201" s="2362" t="s">
        <v>2782</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2785</v>
      </c>
      <c r="C203" s="2363">
        <v>0.129</v>
      </c>
      <c r="D203" s="2363">
        <v>0.129</v>
      </c>
      <c r="E203" s="2363">
        <v>0.13</v>
      </c>
      <c r="F203" s="2363">
        <v>0.13</v>
      </c>
      <c r="G203" s="2364">
        <v>0.13</v>
      </c>
    </row>
    <row r="204" spans="1:7">
      <c r="A204" s="2373" t="s">
        <v>302</v>
      </c>
      <c r="B204" s="2362" t="s">
        <v>2788</v>
      </c>
      <c r="C204" s="2363">
        <v>0.129</v>
      </c>
      <c r="D204" s="2363">
        <v>0.129</v>
      </c>
      <c r="E204" s="2363">
        <v>0.123</v>
      </c>
      <c r="F204" s="2363">
        <v>0.13</v>
      </c>
      <c r="G204" s="2364">
        <v>0.13</v>
      </c>
    </row>
    <row r="205" spans="1:7">
      <c r="A205" s="2373" t="s">
        <v>302</v>
      </c>
      <c r="B205" s="2362" t="s">
        <v>2790</v>
      </c>
      <c r="C205" s="2363">
        <v>0.13</v>
      </c>
      <c r="D205" s="2363">
        <v>0.13</v>
      </c>
      <c r="E205" s="2363">
        <v>0.13</v>
      </c>
      <c r="F205" s="2363">
        <v>0.13</v>
      </c>
      <c r="G205" s="2364">
        <v>0.13</v>
      </c>
    </row>
    <row r="206" spans="1:7">
      <c r="A206" s="2373" t="s">
        <v>302</v>
      </c>
      <c r="B206" s="2362" t="s">
        <v>2793</v>
      </c>
      <c r="C206" s="2363">
        <v>0.13</v>
      </c>
      <c r="D206" s="2363">
        <v>0.13</v>
      </c>
      <c r="E206" s="2363">
        <v>0.13</v>
      </c>
      <c r="F206" s="2363">
        <v>0.128</v>
      </c>
      <c r="G206" s="2364">
        <v>0.13</v>
      </c>
    </row>
    <row r="207" spans="1:7">
      <c r="A207" s="2373" t="s">
        <v>302</v>
      </c>
      <c r="B207" s="2362" t="s">
        <v>2795</v>
      </c>
      <c r="C207" s="2363">
        <v>0.13</v>
      </c>
      <c r="D207" s="2363">
        <v>0.13</v>
      </c>
      <c r="E207" s="2363">
        <v>0.13</v>
      </c>
      <c r="F207" s="2363">
        <v>0.13</v>
      </c>
      <c r="G207" s="2364">
        <v>0.13</v>
      </c>
    </row>
    <row r="208" spans="1:7">
      <c r="A208" s="2373" t="s">
        <v>302</v>
      </c>
      <c r="B208" s="2362" t="s">
        <v>2798</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2805</v>
      </c>
      <c r="C210" s="2363">
        <v>0.121</v>
      </c>
      <c r="D210" s="2363">
        <v>0.121</v>
      </c>
      <c r="E210" s="2363">
        <v>0.125</v>
      </c>
      <c r="F210" s="2363">
        <v>0.13</v>
      </c>
      <c r="G210" s="2364">
        <v>0.123</v>
      </c>
    </row>
    <row r="211" spans="1:7">
      <c r="A211" s="2373" t="s">
        <v>302</v>
      </c>
      <c r="B211" s="2362" t="s">
        <v>2808</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2820</v>
      </c>
      <c r="C214" s="2363">
        <v>0.128</v>
      </c>
      <c r="D214" s="2363">
        <v>0.128</v>
      </c>
      <c r="E214" s="2363">
        <v>0.13</v>
      </c>
      <c r="F214" s="2363">
        <v>0.13</v>
      </c>
      <c r="G214" s="2364">
        <v>0.13</v>
      </c>
    </row>
    <row r="215" spans="1:7">
      <c r="A215" s="2373" t="s">
        <v>302</v>
      </c>
      <c r="B215" s="2362" t="s">
        <v>2824</v>
      </c>
      <c r="C215" s="2363">
        <v>0.13</v>
      </c>
      <c r="D215" s="2363">
        <v>0.13</v>
      </c>
      <c r="E215" s="2363">
        <v>0.13</v>
      </c>
      <c r="F215" s="2363">
        <v>0.129</v>
      </c>
      <c r="G215" s="2364">
        <v>0.13</v>
      </c>
    </row>
    <row r="216" spans="1:7">
      <c r="A216" s="2373" t="s">
        <v>302</v>
      </c>
      <c r="B216" s="2362" t="s">
        <v>2831</v>
      </c>
      <c r="C216" s="2363">
        <v>0.13</v>
      </c>
      <c r="D216" s="2363">
        <v>0.13</v>
      </c>
      <c r="E216" s="2363">
        <v>0.13</v>
      </c>
      <c r="F216" s="2363">
        <v>0.13</v>
      </c>
      <c r="G216" s="2364">
        <v>0.13</v>
      </c>
    </row>
    <row r="217" spans="1:7">
      <c r="A217" s="2373" t="s">
        <v>302</v>
      </c>
      <c r="B217" s="2362" t="s">
        <v>2838</v>
      </c>
      <c r="C217" s="2363">
        <v>0.129</v>
      </c>
      <c r="D217" s="2363">
        <v>0.129</v>
      </c>
      <c r="E217" s="2363">
        <v>0.13</v>
      </c>
      <c r="F217" s="2363">
        <v>0.13</v>
      </c>
      <c r="G217" s="2364">
        <v>0.13</v>
      </c>
    </row>
    <row r="218" spans="1:7">
      <c r="A218" s="2373" t="s">
        <v>302</v>
      </c>
      <c r="B218" s="2362" t="s">
        <v>2844</v>
      </c>
      <c r="C218" s="2374"/>
      <c r="D218" s="2374"/>
      <c r="E218" s="2374"/>
      <c r="F218" s="2363">
        <v>0.05</v>
      </c>
      <c r="G218" s="2380"/>
    </row>
    <row r="219" spans="1:7">
      <c r="A219" s="2373" t="s">
        <v>302</v>
      </c>
      <c r="B219" s="2362" t="s">
        <v>2851</v>
      </c>
      <c r="C219" s="2374"/>
      <c r="D219" s="2374"/>
      <c r="E219" s="2374"/>
      <c r="F219" s="2363">
        <v>0.05</v>
      </c>
      <c r="G219" s="2380"/>
    </row>
    <row r="220" spans="1:7">
      <c r="A220" s="2373" t="s">
        <v>302</v>
      </c>
      <c r="B220" s="2362" t="s">
        <v>2857</v>
      </c>
      <c r="C220" s="2374"/>
      <c r="D220" s="2374"/>
      <c r="E220" s="2374"/>
      <c r="F220" s="2363">
        <v>0.05</v>
      </c>
      <c r="G220" s="2380"/>
    </row>
    <row r="221" spans="1:7">
      <c r="A221" s="2373" t="s">
        <v>302</v>
      </c>
      <c r="B221" s="2362" t="s">
        <v>2862</v>
      </c>
      <c r="C221" s="2374"/>
      <c r="D221" s="2374"/>
      <c r="E221" s="2374"/>
      <c r="F221" s="2363">
        <v>0.05</v>
      </c>
      <c r="G221" s="2380"/>
    </row>
    <row r="222" spans="1:7">
      <c r="A222" s="2373" t="s">
        <v>302</v>
      </c>
      <c r="B222" s="2362" t="s">
        <v>2866</v>
      </c>
      <c r="C222" s="2374"/>
      <c r="D222" s="2374"/>
      <c r="E222" s="2374"/>
      <c r="F222" s="2363">
        <v>0.05</v>
      </c>
      <c r="G222" s="2380"/>
    </row>
    <row r="223" spans="1:7">
      <c r="A223" s="2373" t="s">
        <v>302</v>
      </c>
      <c r="B223" s="2362" t="s">
        <v>2871</v>
      </c>
      <c r="C223" s="2374"/>
      <c r="D223" s="2374"/>
      <c r="E223" s="2374"/>
      <c r="F223" s="2363">
        <v>0.05</v>
      </c>
      <c r="G223" s="2380"/>
    </row>
    <row r="224" spans="1:7">
      <c r="A224" s="2373" t="s">
        <v>302</v>
      </c>
      <c r="B224" s="2362" t="s">
        <v>2876</v>
      </c>
      <c r="C224" s="2374"/>
      <c r="D224" s="2374"/>
      <c r="E224" s="2374"/>
      <c r="F224" s="2363">
        <v>0.05</v>
      </c>
      <c r="G224" s="2380"/>
    </row>
    <row r="225" spans="1:7">
      <c r="A225" s="2373" t="s">
        <v>302</v>
      </c>
      <c r="B225" s="2362" t="s">
        <v>2881</v>
      </c>
      <c r="C225" s="2374"/>
      <c r="D225" s="2374"/>
      <c r="E225" s="2374"/>
      <c r="F225" s="2363">
        <v>0.05</v>
      </c>
      <c r="G225" s="2380"/>
    </row>
    <row r="226" spans="1:7">
      <c r="A226" s="2373" t="s">
        <v>302</v>
      </c>
      <c r="B226" s="2362" t="s">
        <v>3083</v>
      </c>
      <c r="C226" s="2374"/>
      <c r="D226" s="2374"/>
      <c r="E226" s="2374"/>
      <c r="F226" s="2363">
        <v>0.05</v>
      </c>
      <c r="G226" s="2380"/>
    </row>
    <row r="227" spans="1:7">
      <c r="A227" s="2373" t="s">
        <v>302</v>
      </c>
      <c r="B227" s="2362" t="s">
        <v>3084</v>
      </c>
      <c r="C227" s="2374"/>
      <c r="D227" s="2374"/>
      <c r="E227" s="2374"/>
      <c r="F227" s="2363">
        <v>0.05</v>
      </c>
      <c r="G227" s="2380"/>
    </row>
    <row r="228" spans="1:7">
      <c r="A228" s="2373" t="s">
        <v>302</v>
      </c>
      <c r="B228" s="2362" t="s">
        <v>3085</v>
      </c>
      <c r="C228" s="2374"/>
      <c r="D228" s="2374"/>
      <c r="E228" s="2374"/>
      <c r="F228" s="2363">
        <v>0.05</v>
      </c>
      <c r="G228" s="2380"/>
    </row>
    <row r="229" spans="1:7">
      <c r="A229" s="2373" t="s">
        <v>302</v>
      </c>
      <c r="B229" s="2362" t="s">
        <v>3086</v>
      </c>
      <c r="C229" s="2374"/>
      <c r="D229" s="2374"/>
      <c r="E229" s="2374"/>
      <c r="F229" s="2363">
        <v>0.05</v>
      </c>
      <c r="G229" s="2380"/>
    </row>
    <row r="230" spans="1:7">
      <c r="A230" s="2373" t="s">
        <v>302</v>
      </c>
      <c r="B230" s="2362" t="s">
        <v>3087</v>
      </c>
      <c r="C230" s="2374"/>
      <c r="D230" s="2374"/>
      <c r="E230" s="2374"/>
      <c r="F230" s="2363">
        <v>0.05</v>
      </c>
      <c r="G230" s="2380"/>
    </row>
    <row r="231" spans="1:7">
      <c r="A231" s="2373" t="s">
        <v>302</v>
      </c>
      <c r="B231" s="2362" t="s">
        <v>3088</v>
      </c>
      <c r="C231" s="2374"/>
      <c r="D231" s="2374"/>
      <c r="E231" s="2374"/>
      <c r="F231" s="2363">
        <v>0.05</v>
      </c>
      <c r="G231" s="2380"/>
    </row>
    <row r="232" spans="1:7">
      <c r="A232" s="2373" t="s">
        <v>302</v>
      </c>
      <c r="B232" s="2362" t="s">
        <v>3089</v>
      </c>
      <c r="C232" s="2374"/>
      <c r="D232" s="2374"/>
      <c r="E232" s="2374"/>
      <c r="F232" s="2363">
        <v>0.05</v>
      </c>
      <c r="G232" s="2380"/>
    </row>
    <row r="233" spans="1:7" ht="14.25" thickBot="1">
      <c r="A233" s="2376" t="s">
        <v>302</v>
      </c>
      <c r="B233" s="2366" t="s">
        <v>3090</v>
      </c>
      <c r="C233" s="2368"/>
      <c r="D233" s="2368"/>
      <c r="E233" s="2368"/>
      <c r="F233" s="2367">
        <v>0.05</v>
      </c>
      <c r="G233" s="2381"/>
    </row>
    <row r="234" spans="1:7">
      <c r="A234" s="2372" t="s">
        <v>303</v>
      </c>
      <c r="B234" s="2358" t="s">
        <v>2739</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2759</v>
      </c>
      <c r="C238" s="2363">
        <v>0.14899999999999999</v>
      </c>
      <c r="D238" s="2363">
        <v>0.14899999999999999</v>
      </c>
      <c r="E238" s="2363">
        <v>0.15</v>
      </c>
      <c r="F238" s="2363">
        <v>0.15</v>
      </c>
      <c r="G238" s="2364">
        <v>0.15</v>
      </c>
    </row>
    <row r="239" spans="1:7">
      <c r="A239" s="2373" t="s">
        <v>303</v>
      </c>
      <c r="B239" s="2362" t="s">
        <v>2763</v>
      </c>
      <c r="C239" s="2363">
        <v>0.15</v>
      </c>
      <c r="D239" s="2363">
        <v>0.15</v>
      </c>
      <c r="E239" s="2363">
        <v>0.15</v>
      </c>
      <c r="F239" s="2363">
        <v>0.15</v>
      </c>
      <c r="G239" s="2364">
        <v>0.15</v>
      </c>
    </row>
    <row r="240" spans="1:7">
      <c r="A240" s="2373" t="s">
        <v>303</v>
      </c>
      <c r="B240" s="2362" t="s">
        <v>2768</v>
      </c>
      <c r="C240" s="2363">
        <v>0.15</v>
      </c>
      <c r="D240" s="2363">
        <v>0.15</v>
      </c>
      <c r="E240" s="2363">
        <v>0.15</v>
      </c>
      <c r="F240" s="2363">
        <v>0.15</v>
      </c>
      <c r="G240" s="2364">
        <v>0.15</v>
      </c>
    </row>
    <row r="241" spans="1:7">
      <c r="A241" s="2373" t="s">
        <v>303</v>
      </c>
      <c r="B241" s="2362" t="s">
        <v>2772</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2778</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2786</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2791</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2799</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2812</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2821</v>
      </c>
      <c r="C258" s="2363">
        <v>0.14299999999999999</v>
      </c>
      <c r="D258" s="2363">
        <v>0.14299999999999999</v>
      </c>
      <c r="E258" s="2363">
        <v>0.15</v>
      </c>
      <c r="F258" s="2363">
        <v>0.14799999999999999</v>
      </c>
      <c r="G258" s="2364">
        <v>0.14599999999999999</v>
      </c>
    </row>
    <row r="259" spans="1:7">
      <c r="A259" s="2373" t="s">
        <v>303</v>
      </c>
      <c r="B259" s="2362" t="s">
        <v>2825</v>
      </c>
      <c r="C259" s="2363">
        <v>0.14399999999999999</v>
      </c>
      <c r="D259" s="2363">
        <v>0.14399999999999999</v>
      </c>
      <c r="E259" s="2363">
        <v>0.14899999999999999</v>
      </c>
      <c r="F259" s="2363">
        <v>0.14699999999999999</v>
      </c>
      <c r="G259" s="2364">
        <v>0.14599999999999999</v>
      </c>
    </row>
    <row r="260" spans="1:7">
      <c r="A260" s="2373" t="s">
        <v>303</v>
      </c>
      <c r="B260" s="2362" t="s">
        <v>2832</v>
      </c>
      <c r="C260" s="2363">
        <v>0.109</v>
      </c>
      <c r="D260" s="2363">
        <v>0.111</v>
      </c>
      <c r="E260" s="2363">
        <v>0.13100000000000001</v>
      </c>
      <c r="F260" s="2363">
        <v>0.126</v>
      </c>
      <c r="G260" s="2364">
        <v>0.11899999999999999</v>
      </c>
    </row>
    <row r="261" spans="1:7">
      <c r="A261" s="2373" t="s">
        <v>303</v>
      </c>
      <c r="B261" s="2362" t="s">
        <v>2839</v>
      </c>
      <c r="C261" s="2363">
        <v>0.1</v>
      </c>
      <c r="D261" s="2363">
        <v>0.1</v>
      </c>
      <c r="E261" s="2363">
        <v>0.11799999999999999</v>
      </c>
      <c r="F261" s="2363">
        <v>0.108</v>
      </c>
      <c r="G261" s="2364">
        <v>0.107</v>
      </c>
    </row>
    <row r="262" spans="1:7">
      <c r="A262" s="2373" t="s">
        <v>303</v>
      </c>
      <c r="B262" s="2362" t="s">
        <v>2845</v>
      </c>
      <c r="C262" s="2363">
        <v>0.1</v>
      </c>
      <c r="D262" s="2363">
        <v>0.1</v>
      </c>
      <c r="E262" s="2363">
        <v>0.1</v>
      </c>
      <c r="F262" s="2363">
        <v>0.14099999999999999</v>
      </c>
      <c r="G262" s="2364">
        <v>0.1</v>
      </c>
    </row>
    <row r="263" spans="1:7">
      <c r="A263" s="2373" t="s">
        <v>303</v>
      </c>
      <c r="B263" s="2362" t="s">
        <v>2852</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2863</v>
      </c>
      <c r="C265" s="2374"/>
      <c r="D265" s="2374"/>
      <c r="E265" s="2374"/>
      <c r="F265" s="2363">
        <v>0.05</v>
      </c>
      <c r="G265" s="2380"/>
    </row>
    <row r="266" spans="1:7">
      <c r="A266" s="2373" t="s">
        <v>303</v>
      </c>
      <c r="B266" s="2362" t="s">
        <v>2867</v>
      </c>
      <c r="C266" s="2374"/>
      <c r="D266" s="2374"/>
      <c r="E266" s="2374"/>
      <c r="F266" s="2363">
        <v>0.05</v>
      </c>
      <c r="G266" s="2380"/>
    </row>
    <row r="267" spans="1:7">
      <c r="A267" s="2373" t="s">
        <v>303</v>
      </c>
      <c r="B267" s="2362" t="s">
        <v>2872</v>
      </c>
      <c r="C267" s="2374"/>
      <c r="D267" s="2374"/>
      <c r="E267" s="2374"/>
      <c r="F267" s="2363">
        <v>0.05</v>
      </c>
      <c r="G267" s="2380"/>
    </row>
    <row r="268" spans="1:7">
      <c r="A268" s="2373" t="s">
        <v>303</v>
      </c>
      <c r="B268" s="2362" t="s">
        <v>2877</v>
      </c>
      <c r="C268" s="2374"/>
      <c r="D268" s="2374"/>
      <c r="E268" s="2374"/>
      <c r="F268" s="2363">
        <v>0.05</v>
      </c>
      <c r="G268" s="2380"/>
    </row>
    <row r="269" spans="1:7">
      <c r="A269" s="2373" t="s">
        <v>303</v>
      </c>
      <c r="B269" s="2362" t="s">
        <v>2882</v>
      </c>
      <c r="C269" s="2374"/>
      <c r="D269" s="2374"/>
      <c r="E269" s="2374"/>
      <c r="F269" s="2363">
        <v>0.05</v>
      </c>
      <c r="G269" s="2380"/>
    </row>
    <row r="270" spans="1:7">
      <c r="A270" s="2373" t="s">
        <v>303</v>
      </c>
      <c r="B270" s="2362" t="s">
        <v>2887</v>
      </c>
      <c r="C270" s="2374"/>
      <c r="D270" s="2374"/>
      <c r="E270" s="2374"/>
      <c r="F270" s="2363">
        <v>0.05</v>
      </c>
      <c r="G270" s="2380"/>
    </row>
    <row r="271" spans="1:7">
      <c r="A271" s="2373" t="s">
        <v>303</v>
      </c>
      <c r="B271" s="2362" t="s">
        <v>3091</v>
      </c>
      <c r="C271" s="2374"/>
      <c r="D271" s="2374"/>
      <c r="E271" s="2374"/>
      <c r="F271" s="2363">
        <v>0.05</v>
      </c>
      <c r="G271" s="2380"/>
    </row>
    <row r="272" spans="1:7">
      <c r="A272" s="2373" t="s">
        <v>303</v>
      </c>
      <c r="B272" s="2362" t="s">
        <v>3092</v>
      </c>
      <c r="C272" s="2374"/>
      <c r="D272" s="2374"/>
      <c r="E272" s="2374"/>
      <c r="F272" s="2363">
        <v>0.05</v>
      </c>
      <c r="G272" s="2380"/>
    </row>
    <row r="273" spans="1:7">
      <c r="A273" s="2373" t="s">
        <v>303</v>
      </c>
      <c r="B273" s="2362" t="s">
        <v>3093</v>
      </c>
      <c r="C273" s="2374"/>
      <c r="D273" s="2374"/>
      <c r="E273" s="2374"/>
      <c r="F273" s="2363">
        <v>0.05</v>
      </c>
      <c r="G273" s="2380"/>
    </row>
    <row r="274" spans="1:7">
      <c r="A274" s="2373" t="s">
        <v>303</v>
      </c>
      <c r="B274" s="2362" t="s">
        <v>3094</v>
      </c>
      <c r="C274" s="2374"/>
      <c r="D274" s="2374"/>
      <c r="E274" s="2374"/>
      <c r="F274" s="2363">
        <v>0.05</v>
      </c>
      <c r="G274" s="2380"/>
    </row>
    <row r="275" spans="1:7">
      <c r="A275" s="2373" t="s">
        <v>303</v>
      </c>
      <c r="B275" s="2362" t="s">
        <v>3095</v>
      </c>
      <c r="C275" s="2374"/>
      <c r="D275" s="2374"/>
      <c r="E275" s="2374"/>
      <c r="F275" s="2363">
        <v>0.05</v>
      </c>
      <c r="G275" s="2380"/>
    </row>
    <row r="276" spans="1:7" ht="14.25" thickBot="1">
      <c r="A276" s="2376" t="s">
        <v>303</v>
      </c>
      <c r="B276" s="2366" t="s">
        <v>3096</v>
      </c>
      <c r="C276" s="2368"/>
      <c r="D276" s="2368"/>
      <c r="E276" s="2368"/>
      <c r="F276" s="2367">
        <v>0.05</v>
      </c>
      <c r="G276" s="2381"/>
    </row>
    <row r="277" spans="1:7">
      <c r="A277" s="2372" t="s">
        <v>304</v>
      </c>
      <c r="B277" s="2358" t="s">
        <v>2740</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2752</v>
      </c>
      <c r="C279" s="2363">
        <v>0.15</v>
      </c>
      <c r="D279" s="2363">
        <v>0.15</v>
      </c>
      <c r="E279" s="2363">
        <v>0.15</v>
      </c>
      <c r="F279" s="2363">
        <v>0.15</v>
      </c>
      <c r="G279" s="2364">
        <v>0.15</v>
      </c>
    </row>
    <row r="280" spans="1:7">
      <c r="A280" s="2373" t="s">
        <v>304</v>
      </c>
      <c r="B280" s="2362" t="s">
        <v>2756</v>
      </c>
      <c r="C280" s="2363">
        <v>0.15</v>
      </c>
      <c r="D280" s="2363">
        <v>0.15</v>
      </c>
      <c r="E280" s="2363">
        <v>0.15</v>
      </c>
      <c r="F280" s="2363">
        <v>0.15</v>
      </c>
      <c r="G280" s="2364">
        <v>0.15</v>
      </c>
    </row>
    <row r="281" spans="1:7">
      <c r="A281" s="2373" t="s">
        <v>304</v>
      </c>
      <c r="B281" s="2362" t="s">
        <v>2760</v>
      </c>
      <c r="C281" s="2363">
        <v>0.15</v>
      </c>
      <c r="D281" s="2363">
        <v>0.15</v>
      </c>
      <c r="E281" s="2363">
        <v>0.15</v>
      </c>
      <c r="F281" s="2363">
        <v>0.15</v>
      </c>
      <c r="G281" s="2364">
        <v>0.15</v>
      </c>
    </row>
    <row r="282" spans="1:7">
      <c r="A282" s="2373" t="s">
        <v>304</v>
      </c>
      <c r="B282" s="2362" t="s">
        <v>2764</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2779</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2784</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2794</v>
      </c>
      <c r="C293" s="2363">
        <v>0.15</v>
      </c>
      <c r="D293" s="2363">
        <v>0.15</v>
      </c>
      <c r="E293" s="2363">
        <v>0.15</v>
      </c>
      <c r="F293" s="2363">
        <v>0.14499999999999999</v>
      </c>
      <c r="G293" s="2364">
        <v>0.15</v>
      </c>
    </row>
    <row r="294" spans="1:7">
      <c r="A294" s="2373" t="s">
        <v>304</v>
      </c>
      <c r="B294" s="2362" t="s">
        <v>2796</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2813</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2826</v>
      </c>
      <c r="C302" s="2363">
        <v>0.15</v>
      </c>
      <c r="D302" s="2363">
        <v>0.15</v>
      </c>
      <c r="E302" s="2363">
        <v>0.15</v>
      </c>
      <c r="F302" s="2363">
        <v>0.14699999999999999</v>
      </c>
      <c r="G302" s="2364">
        <v>0.15</v>
      </c>
    </row>
    <row r="303" spans="1:7">
      <c r="A303" s="2373" t="s">
        <v>304</v>
      </c>
      <c r="B303" s="2362" t="s">
        <v>2833</v>
      </c>
      <c r="C303" s="2363">
        <v>0.15</v>
      </c>
      <c r="D303" s="2363">
        <v>0.15</v>
      </c>
      <c r="E303" s="2363">
        <v>0.15</v>
      </c>
      <c r="F303" s="2363">
        <v>0.14199999999999999</v>
      </c>
      <c r="G303" s="2364">
        <v>0.15</v>
      </c>
    </row>
    <row r="304" spans="1:7">
      <c r="A304" s="2373" t="s">
        <v>304</v>
      </c>
      <c r="B304" s="2362" t="s">
        <v>2840</v>
      </c>
      <c r="C304" s="2363">
        <v>0.15</v>
      </c>
      <c r="D304" s="2363">
        <v>0.15</v>
      </c>
      <c r="E304" s="2363">
        <v>0.15</v>
      </c>
      <c r="F304" s="2363">
        <v>0.14499999999999999</v>
      </c>
      <c r="G304" s="2364">
        <v>0.15</v>
      </c>
    </row>
    <row r="305" spans="1:7">
      <c r="A305" s="2373" t="s">
        <v>304</v>
      </c>
      <c r="B305" s="2362" t="s">
        <v>2846</v>
      </c>
      <c r="C305" s="2363">
        <v>0.15</v>
      </c>
      <c r="D305" s="2363">
        <v>0.15</v>
      </c>
      <c r="E305" s="2363">
        <v>0.15</v>
      </c>
      <c r="F305" s="2363">
        <v>0.111</v>
      </c>
      <c r="G305" s="2364">
        <v>0.15</v>
      </c>
    </row>
    <row r="306" spans="1:7">
      <c r="A306" s="2373" t="s">
        <v>304</v>
      </c>
      <c r="B306" s="2362" t="s">
        <v>2853</v>
      </c>
      <c r="C306" s="2363">
        <v>0.15</v>
      </c>
      <c r="D306" s="2363">
        <v>0.15</v>
      </c>
      <c r="E306" s="2363">
        <v>0.15</v>
      </c>
      <c r="F306" s="2363">
        <v>0.126</v>
      </c>
      <c r="G306" s="2364">
        <v>0.15</v>
      </c>
    </row>
    <row r="307" spans="1:7">
      <c r="A307" s="2373" t="s">
        <v>304</v>
      </c>
      <c r="B307" s="2362" t="s">
        <v>2858</v>
      </c>
      <c r="C307" s="2363">
        <v>0.15</v>
      </c>
      <c r="D307" s="2363">
        <v>0.15</v>
      </c>
      <c r="E307" s="2363">
        <v>0.15</v>
      </c>
      <c r="F307" s="2363">
        <v>0.12</v>
      </c>
      <c r="G307" s="2364">
        <v>0.15</v>
      </c>
    </row>
    <row r="308" spans="1:7">
      <c r="A308" s="2373" t="s">
        <v>304</v>
      </c>
      <c r="B308" s="2362" t="s">
        <v>2864</v>
      </c>
      <c r="C308" s="2363">
        <v>0.15</v>
      </c>
      <c r="D308" s="2363">
        <v>0.15</v>
      </c>
      <c r="E308" s="2363">
        <v>0.15</v>
      </c>
      <c r="F308" s="2363">
        <v>0.13</v>
      </c>
      <c r="G308" s="2364">
        <v>0.15</v>
      </c>
    </row>
    <row r="309" spans="1:7">
      <c r="A309" s="2373" t="s">
        <v>304</v>
      </c>
      <c r="B309" s="2362" t="s">
        <v>2868</v>
      </c>
      <c r="C309" s="2363">
        <v>0.15</v>
      </c>
      <c r="D309" s="2363">
        <v>0.15</v>
      </c>
      <c r="E309" s="2363">
        <v>0.15</v>
      </c>
      <c r="F309" s="2363">
        <v>0.14099999999999999</v>
      </c>
      <c r="G309" s="2364">
        <v>0.15</v>
      </c>
    </row>
    <row r="310" spans="1:7">
      <c r="A310" s="2373" t="s">
        <v>304</v>
      </c>
      <c r="B310" s="2362" t="s">
        <v>2873</v>
      </c>
      <c r="C310" s="2363">
        <v>0.15</v>
      </c>
      <c r="D310" s="2363">
        <v>0.15</v>
      </c>
      <c r="E310" s="2363">
        <v>0.15</v>
      </c>
      <c r="F310" s="2363">
        <v>0.15</v>
      </c>
      <c r="G310" s="2364">
        <v>0.15</v>
      </c>
    </row>
    <row r="311" spans="1:7">
      <c r="A311" s="2373" t="s">
        <v>304</v>
      </c>
      <c r="B311" s="2362" t="s">
        <v>2878</v>
      </c>
      <c r="C311" s="2363">
        <v>0.13200000000000001</v>
      </c>
      <c r="D311" s="2363">
        <v>0.13300000000000001</v>
      </c>
      <c r="E311" s="2363">
        <v>0.14499999999999999</v>
      </c>
      <c r="F311" s="2363">
        <v>0.14199999999999999</v>
      </c>
      <c r="G311" s="2364">
        <v>0.14000000000000001</v>
      </c>
    </row>
    <row r="312" spans="1:7">
      <c r="A312" s="2373" t="s">
        <v>304</v>
      </c>
      <c r="B312" s="2362" t="s">
        <v>2883</v>
      </c>
      <c r="C312" s="2363">
        <v>0.13800000000000001</v>
      </c>
      <c r="D312" s="2363">
        <v>0.14000000000000001</v>
      </c>
      <c r="E312" s="2363">
        <v>0.14599999999999999</v>
      </c>
      <c r="F312" s="2363">
        <v>0.14899999999999999</v>
      </c>
      <c r="G312" s="2364">
        <v>0.14199999999999999</v>
      </c>
    </row>
    <row r="313" spans="1:7">
      <c r="A313" s="2373" t="s">
        <v>304</v>
      </c>
      <c r="B313" s="2362" t="s">
        <v>2888</v>
      </c>
      <c r="C313" s="2363">
        <v>0.125</v>
      </c>
      <c r="D313" s="2363">
        <v>0.127</v>
      </c>
      <c r="E313" s="2363">
        <v>0.14399999999999999</v>
      </c>
      <c r="F313" s="2363">
        <v>0.115</v>
      </c>
      <c r="G313" s="2364">
        <v>0.13600000000000001</v>
      </c>
    </row>
    <row r="314" spans="1:7">
      <c r="A314" s="2373" t="s">
        <v>304</v>
      </c>
      <c r="B314" s="2362" t="s">
        <v>3097</v>
      </c>
      <c r="C314" s="2379"/>
      <c r="D314" s="2379"/>
      <c r="E314" s="2379"/>
      <c r="F314" s="2363">
        <v>0.05</v>
      </c>
      <c r="G314" s="2380"/>
    </row>
    <row r="315" spans="1:7">
      <c r="A315" s="2373" t="s">
        <v>304</v>
      </c>
      <c r="B315" s="2362" t="s">
        <v>3098</v>
      </c>
      <c r="C315" s="2379"/>
      <c r="D315" s="2379"/>
      <c r="E315" s="2379"/>
      <c r="F315" s="2363">
        <v>0.05</v>
      </c>
      <c r="G315" s="2380"/>
    </row>
    <row r="316" spans="1:7">
      <c r="A316" s="2373" t="s">
        <v>304</v>
      </c>
      <c r="B316" s="2362" t="s">
        <v>3099</v>
      </c>
      <c r="C316" s="2374"/>
      <c r="D316" s="2374"/>
      <c r="E316" s="2374"/>
      <c r="F316" s="2363">
        <v>0.05</v>
      </c>
      <c r="G316" s="2380"/>
    </row>
    <row r="317" spans="1:7">
      <c r="A317" s="2373" t="s">
        <v>304</v>
      </c>
      <c r="B317" s="2362" t="s">
        <v>3100</v>
      </c>
      <c r="C317" s="2374"/>
      <c r="D317" s="2374"/>
      <c r="E317" s="2374"/>
      <c r="F317" s="2363">
        <v>0.05</v>
      </c>
      <c r="G317" s="2380"/>
    </row>
    <row r="318" spans="1:7">
      <c r="A318" s="2373" t="s">
        <v>304</v>
      </c>
      <c r="B318" s="2362" t="s">
        <v>3101</v>
      </c>
      <c r="C318" s="2374"/>
      <c r="D318" s="2374"/>
      <c r="E318" s="2374"/>
      <c r="F318" s="2363">
        <v>0.05</v>
      </c>
      <c r="G318" s="2380"/>
    </row>
    <row r="319" spans="1:7">
      <c r="A319" s="2373" t="s">
        <v>304</v>
      </c>
      <c r="B319" s="2362" t="s">
        <v>3102</v>
      </c>
      <c r="C319" s="2374"/>
      <c r="D319" s="2374"/>
      <c r="E319" s="2374"/>
      <c r="F319" s="2363">
        <v>0.05</v>
      </c>
      <c r="G319" s="2380"/>
    </row>
    <row r="320" spans="1:7">
      <c r="A320" s="2373" t="s">
        <v>304</v>
      </c>
      <c r="B320" s="2362" t="s">
        <v>3103</v>
      </c>
      <c r="C320" s="2374"/>
      <c r="D320" s="2374"/>
      <c r="E320" s="2374"/>
      <c r="F320" s="2363">
        <v>0.05</v>
      </c>
      <c r="G320" s="2380"/>
    </row>
    <row r="321" spans="1:7">
      <c r="A321" s="2373" t="s">
        <v>304</v>
      </c>
      <c r="B321" s="2362" t="s">
        <v>3104</v>
      </c>
      <c r="C321" s="2374"/>
      <c r="D321" s="2374"/>
      <c r="E321" s="2374"/>
      <c r="F321" s="2363">
        <v>0.05</v>
      </c>
      <c r="G321" s="2380"/>
    </row>
    <row r="322" spans="1:7">
      <c r="A322" s="2373" t="s">
        <v>304</v>
      </c>
      <c r="B322" s="2362" t="s">
        <v>3105</v>
      </c>
      <c r="C322" s="2374"/>
      <c r="D322" s="2374"/>
      <c r="E322" s="2374"/>
      <c r="F322" s="2363">
        <v>0.05</v>
      </c>
      <c r="G322" s="2380"/>
    </row>
    <row r="323" spans="1:7">
      <c r="A323" s="2373" t="s">
        <v>304</v>
      </c>
      <c r="B323" s="2362" t="s">
        <v>3106</v>
      </c>
      <c r="C323" s="2374"/>
      <c r="D323" s="2374"/>
      <c r="E323" s="2374"/>
      <c r="F323" s="2363">
        <v>0.05</v>
      </c>
      <c r="G323" s="2380"/>
    </row>
    <row r="324" spans="1:7">
      <c r="A324" s="2373" t="s">
        <v>304</v>
      </c>
      <c r="B324" s="2362" t="s">
        <v>3107</v>
      </c>
      <c r="C324" s="2374"/>
      <c r="D324" s="2374"/>
      <c r="E324" s="2374"/>
      <c r="F324" s="2363">
        <v>0.05</v>
      </c>
      <c r="G324" s="2380"/>
    </row>
    <row r="325" spans="1:7">
      <c r="A325" s="2373" t="s">
        <v>304</v>
      </c>
      <c r="B325" s="2362" t="s">
        <v>3108</v>
      </c>
      <c r="C325" s="2374"/>
      <c r="D325" s="2374"/>
      <c r="E325" s="2374"/>
      <c r="F325" s="2363">
        <v>0.05</v>
      </c>
      <c r="G325" s="2380"/>
    </row>
    <row r="326" spans="1:7" ht="14.25" thickBot="1">
      <c r="A326" s="2376" t="s">
        <v>304</v>
      </c>
      <c r="B326" s="2366" t="s">
        <v>3109</v>
      </c>
      <c r="C326" s="2368"/>
      <c r="D326" s="2368"/>
      <c r="E326" s="2368"/>
      <c r="F326" s="2367">
        <v>0.05</v>
      </c>
      <c r="G326" s="2381"/>
    </row>
    <row r="327" spans="1:7">
      <c r="A327" s="2372" t="s">
        <v>305</v>
      </c>
      <c r="B327" s="2358" t="s">
        <v>2741</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2753</v>
      </c>
      <c r="C329" s="2363">
        <v>0.15</v>
      </c>
      <c r="D329" s="2363">
        <v>0.15</v>
      </c>
      <c r="E329" s="2363">
        <v>0.15</v>
      </c>
      <c r="F329" s="2363">
        <v>0.15</v>
      </c>
      <c r="G329" s="2364">
        <v>0.15</v>
      </c>
    </row>
    <row r="330" spans="1:7">
      <c r="A330" s="2373" t="s">
        <v>305</v>
      </c>
      <c r="B330" s="2362" t="s">
        <v>2757</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2765</v>
      </c>
      <c r="C332" s="2363">
        <v>0.15</v>
      </c>
      <c r="D332" s="2363">
        <v>0.15</v>
      </c>
      <c r="E332" s="2363">
        <v>0.15</v>
      </c>
      <c r="F332" s="2363">
        <v>0.15</v>
      </c>
      <c r="G332" s="2364">
        <v>0.15</v>
      </c>
    </row>
    <row r="333" spans="1:7">
      <c r="A333" s="2373" t="s">
        <v>305</v>
      </c>
      <c r="B333" s="2362" t="s">
        <v>2769</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2775</v>
      </c>
      <c r="C336" s="2363">
        <v>0.15</v>
      </c>
      <c r="D336" s="2363">
        <v>0.15</v>
      </c>
      <c r="E336" s="2363">
        <v>0.15</v>
      </c>
      <c r="F336" s="2363">
        <v>0.14199999999999999</v>
      </c>
      <c r="G336" s="2364">
        <v>0.15</v>
      </c>
    </row>
    <row r="337" spans="1:7">
      <c r="A337" s="2373" t="s">
        <v>305</v>
      </c>
      <c r="B337" s="2362" t="s">
        <v>2780</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2787</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2792</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2800</v>
      </c>
      <c r="C345" s="2363">
        <v>0.15</v>
      </c>
      <c r="D345" s="2363">
        <v>0.15</v>
      </c>
      <c r="E345" s="2363">
        <v>0.15</v>
      </c>
      <c r="F345" s="2363">
        <v>0.13800000000000001</v>
      </c>
      <c r="G345" s="2364">
        <v>0.15</v>
      </c>
    </row>
    <row r="346" spans="1:7">
      <c r="A346" s="2373" t="s">
        <v>305</v>
      </c>
      <c r="B346" s="2362" t="s">
        <v>2802</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2809</v>
      </c>
      <c r="C348" s="2363">
        <v>0.15</v>
      </c>
      <c r="D348" s="2363">
        <v>0.15</v>
      </c>
      <c r="E348" s="2363">
        <v>0.15</v>
      </c>
      <c r="F348" s="2363">
        <v>0.14399999999999999</v>
      </c>
      <c r="G348" s="2364">
        <v>0.15</v>
      </c>
    </row>
    <row r="349" spans="1:7">
      <c r="A349" s="2373" t="s">
        <v>305</v>
      </c>
      <c r="B349" s="2362" t="s">
        <v>2814</v>
      </c>
      <c r="C349" s="2363">
        <v>0.15</v>
      </c>
      <c r="D349" s="2363">
        <v>0.15</v>
      </c>
      <c r="E349" s="2363">
        <v>0.15</v>
      </c>
      <c r="F349" s="2363">
        <v>0.15</v>
      </c>
      <c r="G349" s="2364">
        <v>0.15</v>
      </c>
    </row>
    <row r="350" spans="1:7">
      <c r="A350" s="2373" t="s">
        <v>305</v>
      </c>
      <c r="B350" s="2362" t="s">
        <v>2817</v>
      </c>
      <c r="C350" s="2363">
        <v>0.15</v>
      </c>
      <c r="D350" s="2363">
        <v>0.15</v>
      </c>
      <c r="E350" s="2363">
        <v>0.15</v>
      </c>
      <c r="F350" s="2363">
        <v>0.14699999999999999</v>
      </c>
      <c r="G350" s="2364">
        <v>0.15</v>
      </c>
    </row>
    <row r="351" spans="1:7">
      <c r="A351" s="2373" t="s">
        <v>305</v>
      </c>
      <c r="B351" s="2362" t="s">
        <v>2822</v>
      </c>
      <c r="C351" s="2363">
        <v>0.15</v>
      </c>
      <c r="D351" s="2363">
        <v>0.15</v>
      </c>
      <c r="E351" s="2363">
        <v>0.15</v>
      </c>
      <c r="F351" s="2363">
        <v>0.13</v>
      </c>
      <c r="G351" s="2364">
        <v>0.15</v>
      </c>
    </row>
    <row r="352" spans="1:7">
      <c r="A352" s="2373" t="s">
        <v>305</v>
      </c>
      <c r="B352" s="2362" t="s">
        <v>2827</v>
      </c>
      <c r="C352" s="2363">
        <v>0.15</v>
      </c>
      <c r="D352" s="2363">
        <v>0.15</v>
      </c>
      <c r="E352" s="2363">
        <v>0.15</v>
      </c>
      <c r="F352" s="2363">
        <v>0.14599999999999999</v>
      </c>
      <c r="G352" s="2364">
        <v>0.15</v>
      </c>
    </row>
    <row r="353" spans="1:7">
      <c r="A353" s="2373" t="s">
        <v>305</v>
      </c>
      <c r="B353" s="2362" t="s">
        <v>2834</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2847</v>
      </c>
      <c r="C355" s="2363">
        <v>0.15</v>
      </c>
      <c r="D355" s="2363">
        <v>0.15</v>
      </c>
      <c r="E355" s="2363">
        <v>0.15</v>
      </c>
      <c r="F355" s="2363">
        <v>0.15</v>
      </c>
      <c r="G355" s="2364">
        <v>0.15</v>
      </c>
    </row>
    <row r="356" spans="1:7">
      <c r="A356" s="2373" t="s">
        <v>305</v>
      </c>
      <c r="B356" s="2362" t="s">
        <v>2854</v>
      </c>
      <c r="C356" s="2363">
        <v>0.15</v>
      </c>
      <c r="D356" s="2363">
        <v>0.15</v>
      </c>
      <c r="E356" s="2363">
        <v>0.15</v>
      </c>
      <c r="F356" s="2363">
        <v>0.15</v>
      </c>
      <c r="G356" s="2364">
        <v>0.15</v>
      </c>
    </row>
    <row r="357" spans="1:7" ht="14.25" thickBot="1">
      <c r="A357" s="2376" t="s">
        <v>305</v>
      </c>
      <c r="B357" s="2366" t="s">
        <v>2859</v>
      </c>
      <c r="C357" s="2367">
        <v>0.126</v>
      </c>
      <c r="D357" s="2367">
        <v>0.127</v>
      </c>
      <c r="E357" s="2367">
        <v>0.14299999999999999</v>
      </c>
      <c r="F357" s="2367">
        <v>0.125</v>
      </c>
      <c r="G357" s="2369">
        <v>0.129</v>
      </c>
    </row>
    <row r="358" spans="1:7">
      <c r="A358" s="2372" t="s">
        <v>2728</v>
      </c>
      <c r="B358" s="2358" t="s">
        <v>2742</v>
      </c>
      <c r="C358" s="2359">
        <v>0.15</v>
      </c>
      <c r="D358" s="2359">
        <v>0.15</v>
      </c>
      <c r="E358" s="2359">
        <v>0.15</v>
      </c>
      <c r="F358" s="2359">
        <v>0.15</v>
      </c>
      <c r="G358" s="2360">
        <v>0.15</v>
      </c>
    </row>
    <row r="359" spans="1:7">
      <c r="A359" s="2373" t="s">
        <v>2728</v>
      </c>
      <c r="B359" s="2362" t="s">
        <v>2748</v>
      </c>
      <c r="C359" s="2363">
        <v>0.1</v>
      </c>
      <c r="D359" s="2363">
        <v>0.1</v>
      </c>
      <c r="E359" s="2363">
        <v>0.1</v>
      </c>
      <c r="F359" s="2363">
        <v>0.1</v>
      </c>
      <c r="G359" s="2364">
        <v>0.1</v>
      </c>
    </row>
    <row r="360" spans="1:7">
      <c r="A360" s="2373" t="s">
        <v>2728</v>
      </c>
      <c r="B360" s="2362" t="s">
        <v>2754</v>
      </c>
      <c r="C360" s="2363">
        <v>0.15</v>
      </c>
      <c r="D360" s="2363">
        <v>0.15</v>
      </c>
      <c r="E360" s="2363">
        <v>0.15</v>
      </c>
      <c r="F360" s="2363">
        <v>0.14899999999999999</v>
      </c>
      <c r="G360" s="2364">
        <v>0.15</v>
      </c>
    </row>
    <row r="361" spans="1:7">
      <c r="A361" s="2373" t="s">
        <v>2728</v>
      </c>
      <c r="B361" s="2362" t="s">
        <v>151</v>
      </c>
      <c r="C361" s="2363">
        <v>0.15</v>
      </c>
      <c r="D361" s="2363">
        <v>0.15</v>
      </c>
      <c r="E361" s="2363">
        <v>0.15</v>
      </c>
      <c r="F361" s="2363">
        <v>0.115</v>
      </c>
      <c r="G361" s="2364">
        <v>0.15</v>
      </c>
    </row>
    <row r="362" spans="1:7">
      <c r="A362" s="2373" t="s">
        <v>2728</v>
      </c>
      <c r="B362" s="2362" t="s">
        <v>2761</v>
      </c>
      <c r="C362" s="2363">
        <v>0.15</v>
      </c>
      <c r="D362" s="2363">
        <v>0.15</v>
      </c>
      <c r="E362" s="2363">
        <v>0.15</v>
      </c>
      <c r="F362" s="2363">
        <v>0.106</v>
      </c>
      <c r="G362" s="2364">
        <v>0.15</v>
      </c>
    </row>
    <row r="363" spans="1:7">
      <c r="A363" s="2373" t="s">
        <v>2728</v>
      </c>
      <c r="B363" s="2362" t="s">
        <v>2766</v>
      </c>
      <c r="C363" s="2363">
        <v>0.15</v>
      </c>
      <c r="D363" s="2363">
        <v>0.15</v>
      </c>
      <c r="E363" s="2363">
        <v>0.15</v>
      </c>
      <c r="F363" s="2363">
        <v>0.14699999999999999</v>
      </c>
      <c r="G363" s="2364">
        <v>0.15</v>
      </c>
    </row>
    <row r="364" spans="1:7">
      <c r="A364" s="2373" t="s">
        <v>2728</v>
      </c>
      <c r="B364" s="2362" t="s">
        <v>2770</v>
      </c>
      <c r="C364" s="2363">
        <v>0.15</v>
      </c>
      <c r="D364" s="2363">
        <v>0.15</v>
      </c>
      <c r="E364" s="2363">
        <v>0.15</v>
      </c>
      <c r="F364" s="2363">
        <v>0.14799999999999999</v>
      </c>
      <c r="G364" s="2364">
        <v>0.15</v>
      </c>
    </row>
    <row r="365" spans="1:7">
      <c r="A365" s="2373" t="s">
        <v>2728</v>
      </c>
      <c r="B365" s="2362" t="s">
        <v>198</v>
      </c>
      <c r="C365" s="2363">
        <v>0.15</v>
      </c>
      <c r="D365" s="2363">
        <v>0.15</v>
      </c>
      <c r="E365" s="2363">
        <v>0.15</v>
      </c>
      <c r="F365" s="2363">
        <v>0.15</v>
      </c>
      <c r="G365" s="2364">
        <v>0.15</v>
      </c>
    </row>
    <row r="366" spans="1:7">
      <c r="A366" s="2373" t="s">
        <v>2728</v>
      </c>
      <c r="B366" s="2362" t="s">
        <v>2773</v>
      </c>
      <c r="C366" s="2363">
        <v>0.15</v>
      </c>
      <c r="D366" s="2363">
        <v>0.15</v>
      </c>
      <c r="E366" s="2363">
        <v>0.15</v>
      </c>
      <c r="F366" s="2363">
        <v>0.15</v>
      </c>
      <c r="G366" s="2364">
        <v>0.15</v>
      </c>
    </row>
    <row r="367" spans="1:7">
      <c r="A367" s="2373" t="s">
        <v>2728</v>
      </c>
      <c r="B367" s="2362" t="s">
        <v>2776</v>
      </c>
      <c r="C367" s="2363">
        <v>0.15</v>
      </c>
      <c r="D367" s="2363">
        <v>0.15</v>
      </c>
      <c r="E367" s="2363">
        <v>0.15</v>
      </c>
      <c r="F367" s="2363">
        <v>0.14699999999999999</v>
      </c>
      <c r="G367" s="2364">
        <v>0.15</v>
      </c>
    </row>
    <row r="368" spans="1:7">
      <c r="A368" s="2373" t="s">
        <v>2728</v>
      </c>
      <c r="B368" s="2362" t="s">
        <v>2781</v>
      </c>
      <c r="C368" s="2363">
        <v>0.15</v>
      </c>
      <c r="D368" s="2363">
        <v>0.15</v>
      </c>
      <c r="E368" s="2363">
        <v>0.15</v>
      </c>
      <c r="F368" s="2363">
        <v>0.13600000000000001</v>
      </c>
      <c r="G368" s="2364">
        <v>0.15</v>
      </c>
    </row>
    <row r="369" spans="1:7">
      <c r="A369" s="2373" t="s">
        <v>2728</v>
      </c>
      <c r="B369" s="2362" t="s">
        <v>212</v>
      </c>
      <c r="C369" s="2363">
        <v>0.15</v>
      </c>
      <c r="D369" s="2363">
        <v>0.15</v>
      </c>
      <c r="E369" s="2363">
        <v>0.15</v>
      </c>
      <c r="F369" s="2363">
        <v>0.14399999999999999</v>
      </c>
      <c r="G369" s="2364">
        <v>0.15</v>
      </c>
    </row>
    <row r="370" spans="1:7">
      <c r="A370" s="2373" t="s">
        <v>2728</v>
      </c>
      <c r="B370" s="2362" t="s">
        <v>219</v>
      </c>
      <c r="C370" s="2363">
        <v>0.15</v>
      </c>
      <c r="D370" s="2363">
        <v>0.15</v>
      </c>
      <c r="E370" s="2363">
        <v>0.15</v>
      </c>
      <c r="F370" s="2363">
        <v>0.14599999999999999</v>
      </c>
      <c r="G370" s="2364">
        <v>0.15</v>
      </c>
    </row>
    <row r="371" spans="1:7">
      <c r="A371" s="2373" t="s">
        <v>2728</v>
      </c>
      <c r="B371" s="2362" t="s">
        <v>227</v>
      </c>
      <c r="C371" s="2363">
        <v>0.15</v>
      </c>
      <c r="D371" s="2363">
        <v>0.15</v>
      </c>
      <c r="E371" s="2363">
        <v>0.15</v>
      </c>
      <c r="F371" s="2363">
        <v>0.12</v>
      </c>
      <c r="G371" s="2364">
        <v>0.15</v>
      </c>
    </row>
    <row r="372" spans="1:7">
      <c r="A372" s="2373" t="s">
        <v>2728</v>
      </c>
      <c r="B372" s="2362" t="s">
        <v>2789</v>
      </c>
      <c r="C372" s="2363">
        <v>0.15</v>
      </c>
      <c r="D372" s="2363">
        <v>0.15</v>
      </c>
      <c r="E372" s="2363">
        <v>0.15</v>
      </c>
      <c r="F372" s="2363">
        <v>0.14299999999999999</v>
      </c>
      <c r="G372" s="2364">
        <v>0.15</v>
      </c>
    </row>
    <row r="373" spans="1:7">
      <c r="A373" s="2373" t="s">
        <v>2728</v>
      </c>
      <c r="B373" s="2362" t="s">
        <v>256</v>
      </c>
      <c r="C373" s="2363">
        <v>0.15</v>
      </c>
      <c r="D373" s="2363">
        <v>0.15</v>
      </c>
      <c r="E373" s="2363">
        <v>0.15</v>
      </c>
      <c r="F373" s="2363">
        <v>0.14599999999999999</v>
      </c>
      <c r="G373" s="2364">
        <v>0.15</v>
      </c>
    </row>
    <row r="374" spans="1:7">
      <c r="A374" s="2373" t="s">
        <v>2728</v>
      </c>
      <c r="B374" s="2362" t="s">
        <v>264</v>
      </c>
      <c r="C374" s="2363">
        <v>0.15</v>
      </c>
      <c r="D374" s="2363">
        <v>0.15</v>
      </c>
      <c r="E374" s="2363">
        <v>0.15</v>
      </c>
      <c r="F374" s="2363">
        <v>0.14399999999999999</v>
      </c>
      <c r="G374" s="2364">
        <v>0.15</v>
      </c>
    </row>
    <row r="375" spans="1:7">
      <c r="A375" s="2373" t="s">
        <v>2728</v>
      </c>
      <c r="B375" s="2362" t="s">
        <v>2797</v>
      </c>
      <c r="C375" s="2363">
        <v>0.15</v>
      </c>
      <c r="D375" s="2363">
        <v>0.15</v>
      </c>
      <c r="E375" s="2363">
        <v>0.15</v>
      </c>
      <c r="F375" s="2363">
        <v>0.13</v>
      </c>
      <c r="G375" s="2364">
        <v>0.15</v>
      </c>
    </row>
    <row r="376" spans="1:7">
      <c r="A376" s="2373" t="s">
        <v>2728</v>
      </c>
      <c r="B376" s="2362" t="s">
        <v>275</v>
      </c>
      <c r="C376" s="2363">
        <v>0.15</v>
      </c>
      <c r="D376" s="2363">
        <v>0.15</v>
      </c>
      <c r="E376" s="2363">
        <v>0.15</v>
      </c>
      <c r="F376" s="2363">
        <v>0.14199999999999999</v>
      </c>
      <c r="G376" s="2364">
        <v>0.15</v>
      </c>
    </row>
    <row r="377" spans="1:7" ht="14.25" thickBot="1">
      <c r="A377" s="2376" t="s">
        <v>2728</v>
      </c>
      <c r="B377" s="2366" t="s">
        <v>2803</v>
      </c>
      <c r="C377" s="2367">
        <v>0.15</v>
      </c>
      <c r="D377" s="2367">
        <v>0.15</v>
      </c>
      <c r="E377" s="2367">
        <v>0.15</v>
      </c>
      <c r="F377" s="2367">
        <v>0.14000000000000001</v>
      </c>
      <c r="G377" s="2369">
        <v>0.15</v>
      </c>
    </row>
    <row r="378" spans="1:7">
      <c r="A378" s="2372" t="s">
        <v>2729</v>
      </c>
      <c r="B378" s="2358" t="s">
        <v>2743</v>
      </c>
      <c r="C378" s="2359">
        <v>0.15</v>
      </c>
      <c r="D378" s="2359">
        <v>0.15</v>
      </c>
      <c r="E378" s="2359">
        <v>0.15</v>
      </c>
      <c r="F378" s="2359">
        <v>0.107</v>
      </c>
      <c r="G378" s="2360">
        <v>0.15</v>
      </c>
    </row>
    <row r="379" spans="1:7">
      <c r="A379" s="2373" t="s">
        <v>2729</v>
      </c>
      <c r="B379" s="2362" t="s">
        <v>2749</v>
      </c>
      <c r="C379" s="2363">
        <v>0.15</v>
      </c>
      <c r="D379" s="2363">
        <v>0.15</v>
      </c>
      <c r="E379" s="2363">
        <v>0.15</v>
      </c>
      <c r="F379" s="2363">
        <v>0.115</v>
      </c>
      <c r="G379" s="2364">
        <v>0.14899999999999999</v>
      </c>
    </row>
    <row r="380" spans="1:7">
      <c r="A380" s="2373" t="s">
        <v>2729</v>
      </c>
      <c r="B380" s="2362" t="s">
        <v>2755</v>
      </c>
      <c r="C380" s="2363">
        <v>0.15</v>
      </c>
      <c r="D380" s="2363">
        <v>0.15</v>
      </c>
      <c r="E380" s="2363">
        <v>0.15</v>
      </c>
      <c r="F380" s="2363">
        <v>0.1</v>
      </c>
      <c r="G380" s="2364">
        <v>0.14799999999999999</v>
      </c>
    </row>
    <row r="381" spans="1:7">
      <c r="A381" s="2373" t="s">
        <v>2729</v>
      </c>
      <c r="B381" s="2362" t="s">
        <v>2758</v>
      </c>
      <c r="C381" s="2363">
        <v>0.15</v>
      </c>
      <c r="D381" s="2363">
        <v>0.15</v>
      </c>
      <c r="E381" s="2363">
        <v>0.15</v>
      </c>
      <c r="F381" s="2363">
        <v>0.126</v>
      </c>
      <c r="G381" s="2364">
        <v>0.15</v>
      </c>
    </row>
    <row r="382" spans="1:7">
      <c r="A382" s="2373" t="s">
        <v>2729</v>
      </c>
      <c r="B382" s="2362" t="s">
        <v>2762</v>
      </c>
      <c r="C382" s="2363">
        <v>0.15</v>
      </c>
      <c r="D382" s="2363">
        <v>0.15</v>
      </c>
      <c r="E382" s="2363">
        <v>0.15</v>
      </c>
      <c r="F382" s="2363">
        <v>0.15</v>
      </c>
      <c r="G382" s="2364">
        <v>0.15</v>
      </c>
    </row>
    <row r="383" spans="1:7">
      <c r="A383" s="2373" t="s">
        <v>2729</v>
      </c>
      <c r="B383" s="2362" t="s">
        <v>2767</v>
      </c>
      <c r="C383" s="2363">
        <v>0.15</v>
      </c>
      <c r="D383" s="2363">
        <v>0.15</v>
      </c>
      <c r="E383" s="2363">
        <v>0.15</v>
      </c>
      <c r="F383" s="2363">
        <v>0.14699999999999999</v>
      </c>
      <c r="G383" s="2364">
        <v>0.15</v>
      </c>
    </row>
    <row r="384" spans="1:7" ht="14.25" thickBot="1">
      <c r="A384" s="2383" t="s">
        <v>2729</v>
      </c>
      <c r="B384" s="2384" t="s">
        <v>2771</v>
      </c>
      <c r="C384" s="2385">
        <v>0.15</v>
      </c>
      <c r="D384" s="2385">
        <v>0.15</v>
      </c>
      <c r="E384" s="2385">
        <v>0.15</v>
      </c>
      <c r="F384" s="2385">
        <v>0.15</v>
      </c>
      <c r="G384" s="2386">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I25" sqref="I25"/>
    </sheetView>
  </sheetViews>
  <sheetFormatPr defaultColWidth="13.25" defaultRowHeight="13.5"/>
  <cols>
    <col min="1" max="16384" width="13.25" style="2228"/>
  </cols>
  <sheetData>
    <row r="1" spans="1:6" ht="14.25">
      <c r="A1" s="4702" t="s">
        <v>3110</v>
      </c>
      <c r="B1" s="4702"/>
      <c r="C1" s="4702"/>
      <c r="D1" s="4702"/>
      <c r="E1" s="4702"/>
      <c r="F1" s="4703"/>
    </row>
    <row r="2" spans="1:6" ht="14.25">
      <c r="A2" s="2387" t="s">
        <v>3111</v>
      </c>
    </row>
    <row r="3" spans="1:6" ht="14.25">
      <c r="A3" s="2387" t="s">
        <v>3112</v>
      </c>
      <c r="F3" s="2388" t="s">
        <v>3113</v>
      </c>
    </row>
    <row r="4" spans="1:6">
      <c r="A4" s="2389" t="s">
        <v>657</v>
      </c>
      <c r="B4" s="2389" t="s">
        <v>658</v>
      </c>
      <c r="C4" s="2389" t="s">
        <v>19</v>
      </c>
      <c r="D4" s="2389" t="s">
        <v>659</v>
      </c>
      <c r="E4" s="2389" t="s">
        <v>3</v>
      </c>
      <c r="F4" s="2389" t="s">
        <v>3114</v>
      </c>
    </row>
    <row r="5" spans="1:6">
      <c r="A5" s="2390" t="s">
        <v>660</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I25" sqref="I25"/>
    </sheetView>
  </sheetViews>
  <sheetFormatPr defaultRowHeight="13.5"/>
  <cols>
    <col min="1" max="1" width="13.875" customWidth="1"/>
    <col min="11" max="17" width="9" customWidth="1"/>
    <col min="25" max="30" width="0" hidden="1" customWidth="1"/>
  </cols>
  <sheetData>
    <row r="1" spans="1:44">
      <c r="A1" s="2326">
        <f>基准地价修正!G23</f>
        <v>46105</v>
      </c>
      <c r="B1" s="2318" t="s">
        <v>3253</v>
      </c>
      <c r="C1" s="2319"/>
      <c r="D1" s="2319"/>
      <c r="E1" s="2319"/>
      <c r="F1" s="2319"/>
      <c r="G1" s="2319"/>
      <c r="H1" s="2319"/>
      <c r="I1" s="2319"/>
      <c r="J1" s="2293"/>
      <c r="K1" s="2319" t="s">
        <v>448</v>
      </c>
      <c r="L1" s="2319"/>
      <c r="M1" s="2319"/>
      <c r="N1" s="2319"/>
      <c r="O1" s="2319"/>
      <c r="P1" s="2319"/>
      <c r="Q1" s="2293"/>
      <c r="R1" s="4704" t="s">
        <v>450</v>
      </c>
      <c r="S1" s="4705"/>
      <c r="T1" s="4705"/>
      <c r="U1" s="4705"/>
      <c r="V1" s="4705"/>
      <c r="W1" s="4705"/>
      <c r="X1" s="2293"/>
      <c r="Y1" s="4704" t="s">
        <v>451</v>
      </c>
      <c r="Z1" s="4705"/>
      <c r="AA1" s="4705"/>
      <c r="AB1" s="4705"/>
      <c r="AC1" s="4705"/>
      <c r="AD1" s="4705"/>
    </row>
    <row r="2" spans="1:44" s="1592" customFormat="1" ht="14.25" thickBot="1">
      <c r="B2" s="2279"/>
      <c r="C2" s="2280"/>
      <c r="D2" s="1593" t="s">
        <v>2688</v>
      </c>
      <c r="E2" s="1594" t="s">
        <v>2689</v>
      </c>
      <c r="F2" s="1594" t="s">
        <v>2690</v>
      </c>
      <c r="G2" s="1594" t="s">
        <v>2691</v>
      </c>
      <c r="H2" s="1594" t="s">
        <v>2692</v>
      </c>
      <c r="I2" s="1594" t="s">
        <v>2509</v>
      </c>
      <c r="J2" s="2281"/>
      <c r="K2" s="1593" t="s">
        <v>2688</v>
      </c>
      <c r="L2" s="1594" t="s">
        <v>2689</v>
      </c>
      <c r="M2" s="1594" t="s">
        <v>2690</v>
      </c>
      <c r="N2" s="1594" t="s">
        <v>2691</v>
      </c>
      <c r="O2" s="1594" t="s">
        <v>2693</v>
      </c>
      <c r="P2" s="1594" t="s">
        <v>2509</v>
      </c>
      <c r="Q2" s="2281"/>
      <c r="R2" s="1593" t="s">
        <v>2688</v>
      </c>
      <c r="S2" s="1594" t="s">
        <v>2689</v>
      </c>
      <c r="T2" s="1594" t="s">
        <v>2690</v>
      </c>
      <c r="U2" s="1594" t="s">
        <v>2694</v>
      </c>
      <c r="V2" s="1594" t="s">
        <v>2695</v>
      </c>
      <c r="W2" s="1594" t="s">
        <v>2509</v>
      </c>
      <c r="X2" s="2281"/>
      <c r="Y2" s="1593" t="s">
        <v>2688</v>
      </c>
      <c r="Z2" s="1594" t="s">
        <v>2689</v>
      </c>
      <c r="AA2" s="1594" t="s">
        <v>2690</v>
      </c>
      <c r="AB2" s="1594" t="s">
        <v>2696</v>
      </c>
      <c r="AC2" s="1594" t="s">
        <v>2695</v>
      </c>
      <c r="AD2" s="1594" t="s">
        <v>2509</v>
      </c>
      <c r="AF2" t="s">
        <v>3260</v>
      </c>
      <c r="AG2" t="s">
        <v>658</v>
      </c>
      <c r="AH2" t="s">
        <v>19</v>
      </c>
      <c r="AI2" t="s">
        <v>3261</v>
      </c>
      <c r="AJ2" t="s">
        <v>3</v>
      </c>
      <c r="AK2" t="s">
        <v>3262</v>
      </c>
      <c r="AM2" t="s">
        <v>3260</v>
      </c>
      <c r="AN2" t="s">
        <v>658</v>
      </c>
      <c r="AO2" t="s">
        <v>19</v>
      </c>
      <c r="AP2" t="s">
        <v>3261</v>
      </c>
      <c r="AQ2" t="s">
        <v>3</v>
      </c>
      <c r="AR2" t="s">
        <v>3262</v>
      </c>
    </row>
    <row r="3" spans="1:44" s="2284" customFormat="1" ht="12.75">
      <c r="A3" s="2282" t="s">
        <v>2697</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3628</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3627</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3626</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3629</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3625</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3630</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3274</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3265</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3264</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3257</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3251</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3250</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3246</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3245</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3243</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3242</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3241</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3239</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3230</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2698</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2699</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2700</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2701</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2702</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3256</v>
      </c>
    </row>
    <row r="31" spans="1:44">
      <c r="I31" s="1049" t="s">
        <v>2703</v>
      </c>
    </row>
    <row r="33" spans="1:44" s="1591" customFormat="1" ht="12.75">
      <c r="B33" s="2318" t="s">
        <v>3254</v>
      </c>
      <c r="C33" s="2319"/>
      <c r="D33" s="2319"/>
      <c r="E33" s="2319"/>
      <c r="F33" s="2319"/>
      <c r="G33" s="2319"/>
      <c r="H33" s="2319"/>
      <c r="I33" s="2319"/>
      <c r="J33" s="2293"/>
      <c r="K33" s="2319" t="s">
        <v>2704</v>
      </c>
      <c r="L33" s="2319"/>
      <c r="M33" s="2319"/>
      <c r="N33" s="2319"/>
      <c r="O33" s="2319"/>
      <c r="P33" s="2319"/>
      <c r="Q33" s="2293"/>
      <c r="R33" s="4704" t="s">
        <v>2705</v>
      </c>
      <c r="S33" s="4705"/>
      <c r="T33" s="4705"/>
      <c r="U33" s="4705"/>
      <c r="V33" s="4705"/>
      <c r="W33" s="4705"/>
      <c r="X33" s="2293"/>
      <c r="Y33" s="4704" t="s">
        <v>2706</v>
      </c>
      <c r="Z33" s="4705"/>
      <c r="AA33" s="4705"/>
      <c r="AB33" s="4705"/>
      <c r="AC33" s="4705"/>
      <c r="AD33" s="4705"/>
    </row>
    <row r="34" spans="1:44" s="1592" customFormat="1" ht="14.25" thickBot="1">
      <c r="B34" s="2279"/>
      <c r="C34" s="2280"/>
      <c r="D34" s="1593" t="s">
        <v>2707</v>
      </c>
      <c r="E34" s="1594" t="s">
        <v>2708</v>
      </c>
      <c r="F34" s="1594" t="s">
        <v>2709</v>
      </c>
      <c r="G34" s="1594" t="s">
        <v>2710</v>
      </c>
      <c r="H34" s="1594"/>
      <c r="I34" s="1594" t="s">
        <v>2711</v>
      </c>
      <c r="J34" s="2281"/>
      <c r="K34" s="1593" t="s">
        <v>2707</v>
      </c>
      <c r="L34" s="1594" t="s">
        <v>2708</v>
      </c>
      <c r="M34" s="1594" t="s">
        <v>2709</v>
      </c>
      <c r="N34" s="1594" t="s">
        <v>2710</v>
      </c>
      <c r="O34" s="1594"/>
      <c r="P34" s="1594" t="s">
        <v>2711</v>
      </c>
      <c r="Q34" s="2281"/>
      <c r="R34" s="1593" t="s">
        <v>2707</v>
      </c>
      <c r="S34" s="1594" t="s">
        <v>2708</v>
      </c>
      <c r="T34" s="1594" t="s">
        <v>2709</v>
      </c>
      <c r="U34" s="1594" t="s">
        <v>2710</v>
      </c>
      <c r="V34" s="1594"/>
      <c r="W34" s="1594" t="s">
        <v>2711</v>
      </c>
      <c r="X34" s="2281"/>
      <c r="Y34" s="1593" t="s">
        <v>2707</v>
      </c>
      <c r="Z34" s="1594" t="s">
        <v>2708</v>
      </c>
      <c r="AA34" s="1594" t="s">
        <v>2709</v>
      </c>
      <c r="AB34" s="1594" t="s">
        <v>2710</v>
      </c>
      <c r="AC34" s="1594"/>
      <c r="AD34" s="1594" t="s">
        <v>2711</v>
      </c>
      <c r="AG34" t="s">
        <v>658</v>
      </c>
      <c r="AH34" t="s">
        <v>19</v>
      </c>
      <c r="AI34" t="s">
        <v>3261</v>
      </c>
      <c r="AJ34"/>
      <c r="AK34" t="s">
        <v>3262</v>
      </c>
      <c r="AN34" t="s">
        <v>658</v>
      </c>
      <c r="AO34" t="s">
        <v>19</v>
      </c>
      <c r="AP34" t="s">
        <v>3261</v>
      </c>
      <c r="AQ34"/>
      <c r="AR34" t="s">
        <v>3262</v>
      </c>
    </row>
    <row r="35" spans="1:44" s="2284" customFormat="1" ht="12.75">
      <c r="A35" s="2282" t="s">
        <v>2712</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3628</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3627</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3626</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3631</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3625</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3273</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3274</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3263</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3264</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3248</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3252</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3249</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3247</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3245</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3244</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3242</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3241</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3240</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3230</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2713</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2714</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2715</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2716</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2702</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3255</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5" sqref="I25"/>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09" t="s">
        <v>446</v>
      </c>
      <c r="C1" s="4709"/>
      <c r="D1" s="4709"/>
      <c r="E1" s="4709"/>
      <c r="F1" s="4709"/>
      <c r="G1" s="4705" t="s">
        <v>447</v>
      </c>
      <c r="H1" s="4705"/>
      <c r="I1" s="4705"/>
      <c r="J1" s="4705"/>
      <c r="K1" s="4705"/>
      <c r="L1" s="4705"/>
      <c r="N1" s="4705" t="s">
        <v>448</v>
      </c>
      <c r="O1" s="4705"/>
      <c r="P1" s="4705"/>
      <c r="Q1" s="4705"/>
      <c r="S1" s="4705" t="s">
        <v>449</v>
      </c>
      <c r="T1" s="4705"/>
      <c r="U1" s="4705"/>
      <c r="V1" s="4705"/>
      <c r="X1" s="4704" t="s">
        <v>450</v>
      </c>
      <c r="Y1" s="4705"/>
      <c r="Z1" s="4705"/>
      <c r="AA1" s="4705"/>
      <c r="AB1" s="4705"/>
      <c r="AD1" s="4704" t="s">
        <v>451</v>
      </c>
      <c r="AE1" s="4705"/>
      <c r="AF1" s="4705"/>
      <c r="AG1" s="4705"/>
      <c r="AH1" s="4705"/>
    </row>
    <row r="2" spans="1:34" s="1592" customFormat="1" ht="14.25" thickBot="1">
      <c r="B2" s="1593" t="s">
        <v>452</v>
      </c>
      <c r="C2" s="1593" t="s">
        <v>453</v>
      </c>
      <c r="D2" s="1594" t="s">
        <v>454</v>
      </c>
      <c r="E2" s="1594" t="s">
        <v>455</v>
      </c>
      <c r="F2" s="1593" t="s">
        <v>456</v>
      </c>
      <c r="G2" s="1595"/>
      <c r="I2" s="1593" t="s">
        <v>452</v>
      </c>
      <c r="J2" s="1594" t="s">
        <v>661</v>
      </c>
      <c r="K2" s="1594" t="s">
        <v>306</v>
      </c>
      <c r="L2" s="1593" t="s">
        <v>456</v>
      </c>
      <c r="N2" s="1593" t="s">
        <v>452</v>
      </c>
      <c r="O2" s="1594" t="s">
        <v>661</v>
      </c>
      <c r="P2" s="1594" t="s">
        <v>306</v>
      </c>
      <c r="Q2" s="1593" t="s">
        <v>456</v>
      </c>
      <c r="S2" s="1593" t="s">
        <v>452</v>
      </c>
      <c r="T2" s="1594" t="s">
        <v>661</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2016</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3238</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3235</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2017</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3236</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3237</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2314</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2197</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2196</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2195</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2192</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2191</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07">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07"/>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07"/>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14"/>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10">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07"/>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662</v>
      </c>
      <c r="B27" s="1617">
        <f t="shared" si="232"/>
        <v>419.31181600000002</v>
      </c>
      <c r="C27" s="1617">
        <f t="shared" si="233"/>
        <v>313.95436800000004</v>
      </c>
      <c r="D27" s="1617">
        <f t="shared" si="234"/>
        <v>313.95436800000004</v>
      </c>
      <c r="E27" s="1617">
        <f t="shared" si="235"/>
        <v>596.63028431999999</v>
      </c>
      <c r="F27" s="1617">
        <f t="shared" si="236"/>
        <v>274.74220703999998</v>
      </c>
      <c r="G27" s="4707"/>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14"/>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10">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07"/>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07"/>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8"/>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06">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07"/>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07"/>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8"/>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06">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07"/>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07"/>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8"/>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11">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12"/>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12"/>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13"/>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06">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07"/>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07"/>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08"/>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06">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07">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07">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8">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06">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07">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07">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8">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06">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07">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07">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8">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06">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07">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07">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8">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06">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07">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07">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8">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06">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07">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07">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8">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06">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07">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07">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8">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06">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07">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07">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8">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06">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07">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07">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08">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06">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07">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07">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08">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I25" sqref="I25"/>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17" t="s">
        <v>2717</v>
      </c>
      <c r="B1" s="4717"/>
      <c r="C1" s="4717"/>
      <c r="D1" s="4717"/>
      <c r="E1" s="4717"/>
      <c r="F1" s="4717"/>
      <c r="G1" s="4718"/>
      <c r="I1" s="2327" t="s">
        <v>2718</v>
      </c>
      <c r="J1" s="2328" t="s">
        <v>2719</v>
      </c>
      <c r="K1" s="2328" t="s">
        <v>2720</v>
      </c>
      <c r="L1" s="2328" t="s">
        <v>2721</v>
      </c>
      <c r="M1" s="2328" t="s">
        <v>2722</v>
      </c>
      <c r="N1" s="2328" t="s">
        <v>2723</v>
      </c>
      <c r="O1" s="2328" t="s">
        <v>2724</v>
      </c>
      <c r="P1" s="2328" t="s">
        <v>2725</v>
      </c>
      <c r="Q1" s="2328" t="s">
        <v>2726</v>
      </c>
      <c r="R1" s="2328" t="s">
        <v>2727</v>
      </c>
      <c r="S1" s="2328" t="s">
        <v>2728</v>
      </c>
      <c r="T1" s="2329" t="s">
        <v>2729</v>
      </c>
    </row>
    <row r="2" spans="1:20" ht="12" thickBot="1">
      <c r="A2" s="2330" t="s">
        <v>2730</v>
      </c>
      <c r="B2" s="2330"/>
      <c r="C2" s="2330"/>
      <c r="D2" s="2330"/>
      <c r="E2" s="2330"/>
      <c r="F2" s="2330"/>
      <c r="G2" s="2331" t="s">
        <v>2731</v>
      </c>
      <c r="I2" s="2332" t="s">
        <v>2732</v>
      </c>
      <c r="J2" s="2332" t="s">
        <v>2733</v>
      </c>
      <c r="K2" s="2332" t="s">
        <v>2734</v>
      </c>
      <c r="L2" s="2332" t="s">
        <v>2735</v>
      </c>
      <c r="M2" s="2332" t="s">
        <v>2736</v>
      </c>
      <c r="N2" s="2332" t="s">
        <v>2737</v>
      </c>
      <c r="O2" s="2332" t="s">
        <v>2738</v>
      </c>
      <c r="P2" s="2332" t="s">
        <v>2739</v>
      </c>
      <c r="Q2" s="2332" t="s">
        <v>2740</v>
      </c>
      <c r="R2" s="2332" t="s">
        <v>2741</v>
      </c>
      <c r="S2" s="2332" t="s">
        <v>2742</v>
      </c>
      <c r="T2" s="2332" t="s">
        <v>2743</v>
      </c>
    </row>
    <row r="3" spans="1:20" s="2338" customFormat="1">
      <c r="A3" s="4715" t="s">
        <v>2744</v>
      </c>
      <c r="B3" s="2333"/>
      <c r="C3" s="2334" t="s">
        <v>2689</v>
      </c>
      <c r="D3" s="2334" t="s">
        <v>2745</v>
      </c>
      <c r="E3" s="2334" t="s">
        <v>2691</v>
      </c>
      <c r="F3" s="2334" t="s">
        <v>2746</v>
      </c>
      <c r="G3" s="2334" t="s">
        <v>2509</v>
      </c>
      <c r="H3" s="2335"/>
      <c r="I3" s="2336" t="s">
        <v>2747</v>
      </c>
      <c r="J3" s="2337" t="s">
        <v>126</v>
      </c>
      <c r="K3" s="2337" t="s">
        <v>127</v>
      </c>
      <c r="L3" s="2336" t="s">
        <v>128</v>
      </c>
      <c r="M3" s="2336" t="s">
        <v>129</v>
      </c>
      <c r="N3" s="2336" t="s">
        <v>130</v>
      </c>
      <c r="O3" s="2336" t="s">
        <v>131</v>
      </c>
      <c r="P3" s="2336" t="s">
        <v>132</v>
      </c>
      <c r="Q3" s="2336" t="s">
        <v>133</v>
      </c>
      <c r="R3" s="2336" t="s">
        <v>134</v>
      </c>
      <c r="S3" s="2336" t="s">
        <v>2748</v>
      </c>
      <c r="T3" s="2336" t="s">
        <v>2749</v>
      </c>
    </row>
    <row r="4" spans="1:20" s="2338" customFormat="1" ht="12" thickBot="1">
      <c r="A4" s="4716"/>
      <c r="B4" s="2339" t="s">
        <v>2750</v>
      </c>
      <c r="C4" s="2339" t="s">
        <v>2751</v>
      </c>
      <c r="D4" s="2339" t="s">
        <v>2751</v>
      </c>
      <c r="E4" s="2339" t="s">
        <v>2751</v>
      </c>
      <c r="F4" s="2340" t="s">
        <v>2751</v>
      </c>
      <c r="G4" s="2340" t="s">
        <v>2751</v>
      </c>
      <c r="H4" s="2335"/>
      <c r="I4" s="2337" t="s">
        <v>135</v>
      </c>
      <c r="J4" s="2337" t="s">
        <v>109</v>
      </c>
      <c r="K4" s="2337" t="s">
        <v>136</v>
      </c>
      <c r="L4" s="2336" t="s">
        <v>137</v>
      </c>
      <c r="M4" s="2336" t="s">
        <v>138</v>
      </c>
      <c r="N4" s="2336" t="s">
        <v>139</v>
      </c>
      <c r="O4" s="2336" t="s">
        <v>140</v>
      </c>
      <c r="P4" s="2336" t="s">
        <v>141</v>
      </c>
      <c r="Q4" s="2336" t="s">
        <v>2752</v>
      </c>
      <c r="R4" s="2336" t="s">
        <v>2753</v>
      </c>
      <c r="S4" s="2336" t="s">
        <v>2754</v>
      </c>
      <c r="T4" s="2336" t="s">
        <v>2755</v>
      </c>
    </row>
    <row r="5" spans="1:20">
      <c r="A5" s="2341" t="s">
        <v>2718</v>
      </c>
      <c r="B5" s="2332" t="s">
        <v>2732</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2756</v>
      </c>
      <c r="R5" s="2336" t="s">
        <v>2757</v>
      </c>
      <c r="S5" s="2336" t="s">
        <v>151</v>
      </c>
      <c r="T5" s="2336" t="s">
        <v>2758</v>
      </c>
    </row>
    <row r="6" spans="1:20" ht="12" thickBot="1">
      <c r="A6" s="2336" t="s">
        <v>142</v>
      </c>
      <c r="B6" s="2336" t="s">
        <v>2747</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2759</v>
      </c>
      <c r="Q6" s="2336" t="s">
        <v>2760</v>
      </c>
      <c r="R6" s="2336" t="s">
        <v>159</v>
      </c>
      <c r="S6" s="2336" t="s">
        <v>2761</v>
      </c>
      <c r="T6" s="2336" t="s">
        <v>2762</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2763</v>
      </c>
      <c r="Q7" s="2336" t="s">
        <v>2764</v>
      </c>
      <c r="R7" s="2336" t="s">
        <v>2765</v>
      </c>
      <c r="S7" s="2336" t="s">
        <v>2766</v>
      </c>
      <c r="T7" s="2336" t="s">
        <v>2767</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2768</v>
      </c>
      <c r="Q8" s="2336" t="s">
        <v>172</v>
      </c>
      <c r="R8" s="2336" t="s">
        <v>2769</v>
      </c>
      <c r="S8" s="2336" t="s">
        <v>2770</v>
      </c>
      <c r="T8" s="2343" t="s">
        <v>2771</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2772</v>
      </c>
      <c r="Q9" s="2336" t="s">
        <v>180</v>
      </c>
      <c r="R9" s="2336" t="s">
        <v>181</v>
      </c>
      <c r="S9" s="2336" t="s">
        <v>198</v>
      </c>
    </row>
    <row r="10" spans="1:20">
      <c r="A10" s="2341" t="s">
        <v>182</v>
      </c>
      <c r="B10" s="2332" t="s">
        <v>2733</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2773</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2774</v>
      </c>
      <c r="P11" s="2336" t="s">
        <v>189</v>
      </c>
      <c r="Q11" s="2336" t="s">
        <v>197</v>
      </c>
      <c r="R11" s="2336" t="s">
        <v>2775</v>
      </c>
      <c r="S11" s="2336" t="s">
        <v>2776</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2777</v>
      </c>
      <c r="P12" s="2336" t="s">
        <v>2778</v>
      </c>
      <c r="Q12" s="2336" t="s">
        <v>2779</v>
      </c>
      <c r="R12" s="2336" t="s">
        <v>2780</v>
      </c>
      <c r="S12" s="2336" t="s">
        <v>2781</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2782</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2783</v>
      </c>
      <c r="K14" s="2337" t="s">
        <v>213</v>
      </c>
      <c r="L14" s="2336" t="s">
        <v>214</v>
      </c>
      <c r="M14" s="2336" t="s">
        <v>215</v>
      </c>
      <c r="N14" s="2336" t="s">
        <v>216</v>
      </c>
      <c r="O14" s="2336" t="s">
        <v>238</v>
      </c>
      <c r="P14" s="2336" t="s">
        <v>211</v>
      </c>
      <c r="Q14" s="2336" t="s">
        <v>2784</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2785</v>
      </c>
      <c r="P15" s="2336" t="s">
        <v>2786</v>
      </c>
      <c r="Q15" s="2336" t="s">
        <v>240</v>
      </c>
      <c r="R15" s="2336" t="s">
        <v>2787</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2788</v>
      </c>
      <c r="P16" s="2336" t="s">
        <v>225</v>
      </c>
      <c r="Q16" s="2336" t="s">
        <v>248</v>
      </c>
      <c r="R16" s="2336" t="s">
        <v>205</v>
      </c>
      <c r="S16" s="2336" t="s">
        <v>2789</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2790</v>
      </c>
      <c r="P17" s="2336" t="s">
        <v>2791</v>
      </c>
      <c r="Q17" s="2336" t="s">
        <v>254</v>
      </c>
      <c r="R17" s="2336" t="s">
        <v>2792</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2793</v>
      </c>
      <c r="P18" s="2336" t="s">
        <v>239</v>
      </c>
      <c r="Q18" s="2336" t="s">
        <v>2794</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2795</v>
      </c>
      <c r="P19" s="2336" t="s">
        <v>247</v>
      </c>
      <c r="Q19" s="2336" t="s">
        <v>2796</v>
      </c>
      <c r="R19" s="2336" t="s">
        <v>263</v>
      </c>
      <c r="S19" s="2336" t="s">
        <v>2797</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2798</v>
      </c>
      <c r="P20" s="2336" t="s">
        <v>2799</v>
      </c>
      <c r="Q20" s="2336" t="s">
        <v>288</v>
      </c>
      <c r="R20" s="2336" t="s">
        <v>2800</v>
      </c>
      <c r="S20" s="2336" t="s">
        <v>275</v>
      </c>
    </row>
    <row r="21" spans="1:19" ht="14.25" customHeight="1" thickBot="1">
      <c r="A21" s="2336" t="s">
        <v>182</v>
      </c>
      <c r="B21" s="2337" t="s">
        <v>206</v>
      </c>
      <c r="C21" s="2994">
        <v>32370</v>
      </c>
      <c r="D21" s="2994">
        <v>26730</v>
      </c>
      <c r="E21" s="2994">
        <v>26640</v>
      </c>
      <c r="F21" s="2994"/>
      <c r="G21" s="2994">
        <v>19440</v>
      </c>
      <c r="J21" s="2343" t="s">
        <v>2801</v>
      </c>
      <c r="K21" s="2337" t="s">
        <v>265</v>
      </c>
      <c r="L21" s="2336" t="s">
        <v>266</v>
      </c>
      <c r="M21" s="2336" t="s">
        <v>267</v>
      </c>
      <c r="N21" s="2336" t="s">
        <v>268</v>
      </c>
      <c r="O21" s="2336" t="s">
        <v>262</v>
      </c>
      <c r="P21" s="2336" t="s">
        <v>281</v>
      </c>
      <c r="Q21" s="2336" t="s">
        <v>291</v>
      </c>
      <c r="R21" s="2336" t="s">
        <v>2802</v>
      </c>
      <c r="S21" s="2343" t="s">
        <v>2803</v>
      </c>
    </row>
    <row r="22" spans="1:19" ht="14.25" customHeight="1">
      <c r="A22" s="2336" t="s">
        <v>182</v>
      </c>
      <c r="B22" s="2337" t="s">
        <v>2783</v>
      </c>
      <c r="C22" s="2994">
        <v>29830</v>
      </c>
      <c r="D22" s="2994">
        <v>27600</v>
      </c>
      <c r="E22" s="2994">
        <v>28150</v>
      </c>
      <c r="F22" s="2994"/>
      <c r="G22" s="2994">
        <v>20080</v>
      </c>
      <c r="K22" s="2337" t="s">
        <v>2804</v>
      </c>
      <c r="L22" s="2336" t="s">
        <v>270</v>
      </c>
      <c r="M22" s="2336" t="s">
        <v>271</v>
      </c>
      <c r="N22" s="2336" t="s">
        <v>272</v>
      </c>
      <c r="O22" s="2336" t="s">
        <v>2805</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2806</v>
      </c>
      <c r="L23" s="2336" t="s">
        <v>276</v>
      </c>
      <c r="M23" s="2336" t="s">
        <v>277</v>
      </c>
      <c r="N23" s="2336" t="s">
        <v>2807</v>
      </c>
      <c r="O23" s="2336" t="s">
        <v>2808</v>
      </c>
      <c r="P23" s="2336" t="s">
        <v>287</v>
      </c>
      <c r="Q23" s="2336" t="s">
        <v>296</v>
      </c>
      <c r="R23" s="2336" t="s">
        <v>2809</v>
      </c>
    </row>
    <row r="24" spans="1:19" ht="14.25" customHeight="1">
      <c r="A24" s="2336" t="s">
        <v>182</v>
      </c>
      <c r="B24" s="2337" t="s">
        <v>228</v>
      </c>
      <c r="C24" s="2994">
        <v>27930</v>
      </c>
      <c r="D24" s="2994">
        <v>32260</v>
      </c>
      <c r="E24" s="2994">
        <v>32120</v>
      </c>
      <c r="F24" s="2994"/>
      <c r="G24" s="2994">
        <v>23470</v>
      </c>
      <c r="K24" s="2337" t="s">
        <v>2810</v>
      </c>
      <c r="L24" s="2336" t="s">
        <v>279</v>
      </c>
      <c r="M24" s="2336" t="s">
        <v>280</v>
      </c>
      <c r="N24" s="2336" t="s">
        <v>2811</v>
      </c>
      <c r="O24" s="2336" t="s">
        <v>283</v>
      </c>
      <c r="P24" s="2336" t="s">
        <v>2812</v>
      </c>
      <c r="Q24" s="2345" t="s">
        <v>2813</v>
      </c>
      <c r="R24" s="2336" t="s">
        <v>2814</v>
      </c>
    </row>
    <row r="25" spans="1:19" ht="14.25" customHeight="1">
      <c r="A25" s="2336" t="s">
        <v>182</v>
      </c>
      <c r="B25" s="2337" t="s">
        <v>233</v>
      </c>
      <c r="C25" s="2994">
        <v>32230</v>
      </c>
      <c r="D25" s="2994">
        <v>29640</v>
      </c>
      <c r="E25" s="2994">
        <v>29510</v>
      </c>
      <c r="F25" s="2994"/>
      <c r="G25" s="2994">
        <v>21560</v>
      </c>
      <c r="K25" s="2337" t="s">
        <v>2815</v>
      </c>
      <c r="L25" s="2336" t="s">
        <v>2816</v>
      </c>
      <c r="M25" s="2336" t="s">
        <v>282</v>
      </c>
      <c r="N25" s="2336" t="s">
        <v>290</v>
      </c>
      <c r="O25" s="2336" t="s">
        <v>286</v>
      </c>
      <c r="P25" s="2336" t="s">
        <v>273</v>
      </c>
      <c r="Q25" s="2345" t="s">
        <v>269</v>
      </c>
      <c r="R25" s="2336" t="s">
        <v>2817</v>
      </c>
    </row>
    <row r="26" spans="1:19" ht="14.25" customHeight="1" thickBot="1">
      <c r="A26" s="2336" t="s">
        <v>182</v>
      </c>
      <c r="B26" s="2337" t="s">
        <v>242</v>
      </c>
      <c r="C26" s="2994">
        <v>31690</v>
      </c>
      <c r="D26" s="2994">
        <v>27650</v>
      </c>
      <c r="E26" s="2994">
        <v>28200</v>
      </c>
      <c r="F26" s="2994"/>
      <c r="G26" s="2994">
        <v>20110</v>
      </c>
      <c r="K26" s="2342" t="s">
        <v>2818</v>
      </c>
      <c r="L26" s="2336" t="s">
        <v>2819</v>
      </c>
      <c r="M26" s="2336" t="s">
        <v>285</v>
      </c>
      <c r="N26" s="2336" t="s">
        <v>292</v>
      </c>
      <c r="O26" s="2336" t="s">
        <v>2820</v>
      </c>
      <c r="P26" s="2336" t="s">
        <v>2821</v>
      </c>
      <c r="Q26" s="2345" t="s">
        <v>274</v>
      </c>
      <c r="R26" s="2336" t="s">
        <v>2822</v>
      </c>
    </row>
    <row r="27" spans="1:19" ht="14.25" customHeight="1">
      <c r="A27" s="2336" t="s">
        <v>182</v>
      </c>
      <c r="B27" s="2337" t="s">
        <v>249</v>
      </c>
      <c r="C27" s="2994">
        <v>29610</v>
      </c>
      <c r="D27" s="2994">
        <v>27770</v>
      </c>
      <c r="E27" s="2994">
        <v>28300</v>
      </c>
      <c r="F27" s="2994"/>
      <c r="G27" s="2994">
        <v>20210</v>
      </c>
      <c r="L27" s="2336" t="s">
        <v>2823</v>
      </c>
      <c r="M27" s="2336" t="s">
        <v>289</v>
      </c>
      <c r="N27" s="2336" t="s">
        <v>295</v>
      </c>
      <c r="O27" s="2336" t="s">
        <v>2824</v>
      </c>
      <c r="P27" s="2336" t="s">
        <v>2825</v>
      </c>
      <c r="Q27" s="2336" t="s">
        <v>2826</v>
      </c>
      <c r="R27" s="2336" t="s">
        <v>2827</v>
      </c>
    </row>
    <row r="28" spans="1:19" ht="14.25" customHeight="1">
      <c r="A28" s="2336" t="s">
        <v>182</v>
      </c>
      <c r="B28" s="2337" t="s">
        <v>257</v>
      </c>
      <c r="C28" s="2994"/>
      <c r="D28" s="2994">
        <v>31520</v>
      </c>
      <c r="E28" s="2994">
        <v>31410</v>
      </c>
      <c r="F28" s="2994"/>
      <c r="G28" s="2994">
        <v>22940</v>
      </c>
      <c r="L28" s="2336" t="s">
        <v>2828</v>
      </c>
      <c r="M28" s="2336" t="s">
        <v>2829</v>
      </c>
      <c r="N28" s="2336" t="s">
        <v>2830</v>
      </c>
      <c r="O28" s="2336" t="s">
        <v>2831</v>
      </c>
      <c r="P28" s="2336" t="s">
        <v>2832</v>
      </c>
      <c r="Q28" s="2336" t="s">
        <v>2833</v>
      </c>
      <c r="R28" s="2336" t="s">
        <v>2834</v>
      </c>
    </row>
    <row r="29" spans="1:19" ht="14.25" customHeight="1" thickBot="1">
      <c r="A29" s="2344" t="s">
        <v>182</v>
      </c>
      <c r="B29" s="2346" t="s">
        <v>2801</v>
      </c>
      <c r="C29" s="2996"/>
      <c r="D29" s="2996">
        <v>29460</v>
      </c>
      <c r="E29" s="2996">
        <v>28640</v>
      </c>
      <c r="F29" s="2996"/>
      <c r="G29" s="2996">
        <v>21430</v>
      </c>
      <c r="L29" s="2336" t="s">
        <v>2835</v>
      </c>
      <c r="M29" s="2336" t="s">
        <v>2836</v>
      </c>
      <c r="N29" s="2336" t="s">
        <v>2837</v>
      </c>
      <c r="O29" s="2336" t="s">
        <v>2838</v>
      </c>
      <c r="P29" s="2336" t="s">
        <v>2839</v>
      </c>
      <c r="Q29" s="2336" t="s">
        <v>2840</v>
      </c>
      <c r="R29" s="2336" t="s">
        <v>278</v>
      </c>
    </row>
    <row r="30" spans="1:19" ht="14.25" customHeight="1">
      <c r="A30" s="2341" t="s">
        <v>294</v>
      </c>
      <c r="B30" s="2332" t="s">
        <v>2734</v>
      </c>
      <c r="C30" s="2993">
        <v>26890</v>
      </c>
      <c r="D30" s="2993">
        <v>26770</v>
      </c>
      <c r="E30" s="2993">
        <v>25700</v>
      </c>
      <c r="F30" s="2993">
        <v>8180</v>
      </c>
      <c r="G30" s="2997">
        <v>18740</v>
      </c>
      <c r="L30" s="2336" t="s">
        <v>2841</v>
      </c>
      <c r="M30" s="2336" t="s">
        <v>2842</v>
      </c>
      <c r="N30" s="2336" t="s">
        <v>2843</v>
      </c>
      <c r="O30" s="2336" t="s">
        <v>2844</v>
      </c>
      <c r="P30" s="2336" t="s">
        <v>2845</v>
      </c>
      <c r="Q30" s="2336" t="s">
        <v>2846</v>
      </c>
      <c r="R30" s="2336" t="s">
        <v>2847</v>
      </c>
    </row>
    <row r="31" spans="1:19" ht="14.25" customHeight="1">
      <c r="A31" s="2336" t="s">
        <v>294</v>
      </c>
      <c r="B31" s="2337" t="s">
        <v>127</v>
      </c>
      <c r="C31" s="2994">
        <v>24550</v>
      </c>
      <c r="D31" s="2994">
        <v>23990</v>
      </c>
      <c r="E31" s="2994">
        <v>22930</v>
      </c>
      <c r="F31" s="2994">
        <v>7470</v>
      </c>
      <c r="G31" s="2998">
        <v>16790</v>
      </c>
      <c r="L31" s="2336" t="s">
        <v>2848</v>
      </c>
      <c r="M31" s="2336" t="s">
        <v>2849</v>
      </c>
      <c r="N31" s="2336" t="s">
        <v>2850</v>
      </c>
      <c r="O31" s="2336" t="s">
        <v>2851</v>
      </c>
      <c r="P31" s="2336" t="s">
        <v>2852</v>
      </c>
      <c r="Q31" s="2336" t="s">
        <v>2853</v>
      </c>
      <c r="R31" s="2336" t="s">
        <v>2854</v>
      </c>
    </row>
    <row r="32" spans="1:19" ht="14.25" customHeight="1" thickBot="1">
      <c r="A32" s="2336" t="s">
        <v>294</v>
      </c>
      <c r="B32" s="2337" t="s">
        <v>136</v>
      </c>
      <c r="C32" s="2994">
        <v>27210</v>
      </c>
      <c r="D32" s="2994">
        <v>23240</v>
      </c>
      <c r="E32" s="2994">
        <v>23260</v>
      </c>
      <c r="F32" s="2994">
        <v>7130</v>
      </c>
      <c r="G32" s="2998">
        <v>16270</v>
      </c>
      <c r="L32" s="2336" t="s">
        <v>2855</v>
      </c>
      <c r="M32" s="2336" t="s">
        <v>2856</v>
      </c>
      <c r="N32" s="2336" t="s">
        <v>298</v>
      </c>
      <c r="O32" s="2336" t="s">
        <v>2857</v>
      </c>
      <c r="P32" s="2336" t="s">
        <v>297</v>
      </c>
      <c r="Q32" s="2336" t="s">
        <v>2858</v>
      </c>
      <c r="R32" s="2343" t="s">
        <v>2859</v>
      </c>
    </row>
    <row r="33" spans="1:17" ht="14.25" customHeight="1" thickBot="1">
      <c r="A33" s="2336" t="s">
        <v>294</v>
      </c>
      <c r="B33" s="2337" t="s">
        <v>145</v>
      </c>
      <c r="C33" s="2994">
        <v>27300</v>
      </c>
      <c r="D33" s="2994">
        <v>22980</v>
      </c>
      <c r="E33" s="2994">
        <v>24260</v>
      </c>
      <c r="F33" s="2994">
        <v>5860</v>
      </c>
      <c r="G33" s="2998">
        <v>16090</v>
      </c>
      <c r="L33" s="2343" t="s">
        <v>2860</v>
      </c>
      <c r="M33" s="2336" t="s">
        <v>2861</v>
      </c>
      <c r="N33" s="2336" t="s">
        <v>299</v>
      </c>
      <c r="O33" s="2336" t="s">
        <v>2862</v>
      </c>
      <c r="P33" s="2336" t="s">
        <v>2863</v>
      </c>
      <c r="Q33" s="2336" t="s">
        <v>2864</v>
      </c>
    </row>
    <row r="34" spans="1:17" ht="14.25" customHeight="1">
      <c r="A34" s="2336" t="s">
        <v>294</v>
      </c>
      <c r="B34" s="2337" t="s">
        <v>154</v>
      </c>
      <c r="C34" s="2994">
        <v>23090</v>
      </c>
      <c r="D34" s="2994">
        <v>23390</v>
      </c>
      <c r="E34" s="2994">
        <v>23510</v>
      </c>
      <c r="F34" s="2994">
        <v>6700</v>
      </c>
      <c r="G34" s="2998">
        <v>16370</v>
      </c>
      <c r="M34" s="2336" t="s">
        <v>2865</v>
      </c>
      <c r="N34" s="2336" t="s">
        <v>300</v>
      </c>
      <c r="O34" s="2336" t="s">
        <v>2866</v>
      </c>
      <c r="P34" s="2336" t="s">
        <v>2867</v>
      </c>
      <c r="Q34" s="2336" t="s">
        <v>2868</v>
      </c>
    </row>
    <row r="35" spans="1:17" ht="14.25" customHeight="1">
      <c r="A35" s="2336" t="s">
        <v>294</v>
      </c>
      <c r="B35" s="2337" t="s">
        <v>161</v>
      </c>
      <c r="C35" s="2994">
        <v>27270</v>
      </c>
      <c r="D35" s="2994">
        <v>24270</v>
      </c>
      <c r="E35" s="2994">
        <v>24950</v>
      </c>
      <c r="F35" s="2994">
        <v>6600</v>
      </c>
      <c r="G35" s="2998">
        <v>16990</v>
      </c>
      <c r="M35" s="2336" t="s">
        <v>2869</v>
      </c>
      <c r="N35" s="2336" t="s">
        <v>2870</v>
      </c>
      <c r="O35" s="2336" t="s">
        <v>2871</v>
      </c>
      <c r="P35" s="2336" t="s">
        <v>2872</v>
      </c>
      <c r="Q35" s="2336" t="s">
        <v>2873</v>
      </c>
    </row>
    <row r="36" spans="1:17" ht="14.25" customHeight="1">
      <c r="A36" s="2336" t="s">
        <v>294</v>
      </c>
      <c r="B36" s="2337" t="s">
        <v>167</v>
      </c>
      <c r="C36" s="2994">
        <v>23490</v>
      </c>
      <c r="D36" s="2994">
        <v>23020</v>
      </c>
      <c r="E36" s="2994">
        <v>25230</v>
      </c>
      <c r="F36" s="2994">
        <v>6780</v>
      </c>
      <c r="G36" s="2998">
        <v>16120</v>
      </c>
      <c r="M36" s="2336" t="s">
        <v>2874</v>
      </c>
      <c r="N36" s="2336" t="s">
        <v>2875</v>
      </c>
      <c r="O36" s="2336" t="s">
        <v>2876</v>
      </c>
      <c r="P36" s="2336" t="s">
        <v>2877</v>
      </c>
      <c r="Q36" s="2336" t="s">
        <v>2878</v>
      </c>
    </row>
    <row r="37" spans="1:17" ht="14.25" customHeight="1">
      <c r="A37" s="2336" t="s">
        <v>294</v>
      </c>
      <c r="B37" s="2337" t="s">
        <v>174</v>
      </c>
      <c r="C37" s="2994">
        <v>24380</v>
      </c>
      <c r="D37" s="2994">
        <v>22240</v>
      </c>
      <c r="E37" s="2994">
        <v>25980</v>
      </c>
      <c r="F37" s="2994">
        <v>8160</v>
      </c>
      <c r="G37" s="2998">
        <v>15570</v>
      </c>
      <c r="M37" s="2336" t="s">
        <v>2879</v>
      </c>
      <c r="N37" s="2336" t="s">
        <v>2880</v>
      </c>
      <c r="O37" s="2336" t="s">
        <v>2881</v>
      </c>
      <c r="P37" s="2336" t="s">
        <v>2882</v>
      </c>
      <c r="Q37" s="2336" t="s">
        <v>2883</v>
      </c>
    </row>
    <row r="38" spans="1:17" ht="14.25" customHeight="1">
      <c r="A38" s="2336" t="s">
        <v>294</v>
      </c>
      <c r="B38" s="2337" t="s">
        <v>184</v>
      </c>
      <c r="C38" s="2994">
        <v>23120</v>
      </c>
      <c r="D38" s="2994">
        <v>24630</v>
      </c>
      <c r="E38" s="2994">
        <v>25030</v>
      </c>
      <c r="F38" s="2994">
        <v>7710</v>
      </c>
      <c r="G38" s="2998">
        <v>17240</v>
      </c>
      <c r="M38" s="2336" t="s">
        <v>2884</v>
      </c>
      <c r="N38" s="2336" t="s">
        <v>2885</v>
      </c>
      <c r="O38" s="2336" t="s">
        <v>2886</v>
      </c>
      <c r="P38" s="2336" t="s">
        <v>2887</v>
      </c>
      <c r="Q38" s="2336" t="s">
        <v>2888</v>
      </c>
    </row>
    <row r="39" spans="1:17" ht="14.25" customHeight="1">
      <c r="A39" s="2336" t="s">
        <v>294</v>
      </c>
      <c r="B39" s="2337" t="s">
        <v>193</v>
      </c>
      <c r="C39" s="2994">
        <v>22330</v>
      </c>
      <c r="D39" s="2994">
        <v>21140</v>
      </c>
      <c r="E39" s="2994">
        <v>23970</v>
      </c>
      <c r="F39" s="2994">
        <v>7940</v>
      </c>
      <c r="G39" s="2998">
        <v>14790</v>
      </c>
      <c r="M39" s="2336" t="s">
        <v>2889</v>
      </c>
      <c r="N39" s="2336" t="s">
        <v>2890</v>
      </c>
      <c r="O39" s="2336" t="s">
        <v>2891</v>
      </c>
      <c r="P39" s="2336" t="s">
        <v>2892</v>
      </c>
      <c r="Q39" s="2336" t="s">
        <v>2893</v>
      </c>
    </row>
    <row r="40" spans="1:17" ht="14.25" customHeight="1">
      <c r="A40" s="2336" t="s">
        <v>294</v>
      </c>
      <c r="B40" s="2337" t="s">
        <v>200</v>
      </c>
      <c r="C40" s="2994">
        <v>24740</v>
      </c>
      <c r="D40" s="2994">
        <v>24690</v>
      </c>
      <c r="E40" s="2994">
        <v>22610</v>
      </c>
      <c r="F40" s="2994"/>
      <c r="G40" s="2998">
        <v>17280</v>
      </c>
      <c r="M40" s="2336" t="s">
        <v>2894</v>
      </c>
      <c r="N40" s="2336" t="s">
        <v>2895</v>
      </c>
      <c r="O40" s="2336" t="s">
        <v>2896</v>
      </c>
      <c r="P40" s="2336" t="s">
        <v>2897</v>
      </c>
      <c r="Q40" s="2336" t="s">
        <v>2898</v>
      </c>
    </row>
    <row r="41" spans="1:17" ht="14.25" customHeight="1" thickBot="1">
      <c r="A41" s="2336" t="s">
        <v>294</v>
      </c>
      <c r="B41" s="2337" t="s">
        <v>207</v>
      </c>
      <c r="C41" s="2994">
        <v>21220</v>
      </c>
      <c r="D41" s="2994">
        <v>21120</v>
      </c>
      <c r="E41" s="2994">
        <v>22590</v>
      </c>
      <c r="F41" s="2994"/>
      <c r="G41" s="2998">
        <v>14780</v>
      </c>
      <c r="M41" s="2343" t="s">
        <v>2899</v>
      </c>
      <c r="N41" s="2336" t="s">
        <v>2900</v>
      </c>
      <c r="O41" s="2336" t="s">
        <v>2901</v>
      </c>
      <c r="P41" s="2336" t="s">
        <v>2902</v>
      </c>
      <c r="Q41" s="2336" t="s">
        <v>2903</v>
      </c>
    </row>
    <row r="42" spans="1:17" ht="14.25" customHeight="1">
      <c r="A42" s="2336" t="s">
        <v>294</v>
      </c>
      <c r="B42" s="2337" t="s">
        <v>213</v>
      </c>
      <c r="C42" s="2994">
        <v>24800</v>
      </c>
      <c r="D42" s="2994">
        <v>22280</v>
      </c>
      <c r="E42" s="2994">
        <v>24350</v>
      </c>
      <c r="F42" s="2994"/>
      <c r="G42" s="2998">
        <v>15590</v>
      </c>
      <c r="N42" s="2336" t="s">
        <v>2904</v>
      </c>
      <c r="O42" s="2336" t="s">
        <v>2905</v>
      </c>
      <c r="P42" s="2336" t="s">
        <v>2906</v>
      </c>
      <c r="Q42" s="2336" t="s">
        <v>2907</v>
      </c>
    </row>
    <row r="43" spans="1:17" ht="14.25" customHeight="1">
      <c r="A43" s="2336" t="s">
        <v>2908</v>
      </c>
      <c r="B43" s="2337" t="s">
        <v>221</v>
      </c>
      <c r="C43" s="2994">
        <v>21210</v>
      </c>
      <c r="D43" s="2994">
        <v>21160</v>
      </c>
      <c r="E43" s="2994">
        <v>22650</v>
      </c>
      <c r="F43" s="2994"/>
      <c r="G43" s="2998">
        <v>14800</v>
      </c>
      <c r="N43" s="2336" t="s">
        <v>2909</v>
      </c>
      <c r="O43" s="2336" t="s">
        <v>2910</v>
      </c>
      <c r="P43" s="2336" t="s">
        <v>2911</v>
      </c>
      <c r="Q43" s="2336" t="s">
        <v>2912</v>
      </c>
    </row>
    <row r="44" spans="1:17" ht="14.25" customHeight="1" thickBot="1">
      <c r="A44" s="2336" t="s">
        <v>294</v>
      </c>
      <c r="B44" s="2337" t="s">
        <v>229</v>
      </c>
      <c r="C44" s="2994">
        <v>22370</v>
      </c>
      <c r="D44" s="2994">
        <v>23140</v>
      </c>
      <c r="E44" s="2994">
        <v>25090</v>
      </c>
      <c r="F44" s="2994"/>
      <c r="G44" s="2998">
        <v>16190</v>
      </c>
      <c r="N44" s="2336" t="s">
        <v>2913</v>
      </c>
      <c r="O44" s="2336" t="s">
        <v>2914</v>
      </c>
      <c r="P44" s="2343" t="s">
        <v>2915</v>
      </c>
      <c r="Q44" s="2336" t="s">
        <v>2916</v>
      </c>
    </row>
    <row r="45" spans="1:17" ht="14.25" customHeight="1" thickBot="1">
      <c r="A45" s="2336" t="s">
        <v>294</v>
      </c>
      <c r="B45" s="2337" t="s">
        <v>234</v>
      </c>
      <c r="C45" s="2994">
        <v>21240</v>
      </c>
      <c r="D45" s="2994">
        <v>27050</v>
      </c>
      <c r="E45" s="2994">
        <v>28000</v>
      </c>
      <c r="F45" s="2994"/>
      <c r="G45" s="2998">
        <v>18940</v>
      </c>
      <c r="N45" s="2336" t="s">
        <v>2917</v>
      </c>
      <c r="O45" s="2343" t="s">
        <v>2918</v>
      </c>
      <c r="Q45" s="2336" t="s">
        <v>2919</v>
      </c>
    </row>
    <row r="46" spans="1:17" ht="14.25" customHeight="1">
      <c r="A46" s="2336" t="s">
        <v>294</v>
      </c>
      <c r="B46" s="2337" t="s">
        <v>243</v>
      </c>
      <c r="C46" s="2994">
        <v>23240</v>
      </c>
      <c r="D46" s="2994">
        <v>23000</v>
      </c>
      <c r="E46" s="2994">
        <v>24980</v>
      </c>
      <c r="F46" s="2994"/>
      <c r="G46" s="2998">
        <v>16100</v>
      </c>
      <c r="N46" s="2336" t="s">
        <v>2920</v>
      </c>
      <c r="Q46" s="2336" t="s">
        <v>2921</v>
      </c>
    </row>
    <row r="47" spans="1:17" ht="14.25" customHeight="1">
      <c r="A47" s="2336" t="s">
        <v>294</v>
      </c>
      <c r="B47" s="2337" t="s">
        <v>250</v>
      </c>
      <c r="C47" s="2994">
        <v>27150</v>
      </c>
      <c r="D47" s="2994">
        <v>23310</v>
      </c>
      <c r="E47" s="2994">
        <v>25150</v>
      </c>
      <c r="F47" s="2994"/>
      <c r="G47" s="2998">
        <v>16310</v>
      </c>
      <c r="N47" s="2336" t="s">
        <v>2922</v>
      </c>
      <c r="Q47" s="2336" t="s">
        <v>2923</v>
      </c>
    </row>
    <row r="48" spans="1:17" ht="14.25" customHeight="1">
      <c r="A48" s="2336" t="s">
        <v>294</v>
      </c>
      <c r="B48" s="2337" t="s">
        <v>258</v>
      </c>
      <c r="C48" s="2994">
        <v>23100</v>
      </c>
      <c r="D48" s="2994">
        <v>21110</v>
      </c>
      <c r="E48" s="2994">
        <v>23080</v>
      </c>
      <c r="F48" s="2994"/>
      <c r="G48" s="2998">
        <v>14780</v>
      </c>
      <c r="N48" s="2336" t="s">
        <v>2924</v>
      </c>
      <c r="Q48" s="2336" t="s">
        <v>2925</v>
      </c>
    </row>
    <row r="49" spans="1:17" ht="14.25" customHeight="1">
      <c r="A49" s="2336" t="s">
        <v>294</v>
      </c>
      <c r="B49" s="2337" t="s">
        <v>265</v>
      </c>
      <c r="C49" s="2994">
        <v>23400</v>
      </c>
      <c r="D49" s="2994">
        <v>22920</v>
      </c>
      <c r="E49" s="2994">
        <v>24900</v>
      </c>
      <c r="F49" s="2994"/>
      <c r="G49" s="2998">
        <v>16040</v>
      </c>
      <c r="N49" s="2336" t="s">
        <v>2926</v>
      </c>
      <c r="Q49" s="2336" t="s">
        <v>2927</v>
      </c>
    </row>
    <row r="50" spans="1:17" ht="14.25" customHeight="1">
      <c r="A50" s="2336" t="s">
        <v>294</v>
      </c>
      <c r="B50" s="2337" t="s">
        <v>2804</v>
      </c>
      <c r="C50" s="2994">
        <v>21200</v>
      </c>
      <c r="D50" s="2994">
        <v>26540</v>
      </c>
      <c r="E50" s="2994">
        <v>23200</v>
      </c>
      <c r="F50" s="2994"/>
      <c r="G50" s="2998">
        <v>18580</v>
      </c>
      <c r="N50" s="2336" t="s">
        <v>2928</v>
      </c>
      <c r="Q50" s="2337" t="s">
        <v>2929</v>
      </c>
    </row>
    <row r="51" spans="1:17" ht="14.25" customHeight="1" thickBot="1">
      <c r="A51" s="2336" t="s">
        <v>294</v>
      </c>
      <c r="B51" s="2337" t="s">
        <v>2806</v>
      </c>
      <c r="C51" s="2994">
        <v>23000</v>
      </c>
      <c r="D51" s="2994">
        <v>23460</v>
      </c>
      <c r="E51" s="2994">
        <v>25290</v>
      </c>
      <c r="F51" s="2994"/>
      <c r="G51" s="2998">
        <v>16420</v>
      </c>
      <c r="N51" s="2336" t="s">
        <v>2930</v>
      </c>
      <c r="Q51" s="2343" t="s">
        <v>2931</v>
      </c>
    </row>
    <row r="52" spans="1:17" ht="14.25" customHeight="1">
      <c r="A52" s="2336" t="s">
        <v>294</v>
      </c>
      <c r="B52" s="2337" t="s">
        <v>2810</v>
      </c>
      <c r="C52" s="2994">
        <v>26660</v>
      </c>
      <c r="D52" s="2994">
        <v>22350</v>
      </c>
      <c r="E52" s="2994">
        <v>22920</v>
      </c>
      <c r="F52" s="2994"/>
      <c r="G52" s="2998">
        <v>15640</v>
      </c>
      <c r="N52" s="2336" t="s">
        <v>2932</v>
      </c>
    </row>
    <row r="53" spans="1:17" ht="14.25" customHeight="1">
      <c r="A53" s="2336" t="s">
        <v>294</v>
      </c>
      <c r="B53" s="2337" t="s">
        <v>2815</v>
      </c>
      <c r="C53" s="2994">
        <v>23580</v>
      </c>
      <c r="D53" s="2994"/>
      <c r="E53" s="2994">
        <v>24280</v>
      </c>
      <c r="F53" s="2994"/>
      <c r="G53" s="2998"/>
      <c r="N53" s="2336" t="s">
        <v>2933</v>
      </c>
    </row>
    <row r="54" spans="1:17" ht="14.25" customHeight="1" thickBot="1">
      <c r="A54" s="2348" t="s">
        <v>294</v>
      </c>
      <c r="B54" s="2342" t="s">
        <v>2818</v>
      </c>
      <c r="C54" s="2995">
        <v>22460</v>
      </c>
      <c r="D54" s="2995"/>
      <c r="E54" s="2995"/>
      <c r="F54" s="2995"/>
      <c r="G54" s="2999"/>
      <c r="N54" s="2336" t="s">
        <v>2934</v>
      </c>
    </row>
    <row r="55" spans="1:17" ht="14.25" customHeight="1">
      <c r="A55" s="2341" t="s">
        <v>108</v>
      </c>
      <c r="B55" s="2332" t="s">
        <v>2935</v>
      </c>
      <c r="C55" s="2994">
        <v>21970</v>
      </c>
      <c r="D55" s="2994">
        <v>20370</v>
      </c>
      <c r="E55" s="2994">
        <v>20180</v>
      </c>
      <c r="F55" s="2994">
        <v>5730</v>
      </c>
      <c r="G55" s="2994">
        <v>13820</v>
      </c>
      <c r="N55" s="2336" t="s">
        <v>2936</v>
      </c>
    </row>
    <row r="56" spans="1:17" ht="14.25" customHeight="1">
      <c r="A56" s="2336" t="s">
        <v>108</v>
      </c>
      <c r="B56" s="2336" t="s">
        <v>128</v>
      </c>
      <c r="C56" s="2994">
        <v>20470</v>
      </c>
      <c r="D56" s="2994">
        <v>20700</v>
      </c>
      <c r="E56" s="2994">
        <v>20380</v>
      </c>
      <c r="F56" s="2994">
        <v>4760</v>
      </c>
      <c r="G56" s="2994">
        <v>14050</v>
      </c>
      <c r="N56" s="2336" t="s">
        <v>2937</v>
      </c>
    </row>
    <row r="57" spans="1:17" ht="14.25" customHeight="1">
      <c r="A57" s="2336" t="s">
        <v>108</v>
      </c>
      <c r="B57" s="2336" t="s">
        <v>137</v>
      </c>
      <c r="C57" s="2994">
        <v>20790</v>
      </c>
      <c r="D57" s="2994">
        <v>21370</v>
      </c>
      <c r="E57" s="2994">
        <v>20890</v>
      </c>
      <c r="F57" s="2994">
        <v>4910</v>
      </c>
      <c r="G57" s="2994">
        <v>14510</v>
      </c>
      <c r="N57" s="2336" t="s">
        <v>2938</v>
      </c>
    </row>
    <row r="58" spans="1:17" ht="14.25" customHeight="1">
      <c r="A58" s="2336" t="s">
        <v>108</v>
      </c>
      <c r="B58" s="2336" t="s">
        <v>146</v>
      </c>
      <c r="C58" s="2994">
        <v>21460</v>
      </c>
      <c r="D58" s="2994">
        <v>20920</v>
      </c>
      <c r="E58" s="2994">
        <v>23410</v>
      </c>
      <c r="F58" s="2994">
        <v>5100</v>
      </c>
      <c r="G58" s="2994">
        <v>14200</v>
      </c>
      <c r="N58" s="2336" t="s">
        <v>2939</v>
      </c>
    </row>
    <row r="59" spans="1:17" ht="14.25" customHeight="1">
      <c r="A59" s="2336" t="s">
        <v>108</v>
      </c>
      <c r="B59" s="2336" t="s">
        <v>155</v>
      </c>
      <c r="C59" s="2994">
        <v>21000</v>
      </c>
      <c r="D59" s="2994">
        <v>21550</v>
      </c>
      <c r="E59" s="2994">
        <v>21150</v>
      </c>
      <c r="F59" s="2994">
        <v>5250</v>
      </c>
      <c r="G59" s="2994">
        <v>14630</v>
      </c>
      <c r="N59" s="2336" t="s">
        <v>2940</v>
      </c>
    </row>
    <row r="60" spans="1:17" ht="14.25" customHeight="1">
      <c r="A60" s="2336" t="s">
        <v>108</v>
      </c>
      <c r="B60" s="2336" t="s">
        <v>162</v>
      </c>
      <c r="C60" s="2994">
        <v>21640</v>
      </c>
      <c r="D60" s="2994">
        <v>21260</v>
      </c>
      <c r="E60" s="2994">
        <v>24040</v>
      </c>
      <c r="F60" s="2994">
        <v>4470</v>
      </c>
      <c r="G60" s="2994">
        <v>14430</v>
      </c>
      <c r="N60" s="2336" t="s">
        <v>2941</v>
      </c>
    </row>
    <row r="61" spans="1:17" ht="14.25" customHeight="1">
      <c r="A61" s="2336" t="s">
        <v>108</v>
      </c>
      <c r="B61" s="2336" t="s">
        <v>168</v>
      </c>
      <c r="C61" s="2994">
        <v>21330</v>
      </c>
      <c r="D61" s="2994">
        <v>18640</v>
      </c>
      <c r="E61" s="2994">
        <v>21190</v>
      </c>
      <c r="F61" s="2994">
        <v>4180</v>
      </c>
      <c r="G61" s="2994">
        <v>12650</v>
      </c>
      <c r="N61" s="2336" t="s">
        <v>2942</v>
      </c>
    </row>
    <row r="62" spans="1:17" ht="14.25" customHeight="1">
      <c r="A62" s="2336" t="s">
        <v>108</v>
      </c>
      <c r="B62" s="2336" t="s">
        <v>175</v>
      </c>
      <c r="C62" s="2994">
        <v>18710</v>
      </c>
      <c r="D62" s="2994">
        <v>19400</v>
      </c>
      <c r="E62" s="2994">
        <v>23750</v>
      </c>
      <c r="F62" s="2994">
        <v>4860</v>
      </c>
      <c r="G62" s="2994">
        <v>13170</v>
      </c>
      <c r="N62" s="2336" t="s">
        <v>2943</v>
      </c>
    </row>
    <row r="63" spans="1:17" ht="14.25" customHeight="1">
      <c r="A63" s="2336" t="s">
        <v>108</v>
      </c>
      <c r="B63" s="2336" t="s">
        <v>185</v>
      </c>
      <c r="C63" s="2994">
        <v>19480</v>
      </c>
      <c r="D63" s="2994">
        <v>16830</v>
      </c>
      <c r="E63" s="2994">
        <v>21590</v>
      </c>
      <c r="F63" s="2994">
        <v>4560</v>
      </c>
      <c r="G63" s="2994">
        <v>11420</v>
      </c>
      <c r="N63" s="2336" t="s">
        <v>2944</v>
      </c>
    </row>
    <row r="64" spans="1:17" ht="14.25" customHeight="1" thickBot="1">
      <c r="A64" s="2336" t="s">
        <v>108</v>
      </c>
      <c r="B64" s="2336" t="s">
        <v>194</v>
      </c>
      <c r="C64" s="2994">
        <v>16920</v>
      </c>
      <c r="D64" s="2994">
        <v>19190</v>
      </c>
      <c r="E64" s="2994">
        <v>22200</v>
      </c>
      <c r="F64" s="2994">
        <v>4390</v>
      </c>
      <c r="G64" s="2994">
        <v>13030</v>
      </c>
      <c r="N64" s="2343" t="s">
        <v>2945</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2816</v>
      </c>
      <c r="C78" s="2994">
        <v>19820</v>
      </c>
      <c r="D78" s="2994">
        <v>19780</v>
      </c>
      <c r="E78" s="2994">
        <v>18560</v>
      </c>
      <c r="F78" s="2994"/>
      <c r="G78" s="2994">
        <v>13430</v>
      </c>
    </row>
    <row r="79" spans="1:7" s="2201" customFormat="1" ht="14.25" customHeight="1">
      <c r="A79" s="2336" t="s">
        <v>108</v>
      </c>
      <c r="B79" s="2336" t="s">
        <v>2819</v>
      </c>
      <c r="C79" s="2994">
        <v>21660</v>
      </c>
      <c r="D79" s="2994">
        <v>18000</v>
      </c>
      <c r="E79" s="2994">
        <v>22570</v>
      </c>
      <c r="F79" s="2994"/>
      <c r="G79" s="2994">
        <v>12220</v>
      </c>
    </row>
    <row r="80" spans="1:7" s="2201" customFormat="1" ht="14.25" customHeight="1">
      <c r="A80" s="2336" t="s">
        <v>108</v>
      </c>
      <c r="B80" s="2336" t="s">
        <v>2823</v>
      </c>
      <c r="C80" s="2994">
        <v>19850</v>
      </c>
      <c r="D80" s="2994"/>
      <c r="E80" s="2994">
        <v>21700</v>
      </c>
      <c r="F80" s="2994"/>
      <c r="G80" s="2994"/>
    </row>
    <row r="81" spans="1:7" s="2201" customFormat="1" ht="14.25" customHeight="1">
      <c r="A81" s="2336" t="s">
        <v>108</v>
      </c>
      <c r="B81" s="2336" t="s">
        <v>2828</v>
      </c>
      <c r="C81" s="2994">
        <v>18080</v>
      </c>
      <c r="D81" s="2994"/>
      <c r="E81" s="2994">
        <v>20900</v>
      </c>
      <c r="F81" s="2994"/>
      <c r="G81" s="2994"/>
    </row>
    <row r="82" spans="1:7" s="2201" customFormat="1" ht="14.25" customHeight="1">
      <c r="A82" s="2336" t="s">
        <v>108</v>
      </c>
      <c r="B82" s="2336" t="s">
        <v>2835</v>
      </c>
      <c r="C82" s="2994"/>
      <c r="D82" s="2994"/>
      <c r="E82" s="2994">
        <v>20840</v>
      </c>
      <c r="F82" s="2994"/>
      <c r="G82" s="2994"/>
    </row>
    <row r="83" spans="1:7" s="2201" customFormat="1" ht="14.25" customHeight="1">
      <c r="A83" s="2336" t="s">
        <v>108</v>
      </c>
      <c r="B83" s="2336" t="s">
        <v>2946</v>
      </c>
      <c r="C83" s="2994"/>
      <c r="D83" s="2994"/>
      <c r="E83" s="2994"/>
      <c r="F83" s="2994">
        <v>4770</v>
      </c>
      <c r="G83" s="2994"/>
    </row>
    <row r="84" spans="1:7" s="2201" customFormat="1" ht="14.25" customHeight="1">
      <c r="A84" s="2336" t="s">
        <v>108</v>
      </c>
      <c r="B84" s="2336" t="s">
        <v>2947</v>
      </c>
      <c r="C84" s="2994"/>
      <c r="D84" s="2994"/>
      <c r="E84" s="2994"/>
      <c r="F84" s="2994">
        <v>4600</v>
      </c>
      <c r="G84" s="2994"/>
    </row>
    <row r="85" spans="1:7" s="2201" customFormat="1" ht="14.25" customHeight="1">
      <c r="A85" s="2336" t="s">
        <v>108</v>
      </c>
      <c r="B85" s="2336" t="s">
        <v>2948</v>
      </c>
      <c r="C85" s="2994"/>
      <c r="D85" s="2994"/>
      <c r="E85" s="2994"/>
      <c r="F85" s="2994">
        <v>4680</v>
      </c>
      <c r="G85" s="2994"/>
    </row>
    <row r="86" spans="1:7" s="2201" customFormat="1" ht="14.25" customHeight="1" thickBot="1">
      <c r="A86" s="2344" t="s">
        <v>108</v>
      </c>
      <c r="B86" s="2346" t="s">
        <v>2949</v>
      </c>
      <c r="C86" s="2996">
        <v>16610</v>
      </c>
      <c r="D86" s="2996">
        <v>16540</v>
      </c>
      <c r="E86" s="2996">
        <v>18850</v>
      </c>
      <c r="F86" s="2996"/>
      <c r="G86" s="2996">
        <v>11220</v>
      </c>
    </row>
    <row r="87" spans="1:7" s="2201" customFormat="1" ht="14.25" customHeight="1">
      <c r="A87" s="2341" t="s">
        <v>301</v>
      </c>
      <c r="B87" s="2332" t="s">
        <v>2950</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2829</v>
      </c>
      <c r="C113" s="2994">
        <v>15520</v>
      </c>
      <c r="D113" s="2994">
        <v>15450</v>
      </c>
      <c r="E113" s="2994"/>
      <c r="F113" s="2994"/>
      <c r="G113" s="2998">
        <v>10210</v>
      </c>
    </row>
    <row r="114" spans="1:7" s="2201" customFormat="1" ht="14.25" customHeight="1">
      <c r="A114" s="2336" t="s">
        <v>301</v>
      </c>
      <c r="B114" s="2336" t="s">
        <v>2836</v>
      </c>
      <c r="C114" s="2994">
        <v>13110</v>
      </c>
      <c r="D114" s="2994">
        <v>13050</v>
      </c>
      <c r="E114" s="2994"/>
      <c r="F114" s="2994"/>
      <c r="G114" s="2998">
        <v>8620</v>
      </c>
    </row>
    <row r="115" spans="1:7" s="2201" customFormat="1" ht="14.25" customHeight="1">
      <c r="A115" s="2336" t="s">
        <v>301</v>
      </c>
      <c r="B115" s="2336" t="s">
        <v>2842</v>
      </c>
      <c r="C115" s="2994">
        <v>12460</v>
      </c>
      <c r="D115" s="2994">
        <v>12390</v>
      </c>
      <c r="E115" s="2994"/>
      <c r="F115" s="2994"/>
      <c r="G115" s="2998">
        <v>8190</v>
      </c>
    </row>
    <row r="116" spans="1:7" s="2201" customFormat="1" ht="14.25" customHeight="1">
      <c r="A116" s="2336" t="s">
        <v>301</v>
      </c>
      <c r="B116" s="2336" t="s">
        <v>2849</v>
      </c>
      <c r="C116" s="2994">
        <v>13580</v>
      </c>
      <c r="D116" s="2994">
        <v>13520</v>
      </c>
      <c r="E116" s="2994"/>
      <c r="F116" s="2994"/>
      <c r="G116" s="2998">
        <v>8930</v>
      </c>
    </row>
    <row r="117" spans="1:7" s="2201" customFormat="1" ht="14.25" customHeight="1">
      <c r="A117" s="2336" t="s">
        <v>301</v>
      </c>
      <c r="B117" s="2336" t="s">
        <v>2856</v>
      </c>
      <c r="C117" s="2994">
        <v>17120</v>
      </c>
      <c r="D117" s="2994">
        <v>17040</v>
      </c>
      <c r="E117" s="2994"/>
      <c r="F117" s="2994"/>
      <c r="G117" s="2998">
        <v>11260</v>
      </c>
    </row>
    <row r="118" spans="1:7" s="2201" customFormat="1" ht="14.25" customHeight="1">
      <c r="A118" s="2336" t="s">
        <v>301</v>
      </c>
      <c r="B118" s="2336" t="s">
        <v>2861</v>
      </c>
      <c r="C118" s="2994">
        <v>14860</v>
      </c>
      <c r="D118" s="2994">
        <v>14790</v>
      </c>
      <c r="E118" s="2994"/>
      <c r="F118" s="2994"/>
      <c r="G118" s="2998">
        <v>9780</v>
      </c>
    </row>
    <row r="119" spans="1:7" s="2201" customFormat="1" ht="14.25" customHeight="1">
      <c r="A119" s="2336" t="s">
        <v>301</v>
      </c>
      <c r="B119" s="2336" t="s">
        <v>2865</v>
      </c>
      <c r="C119" s="2994">
        <v>16470</v>
      </c>
      <c r="D119" s="2994">
        <v>16400</v>
      </c>
      <c r="E119" s="2994"/>
      <c r="F119" s="2994"/>
      <c r="G119" s="2998">
        <v>10840</v>
      </c>
    </row>
    <row r="120" spans="1:7" s="2201" customFormat="1" ht="14.25" customHeight="1">
      <c r="A120" s="2336" t="s">
        <v>301</v>
      </c>
      <c r="B120" s="2336" t="s">
        <v>2951</v>
      </c>
      <c r="C120" s="2994"/>
      <c r="D120" s="2994"/>
      <c r="E120" s="2994"/>
      <c r="F120" s="2994">
        <v>4160</v>
      </c>
      <c r="G120" s="2998"/>
    </row>
    <row r="121" spans="1:7" s="2201" customFormat="1" ht="14.25" customHeight="1">
      <c r="A121" s="2336" t="s">
        <v>301</v>
      </c>
      <c r="B121" s="2336" t="s">
        <v>2952</v>
      </c>
      <c r="C121" s="2994"/>
      <c r="D121" s="2994"/>
      <c r="E121" s="2994"/>
      <c r="F121" s="2994">
        <v>3880</v>
      </c>
      <c r="G121" s="2998"/>
    </row>
    <row r="122" spans="1:7" s="2201" customFormat="1" ht="14.25" customHeight="1">
      <c r="A122" s="2336" t="s">
        <v>301</v>
      </c>
      <c r="B122" s="2336" t="s">
        <v>2953</v>
      </c>
      <c r="C122" s="2994">
        <v>13750</v>
      </c>
      <c r="D122" s="2994">
        <v>13680</v>
      </c>
      <c r="E122" s="2994">
        <v>16460</v>
      </c>
      <c r="F122" s="2994">
        <v>2880</v>
      </c>
      <c r="G122" s="2998">
        <v>9040</v>
      </c>
    </row>
    <row r="123" spans="1:7" s="2201" customFormat="1" ht="14.25" customHeight="1">
      <c r="A123" s="2336" t="s">
        <v>301</v>
      </c>
      <c r="B123" s="2336" t="s">
        <v>2884</v>
      </c>
      <c r="C123" s="2994">
        <v>13590</v>
      </c>
      <c r="D123" s="2994">
        <v>13520</v>
      </c>
      <c r="E123" s="2994">
        <v>16290</v>
      </c>
      <c r="F123" s="2994">
        <v>2790</v>
      </c>
      <c r="G123" s="2998">
        <v>8930</v>
      </c>
    </row>
    <row r="124" spans="1:7" s="2201" customFormat="1" ht="14.25" customHeight="1">
      <c r="A124" s="2336" t="s">
        <v>301</v>
      </c>
      <c r="B124" s="2336" t="s">
        <v>2889</v>
      </c>
      <c r="C124" s="2994">
        <v>13400</v>
      </c>
      <c r="D124" s="2994">
        <v>13320</v>
      </c>
      <c r="E124" s="2994">
        <v>16100</v>
      </c>
      <c r="F124" s="2994">
        <v>2320</v>
      </c>
      <c r="G124" s="2998">
        <v>8800</v>
      </c>
    </row>
    <row r="125" spans="1:7" s="2201" customFormat="1" ht="14.25" customHeight="1">
      <c r="A125" s="2336" t="s">
        <v>301</v>
      </c>
      <c r="B125" s="2336" t="s">
        <v>2894</v>
      </c>
      <c r="C125" s="2994">
        <v>12860</v>
      </c>
      <c r="D125" s="2994">
        <v>12790</v>
      </c>
      <c r="E125" s="2994">
        <v>15370</v>
      </c>
      <c r="F125" s="2994">
        <v>2280</v>
      </c>
      <c r="G125" s="2998">
        <v>8450</v>
      </c>
    </row>
    <row r="126" spans="1:7" s="2201" customFormat="1" ht="14.25" customHeight="1" thickBot="1">
      <c r="A126" s="2348" t="s">
        <v>301</v>
      </c>
      <c r="B126" s="2343" t="s">
        <v>2899</v>
      </c>
      <c r="C126" s="2995">
        <v>12960</v>
      </c>
      <c r="D126" s="2995">
        <v>12890</v>
      </c>
      <c r="E126" s="2995">
        <v>15530</v>
      </c>
      <c r="F126" s="2995">
        <v>2910</v>
      </c>
      <c r="G126" s="2999">
        <v>8520</v>
      </c>
    </row>
    <row r="127" spans="1:7" s="2201" customFormat="1" ht="14.25" customHeight="1">
      <c r="A127" s="2341" t="s">
        <v>27</v>
      </c>
      <c r="B127" s="2332" t="s">
        <v>2954</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2955</v>
      </c>
      <c r="C148" s="2994">
        <v>10370</v>
      </c>
      <c r="D148" s="2994">
        <v>10310</v>
      </c>
      <c r="E148" s="2994">
        <v>12970</v>
      </c>
      <c r="F148" s="2994"/>
      <c r="G148" s="2994">
        <v>6630</v>
      </c>
    </row>
    <row r="149" spans="1:7" s="2201" customFormat="1" ht="14.25" customHeight="1">
      <c r="A149" s="2336" t="s">
        <v>27</v>
      </c>
      <c r="B149" s="2336" t="s">
        <v>2956</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2830</v>
      </c>
      <c r="C153" s="2994">
        <v>10880</v>
      </c>
      <c r="D153" s="2994">
        <v>10820</v>
      </c>
      <c r="E153" s="2994">
        <v>13660</v>
      </c>
      <c r="F153" s="2994">
        <v>2260</v>
      </c>
      <c r="G153" s="2994">
        <v>6970</v>
      </c>
    </row>
    <row r="154" spans="1:7" s="2201" customFormat="1" ht="14.25" customHeight="1">
      <c r="A154" s="2336" t="s">
        <v>27</v>
      </c>
      <c r="B154" s="2336" t="s">
        <v>2957</v>
      </c>
      <c r="C154" s="2994">
        <v>11220</v>
      </c>
      <c r="D154" s="2994">
        <v>11160</v>
      </c>
      <c r="E154" s="2994">
        <v>14130</v>
      </c>
      <c r="F154" s="2994">
        <v>2230</v>
      </c>
      <c r="G154" s="2994">
        <v>7180</v>
      </c>
    </row>
    <row r="155" spans="1:7" s="2201" customFormat="1" ht="14.25" customHeight="1">
      <c r="A155" s="2336" t="s">
        <v>27</v>
      </c>
      <c r="B155" s="2336" t="s">
        <v>2843</v>
      </c>
      <c r="C155" s="2994">
        <v>10430</v>
      </c>
      <c r="D155" s="2994">
        <v>10380</v>
      </c>
      <c r="E155" s="2994">
        <v>13140</v>
      </c>
      <c r="F155" s="2994">
        <v>2080</v>
      </c>
      <c r="G155" s="2994">
        <v>6650</v>
      </c>
    </row>
    <row r="156" spans="1:7" s="2201" customFormat="1" ht="14.25" customHeight="1">
      <c r="A156" s="2336" t="s">
        <v>27</v>
      </c>
      <c r="B156" s="2336" t="s">
        <v>2958</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2959</v>
      </c>
      <c r="C160" s="2994">
        <v>11180</v>
      </c>
      <c r="D160" s="2994">
        <v>11140</v>
      </c>
      <c r="E160" s="2994">
        <v>14050</v>
      </c>
      <c r="F160" s="2994">
        <v>2270</v>
      </c>
      <c r="G160" s="2994">
        <v>7170</v>
      </c>
    </row>
    <row r="161" spans="1:7" s="2201" customFormat="1" ht="14.25" customHeight="1">
      <c r="A161" s="2336" t="s">
        <v>27</v>
      </c>
      <c r="B161" s="2336" t="s">
        <v>2875</v>
      </c>
      <c r="C161" s="2994">
        <v>11160</v>
      </c>
      <c r="D161" s="2994">
        <v>11120</v>
      </c>
      <c r="E161" s="2994">
        <v>14020</v>
      </c>
      <c r="F161" s="2994">
        <v>2150</v>
      </c>
      <c r="G161" s="2994">
        <v>7160</v>
      </c>
    </row>
    <row r="162" spans="1:7" s="2201" customFormat="1" ht="14.25" customHeight="1">
      <c r="A162" s="2336" t="s">
        <v>27</v>
      </c>
      <c r="B162" s="2336" t="s">
        <v>2880</v>
      </c>
      <c r="C162" s="2994">
        <v>9620</v>
      </c>
      <c r="D162" s="2994">
        <v>9570</v>
      </c>
      <c r="E162" s="2994">
        <v>12320</v>
      </c>
      <c r="F162" s="2994">
        <v>2010</v>
      </c>
      <c r="G162" s="2994">
        <v>6160</v>
      </c>
    </row>
    <row r="163" spans="1:7" s="2201" customFormat="1" ht="14.25" customHeight="1">
      <c r="A163" s="2336" t="s">
        <v>27</v>
      </c>
      <c r="B163" s="2336" t="s">
        <v>2885</v>
      </c>
      <c r="C163" s="2994">
        <v>9320</v>
      </c>
      <c r="D163" s="2994">
        <v>9270</v>
      </c>
      <c r="E163" s="2994">
        <v>11790</v>
      </c>
      <c r="F163" s="2994">
        <v>1920</v>
      </c>
      <c r="G163" s="2994">
        <v>5960</v>
      </c>
    </row>
    <row r="164" spans="1:7" s="2201" customFormat="1" ht="14.25" customHeight="1">
      <c r="A164" s="2336" t="s">
        <v>27</v>
      </c>
      <c r="B164" s="2336" t="s">
        <v>2890</v>
      </c>
      <c r="C164" s="2994"/>
      <c r="D164" s="2994"/>
      <c r="E164" s="2994"/>
      <c r="F164" s="2994">
        <v>1980</v>
      </c>
      <c r="G164" s="2994"/>
    </row>
    <row r="165" spans="1:7" s="2201" customFormat="1" ht="14.25" customHeight="1">
      <c r="A165" s="2336" t="s">
        <v>27</v>
      </c>
      <c r="B165" s="2336" t="s">
        <v>2960</v>
      </c>
      <c r="C165" s="2994">
        <v>11060</v>
      </c>
      <c r="D165" s="2994">
        <v>11030</v>
      </c>
      <c r="E165" s="2994">
        <v>13850</v>
      </c>
      <c r="F165" s="2994">
        <v>2170</v>
      </c>
      <c r="G165" s="2994">
        <v>7090</v>
      </c>
    </row>
    <row r="166" spans="1:7" s="2201" customFormat="1" ht="14.25" customHeight="1">
      <c r="A166" s="2336" t="s">
        <v>27</v>
      </c>
      <c r="B166" s="2336" t="s">
        <v>2900</v>
      </c>
      <c r="C166" s="2994">
        <v>11050</v>
      </c>
      <c r="D166" s="2994">
        <v>11010</v>
      </c>
      <c r="E166" s="2994">
        <v>13920</v>
      </c>
      <c r="F166" s="2994">
        <v>2140</v>
      </c>
      <c r="G166" s="2994">
        <v>7080</v>
      </c>
    </row>
    <row r="167" spans="1:7" s="2201" customFormat="1" ht="14.25" customHeight="1">
      <c r="A167" s="2336" t="s">
        <v>27</v>
      </c>
      <c r="B167" s="2336" t="s">
        <v>2904</v>
      </c>
      <c r="C167" s="2994">
        <v>10930</v>
      </c>
      <c r="D167" s="2994">
        <v>10890</v>
      </c>
      <c r="E167" s="2994">
        <v>13790</v>
      </c>
      <c r="F167" s="2994">
        <v>2010</v>
      </c>
      <c r="G167" s="2994">
        <v>7000</v>
      </c>
    </row>
    <row r="168" spans="1:7" s="2201" customFormat="1" ht="14.25" customHeight="1">
      <c r="A168" s="2336" t="s">
        <v>27</v>
      </c>
      <c r="B168" s="2336" t="s">
        <v>2909</v>
      </c>
      <c r="C168" s="2994">
        <v>9420</v>
      </c>
      <c r="D168" s="2994">
        <v>9380</v>
      </c>
      <c r="E168" s="2994">
        <v>11970</v>
      </c>
      <c r="F168" s="2994"/>
      <c r="G168" s="2994">
        <v>6040</v>
      </c>
    </row>
    <row r="169" spans="1:7" s="2201" customFormat="1" ht="14.25" customHeight="1">
      <c r="A169" s="2336" t="s">
        <v>27</v>
      </c>
      <c r="B169" s="2336" t="s">
        <v>2961</v>
      </c>
      <c r="C169" s="2994"/>
      <c r="D169" s="2994"/>
      <c r="E169" s="2994"/>
      <c r="F169" s="2994">
        <v>2880</v>
      </c>
      <c r="G169" s="2994"/>
    </row>
    <row r="170" spans="1:7" s="2201" customFormat="1" ht="14.25" customHeight="1">
      <c r="A170" s="2336" t="s">
        <v>27</v>
      </c>
      <c r="B170" s="2336" t="s">
        <v>2917</v>
      </c>
      <c r="C170" s="2994"/>
      <c r="D170" s="2994"/>
      <c r="E170" s="2994"/>
      <c r="F170" s="2994">
        <v>2880</v>
      </c>
      <c r="G170" s="2994"/>
    </row>
    <row r="171" spans="1:7" s="2201" customFormat="1" ht="14.25" customHeight="1">
      <c r="A171" s="2336" t="s">
        <v>27</v>
      </c>
      <c r="B171" s="2336" t="s">
        <v>2920</v>
      </c>
      <c r="C171" s="2994"/>
      <c r="D171" s="2994"/>
      <c r="E171" s="2994"/>
      <c r="F171" s="2994">
        <v>2880</v>
      </c>
      <c r="G171" s="2994"/>
    </row>
    <row r="172" spans="1:7" s="2201" customFormat="1" ht="14.25" customHeight="1">
      <c r="A172" s="2336" t="s">
        <v>27</v>
      </c>
      <c r="B172" s="2336" t="s">
        <v>2922</v>
      </c>
      <c r="C172" s="2994"/>
      <c r="D172" s="2994"/>
      <c r="E172" s="2994"/>
      <c r="F172" s="2994">
        <v>2880</v>
      </c>
      <c r="G172" s="2994"/>
    </row>
    <row r="173" spans="1:7" s="2201" customFormat="1" ht="14.25" customHeight="1">
      <c r="A173" s="2336" t="s">
        <v>27</v>
      </c>
      <c r="B173" s="2336" t="s">
        <v>2924</v>
      </c>
      <c r="C173" s="2994"/>
      <c r="D173" s="2994"/>
      <c r="E173" s="2994"/>
      <c r="F173" s="2994">
        <v>2150</v>
      </c>
      <c r="G173" s="2994"/>
    </row>
    <row r="174" spans="1:7" s="2201" customFormat="1" ht="14.25" customHeight="1">
      <c r="A174" s="2336" t="s">
        <v>27</v>
      </c>
      <c r="B174" s="2336" t="s">
        <v>2926</v>
      </c>
      <c r="C174" s="2994"/>
      <c r="D174" s="2994"/>
      <c r="E174" s="2994"/>
      <c r="F174" s="2994">
        <v>2030</v>
      </c>
      <c r="G174" s="2994"/>
    </row>
    <row r="175" spans="1:7" s="2201" customFormat="1" ht="14.25" customHeight="1">
      <c r="A175" s="2336" t="s">
        <v>27</v>
      </c>
      <c r="B175" s="2336" t="s">
        <v>2928</v>
      </c>
      <c r="C175" s="2994"/>
      <c r="D175" s="2994"/>
      <c r="E175" s="2994"/>
      <c r="F175" s="2994">
        <v>2780</v>
      </c>
      <c r="G175" s="2994"/>
    </row>
    <row r="176" spans="1:7" s="2201" customFormat="1" ht="14.25" customHeight="1">
      <c r="A176" s="2336" t="s">
        <v>27</v>
      </c>
      <c r="B176" s="2336" t="s">
        <v>2930</v>
      </c>
      <c r="C176" s="2994"/>
      <c r="D176" s="2994"/>
      <c r="E176" s="2994"/>
      <c r="F176" s="2994">
        <v>2780</v>
      </c>
      <c r="G176" s="2994"/>
    </row>
    <row r="177" spans="1:7" s="2201" customFormat="1" ht="14.25" customHeight="1">
      <c r="A177" s="2336" t="s">
        <v>27</v>
      </c>
      <c r="B177" s="2336" t="s">
        <v>2962</v>
      </c>
      <c r="C177" s="2994"/>
      <c r="D177" s="2994"/>
      <c r="E177" s="2994"/>
      <c r="F177" s="2994">
        <v>2780</v>
      </c>
      <c r="G177" s="2994"/>
    </row>
    <row r="178" spans="1:7" s="2201" customFormat="1" ht="14.25" customHeight="1">
      <c r="A178" s="2336" t="s">
        <v>27</v>
      </c>
      <c r="B178" s="2336" t="s">
        <v>2963</v>
      </c>
      <c r="C178" s="2994"/>
      <c r="D178" s="2994"/>
      <c r="E178" s="2994"/>
      <c r="F178" s="2994">
        <v>2060</v>
      </c>
      <c r="G178" s="2994"/>
    </row>
    <row r="179" spans="1:7" s="2201" customFormat="1" ht="14.25" customHeight="1">
      <c r="A179" s="2336" t="s">
        <v>27</v>
      </c>
      <c r="B179" s="2336" t="s">
        <v>2964</v>
      </c>
      <c r="C179" s="2994"/>
      <c r="D179" s="2994"/>
      <c r="E179" s="2994"/>
      <c r="F179" s="2994">
        <v>2120</v>
      </c>
      <c r="G179" s="2994"/>
    </row>
    <row r="180" spans="1:7" s="2201" customFormat="1" ht="14.25" customHeight="1">
      <c r="A180" s="2336" t="s">
        <v>27</v>
      </c>
      <c r="B180" s="2336" t="s">
        <v>2936</v>
      </c>
      <c r="C180" s="2994"/>
      <c r="D180" s="2994"/>
      <c r="E180" s="2994"/>
      <c r="F180" s="2994">
        <v>2340</v>
      </c>
      <c r="G180" s="2994"/>
    </row>
    <row r="181" spans="1:7" s="2201" customFormat="1" ht="14.25" customHeight="1">
      <c r="A181" s="2336" t="s">
        <v>27</v>
      </c>
      <c r="B181" s="2336" t="s">
        <v>2937</v>
      </c>
      <c r="C181" s="2994"/>
      <c r="D181" s="2994"/>
      <c r="E181" s="2994"/>
      <c r="F181" s="2994">
        <v>2340</v>
      </c>
      <c r="G181" s="2994"/>
    </row>
    <row r="182" spans="1:7" s="2201" customFormat="1" ht="14.25" customHeight="1">
      <c r="A182" s="2336" t="s">
        <v>27</v>
      </c>
      <c r="B182" s="2336" t="s">
        <v>2938</v>
      </c>
      <c r="C182" s="2994"/>
      <c r="D182" s="2994"/>
      <c r="E182" s="2994"/>
      <c r="F182" s="2994">
        <v>2340</v>
      </c>
      <c r="G182" s="2994"/>
    </row>
    <row r="183" spans="1:7" s="2201" customFormat="1" ht="14.25" customHeight="1">
      <c r="A183" s="2336" t="s">
        <v>27</v>
      </c>
      <c r="B183" s="2336" t="s">
        <v>2939</v>
      </c>
      <c r="C183" s="2994"/>
      <c r="D183" s="2994"/>
      <c r="E183" s="2994"/>
      <c r="F183" s="2994">
        <v>2340</v>
      </c>
      <c r="G183" s="2994"/>
    </row>
    <row r="184" spans="1:7" s="2201" customFormat="1" ht="14.25" customHeight="1">
      <c r="A184" s="2336" t="s">
        <v>27</v>
      </c>
      <c r="B184" s="2336" t="s">
        <v>2940</v>
      </c>
      <c r="C184" s="2994"/>
      <c r="D184" s="2994"/>
      <c r="E184" s="2994"/>
      <c r="F184" s="2994">
        <v>2340</v>
      </c>
      <c r="G184" s="2994"/>
    </row>
    <row r="185" spans="1:7" s="2201" customFormat="1" ht="14.25" customHeight="1">
      <c r="A185" s="2336" t="s">
        <v>27</v>
      </c>
      <c r="B185" s="2336" t="s">
        <v>2941</v>
      </c>
      <c r="C185" s="2994"/>
      <c r="D185" s="2994"/>
      <c r="E185" s="2994"/>
      <c r="F185" s="2994">
        <v>2530</v>
      </c>
      <c r="G185" s="2994"/>
    </row>
    <row r="186" spans="1:7" s="2201" customFormat="1" ht="14.25" customHeight="1">
      <c r="A186" s="2336" t="s">
        <v>27</v>
      </c>
      <c r="B186" s="2336" t="s">
        <v>2942</v>
      </c>
      <c r="C186" s="2994"/>
      <c r="D186" s="2994"/>
      <c r="E186" s="2994"/>
      <c r="F186" s="2994">
        <v>2550</v>
      </c>
      <c r="G186" s="2994"/>
    </row>
    <row r="187" spans="1:7" s="2201" customFormat="1" ht="14.25" customHeight="1">
      <c r="A187" s="2336" t="s">
        <v>27</v>
      </c>
      <c r="B187" s="2336" t="s">
        <v>2943</v>
      </c>
      <c r="C187" s="2994"/>
      <c r="D187" s="2994"/>
      <c r="E187" s="2994"/>
      <c r="F187" s="2994">
        <v>2070</v>
      </c>
      <c r="G187" s="2994"/>
    </row>
    <row r="188" spans="1:7" s="2201" customFormat="1" ht="14.25" customHeight="1">
      <c r="A188" s="2336" t="s">
        <v>27</v>
      </c>
      <c r="B188" s="2336" t="s">
        <v>2944</v>
      </c>
      <c r="C188" s="2994"/>
      <c r="D188" s="2994"/>
      <c r="E188" s="2994"/>
      <c r="F188" s="2994">
        <v>2340</v>
      </c>
      <c r="G188" s="2994"/>
    </row>
    <row r="189" spans="1:7" s="2201" customFormat="1" ht="14.25" customHeight="1" thickBot="1">
      <c r="A189" s="2344" t="s">
        <v>27</v>
      </c>
      <c r="B189" s="2347" t="s">
        <v>2945</v>
      </c>
      <c r="C189" s="2996"/>
      <c r="D189" s="2996"/>
      <c r="E189" s="2996"/>
      <c r="F189" s="2996">
        <v>2050</v>
      </c>
      <c r="G189" s="2996"/>
    </row>
    <row r="190" spans="1:7" s="2201" customFormat="1" ht="14.25" customHeight="1">
      <c r="A190" s="2341" t="s">
        <v>302</v>
      </c>
      <c r="B190" s="2332" t="s">
        <v>2965</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2966</v>
      </c>
      <c r="C199" s="2994">
        <v>8690</v>
      </c>
      <c r="D199" s="2994">
        <v>8630</v>
      </c>
      <c r="E199" s="2994">
        <v>11350</v>
      </c>
      <c r="F199" s="2994">
        <v>1600</v>
      </c>
      <c r="G199" s="2998">
        <v>5450</v>
      </c>
    </row>
    <row r="200" spans="1:7" s="2201" customFormat="1" ht="14.25" customHeight="1">
      <c r="A200" s="2336" t="s">
        <v>302</v>
      </c>
      <c r="B200" s="2336" t="s">
        <v>2777</v>
      </c>
      <c r="C200" s="2994"/>
      <c r="D200" s="2994"/>
      <c r="E200" s="2994"/>
      <c r="F200" s="2994">
        <v>1510</v>
      </c>
      <c r="G200" s="2998"/>
    </row>
    <row r="201" spans="1:7" s="2201" customFormat="1" ht="14.25" customHeight="1">
      <c r="A201" s="2336" t="s">
        <v>302</v>
      </c>
      <c r="B201" s="2336" t="s">
        <v>2967</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2968</v>
      </c>
      <c r="C203" s="2994">
        <v>8130</v>
      </c>
      <c r="D203" s="2994">
        <v>8070</v>
      </c>
      <c r="E203" s="2994">
        <v>10820</v>
      </c>
      <c r="F203" s="2994">
        <v>1690</v>
      </c>
      <c r="G203" s="2998">
        <v>5100</v>
      </c>
    </row>
    <row r="204" spans="1:7" s="2201" customFormat="1" ht="14.25" customHeight="1">
      <c r="A204" s="2336" t="s">
        <v>302</v>
      </c>
      <c r="B204" s="2336" t="s">
        <v>2788</v>
      </c>
      <c r="C204" s="2994">
        <v>8350</v>
      </c>
      <c r="D204" s="2994">
        <v>8290</v>
      </c>
      <c r="E204" s="2994">
        <v>11080</v>
      </c>
      <c r="F204" s="2994">
        <v>1450</v>
      </c>
      <c r="G204" s="2998">
        <v>5240</v>
      </c>
    </row>
    <row r="205" spans="1:7" s="2201" customFormat="1" ht="14.25" customHeight="1">
      <c r="A205" s="2336" t="s">
        <v>302</v>
      </c>
      <c r="B205" s="2336" t="s">
        <v>2790</v>
      </c>
      <c r="C205" s="2994">
        <v>7190</v>
      </c>
      <c r="D205" s="2994">
        <v>7130</v>
      </c>
      <c r="E205" s="2994">
        <v>9490</v>
      </c>
      <c r="F205" s="2994">
        <v>1470</v>
      </c>
      <c r="G205" s="2998">
        <v>4510</v>
      </c>
    </row>
    <row r="206" spans="1:7" s="2201" customFormat="1" ht="14.25" customHeight="1">
      <c r="A206" s="2336" t="s">
        <v>302</v>
      </c>
      <c r="B206" s="2336" t="s">
        <v>2793</v>
      </c>
      <c r="C206" s="2994">
        <v>7000</v>
      </c>
      <c r="D206" s="2994">
        <v>6950</v>
      </c>
      <c r="E206" s="2994">
        <v>9170</v>
      </c>
      <c r="F206" s="2994">
        <v>1400</v>
      </c>
      <c r="G206" s="2998">
        <v>4380</v>
      </c>
    </row>
    <row r="207" spans="1:7" s="2201" customFormat="1" ht="14.25" customHeight="1">
      <c r="A207" s="2336" t="s">
        <v>302</v>
      </c>
      <c r="B207" s="2336" t="s">
        <v>2795</v>
      </c>
      <c r="C207" s="2994">
        <v>6950</v>
      </c>
      <c r="D207" s="2994">
        <v>6900</v>
      </c>
      <c r="E207" s="2994">
        <v>9110</v>
      </c>
      <c r="F207" s="2994">
        <v>1790</v>
      </c>
      <c r="G207" s="2998">
        <v>4360</v>
      </c>
    </row>
    <row r="208" spans="1:7" s="2201" customFormat="1" ht="14.25" customHeight="1">
      <c r="A208" s="2336" t="s">
        <v>302</v>
      </c>
      <c r="B208" s="2336" t="s">
        <v>2969</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2805</v>
      </c>
      <c r="C210" s="2994">
        <v>8710</v>
      </c>
      <c r="D210" s="2994">
        <v>8660</v>
      </c>
      <c r="E210" s="2994">
        <v>11440</v>
      </c>
      <c r="F210" s="2994">
        <v>1740</v>
      </c>
      <c r="G210" s="2998">
        <v>5470</v>
      </c>
    </row>
    <row r="211" spans="1:7" s="2201" customFormat="1" ht="14.25" customHeight="1">
      <c r="A211" s="2336" t="s">
        <v>302</v>
      </c>
      <c r="B211" s="2336" t="s">
        <v>2970</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2971</v>
      </c>
      <c r="C214" s="2994">
        <v>8090</v>
      </c>
      <c r="D214" s="2994">
        <v>8030</v>
      </c>
      <c r="E214" s="2994">
        <v>10780</v>
      </c>
      <c r="F214" s="2994">
        <v>1570</v>
      </c>
      <c r="G214" s="2998">
        <v>5070</v>
      </c>
    </row>
    <row r="215" spans="1:7" s="2201" customFormat="1" ht="14.25" customHeight="1">
      <c r="A215" s="2336" t="s">
        <v>302</v>
      </c>
      <c r="B215" s="2336" t="s">
        <v>2972</v>
      </c>
      <c r="C215" s="2994">
        <v>7950</v>
      </c>
      <c r="D215" s="2994">
        <v>7900</v>
      </c>
      <c r="E215" s="2994">
        <v>10560</v>
      </c>
      <c r="F215" s="2994">
        <v>1630</v>
      </c>
      <c r="G215" s="2998">
        <v>4990</v>
      </c>
    </row>
    <row r="216" spans="1:7" s="2201" customFormat="1" ht="14.25" customHeight="1">
      <c r="A216" s="2336" t="s">
        <v>302</v>
      </c>
      <c r="B216" s="2336" t="s">
        <v>2973</v>
      </c>
      <c r="C216" s="2994">
        <v>8490</v>
      </c>
      <c r="D216" s="2994">
        <v>8440</v>
      </c>
      <c r="E216" s="2994">
        <v>11260</v>
      </c>
      <c r="F216" s="2994">
        <v>1690</v>
      </c>
      <c r="G216" s="2998">
        <v>5330</v>
      </c>
    </row>
    <row r="217" spans="1:7" s="2201" customFormat="1" ht="14.25" customHeight="1">
      <c r="A217" s="2336" t="s">
        <v>302</v>
      </c>
      <c r="B217" s="2336" t="s">
        <v>2838</v>
      </c>
      <c r="C217" s="2994">
        <v>8200</v>
      </c>
      <c r="D217" s="2994">
        <v>8150</v>
      </c>
      <c r="E217" s="2994">
        <v>10910</v>
      </c>
      <c r="F217" s="2994">
        <v>1670</v>
      </c>
      <c r="G217" s="2998">
        <v>5150</v>
      </c>
    </row>
    <row r="218" spans="1:7" s="2201" customFormat="1" ht="14.25" customHeight="1">
      <c r="A218" s="2336" t="s">
        <v>302</v>
      </c>
      <c r="B218" s="2336" t="s">
        <v>2974</v>
      </c>
      <c r="C218" s="2994"/>
      <c r="D218" s="2994"/>
      <c r="E218" s="2994"/>
      <c r="F218" s="2994">
        <v>2040</v>
      </c>
      <c r="G218" s="2998"/>
    </row>
    <row r="219" spans="1:7" s="2201" customFormat="1" ht="14.25" customHeight="1">
      <c r="A219" s="2336" t="s">
        <v>302</v>
      </c>
      <c r="B219" s="2336" t="s">
        <v>2975</v>
      </c>
      <c r="C219" s="2994"/>
      <c r="D219" s="2994"/>
      <c r="E219" s="2994"/>
      <c r="F219" s="2994">
        <v>2040</v>
      </c>
      <c r="G219" s="2998"/>
    </row>
    <row r="220" spans="1:7" s="2201" customFormat="1" ht="14.25" customHeight="1">
      <c r="A220" s="2336" t="s">
        <v>302</v>
      </c>
      <c r="B220" s="2336" t="s">
        <v>2976</v>
      </c>
      <c r="C220" s="2994"/>
      <c r="D220" s="2994"/>
      <c r="E220" s="2994"/>
      <c r="F220" s="2994">
        <v>2040</v>
      </c>
      <c r="G220" s="2998"/>
    </row>
    <row r="221" spans="1:7" s="2201" customFormat="1" ht="14.25" customHeight="1">
      <c r="A221" s="2336" t="s">
        <v>302</v>
      </c>
      <c r="B221" s="2336" t="s">
        <v>2977</v>
      </c>
      <c r="C221" s="2994"/>
      <c r="D221" s="2994"/>
      <c r="E221" s="2994"/>
      <c r="F221" s="2994">
        <v>2040</v>
      </c>
      <c r="G221" s="2998"/>
    </row>
    <row r="222" spans="1:7" s="2201" customFormat="1" ht="14.25" customHeight="1">
      <c r="A222" s="2336" t="s">
        <v>302</v>
      </c>
      <c r="B222" s="2336" t="s">
        <v>2978</v>
      </c>
      <c r="C222" s="2994"/>
      <c r="D222" s="2994"/>
      <c r="E222" s="2994"/>
      <c r="F222" s="2994">
        <v>2040</v>
      </c>
      <c r="G222" s="2998"/>
    </row>
    <row r="223" spans="1:7" s="2201" customFormat="1" ht="14.25" customHeight="1">
      <c r="A223" s="2336" t="s">
        <v>302</v>
      </c>
      <c r="B223" s="2336" t="s">
        <v>2979</v>
      </c>
      <c r="C223" s="2994"/>
      <c r="D223" s="2994"/>
      <c r="E223" s="2994"/>
      <c r="F223" s="2994">
        <v>1930</v>
      </c>
      <c r="G223" s="2998"/>
    </row>
    <row r="224" spans="1:7" s="2201" customFormat="1" ht="14.25" customHeight="1">
      <c r="A224" s="2336" t="s">
        <v>302</v>
      </c>
      <c r="B224" s="2336" t="s">
        <v>2980</v>
      </c>
      <c r="C224" s="2994"/>
      <c r="D224" s="2994"/>
      <c r="E224" s="2994"/>
      <c r="F224" s="2994">
        <v>1930</v>
      </c>
      <c r="G224" s="2998"/>
    </row>
    <row r="225" spans="1:7" s="2201" customFormat="1" ht="14.25" customHeight="1">
      <c r="A225" s="2336" t="s">
        <v>302</v>
      </c>
      <c r="B225" s="2336" t="s">
        <v>2981</v>
      </c>
      <c r="C225" s="2994"/>
      <c r="D225" s="2994"/>
      <c r="E225" s="2994"/>
      <c r="F225" s="2994">
        <v>1930</v>
      </c>
      <c r="G225" s="2998"/>
    </row>
    <row r="226" spans="1:7" s="2201" customFormat="1" ht="14.25" customHeight="1">
      <c r="A226" s="2336" t="s">
        <v>302</v>
      </c>
      <c r="B226" s="2336" t="s">
        <v>2982</v>
      </c>
      <c r="C226" s="2994"/>
      <c r="D226" s="2994"/>
      <c r="E226" s="2994"/>
      <c r="F226" s="2994">
        <v>1700</v>
      </c>
      <c r="G226" s="2998"/>
    </row>
    <row r="227" spans="1:7" s="2201" customFormat="1" ht="14.25" customHeight="1">
      <c r="A227" s="2336" t="s">
        <v>302</v>
      </c>
      <c r="B227" s="2336" t="s">
        <v>2983</v>
      </c>
      <c r="C227" s="2994"/>
      <c r="D227" s="2994"/>
      <c r="E227" s="2994"/>
      <c r="F227" s="2994">
        <v>1520</v>
      </c>
      <c r="G227" s="2998"/>
    </row>
    <row r="228" spans="1:7" s="2201" customFormat="1" ht="14.25" customHeight="1">
      <c r="A228" s="2336" t="s">
        <v>302</v>
      </c>
      <c r="B228" s="2336" t="s">
        <v>2984</v>
      </c>
      <c r="C228" s="2994"/>
      <c r="D228" s="2994"/>
      <c r="E228" s="2994"/>
      <c r="F228" s="2994">
        <v>1520</v>
      </c>
      <c r="G228" s="2998"/>
    </row>
    <row r="229" spans="1:7" s="2201" customFormat="1" ht="14.25" customHeight="1">
      <c r="A229" s="2336" t="s">
        <v>302</v>
      </c>
      <c r="B229" s="2336" t="s">
        <v>2901</v>
      </c>
      <c r="C229" s="2994"/>
      <c r="D229" s="2994"/>
      <c r="E229" s="2994"/>
      <c r="F229" s="2994">
        <v>1520</v>
      </c>
      <c r="G229" s="2998"/>
    </row>
    <row r="230" spans="1:7" s="2201" customFormat="1" ht="14.25" customHeight="1">
      <c r="A230" s="2336" t="s">
        <v>302</v>
      </c>
      <c r="B230" s="2336" t="s">
        <v>2985</v>
      </c>
      <c r="C230" s="2994"/>
      <c r="D230" s="2994"/>
      <c r="E230" s="2994"/>
      <c r="F230" s="2994">
        <v>1820</v>
      </c>
      <c r="G230" s="2998"/>
    </row>
    <row r="231" spans="1:7" s="2201" customFormat="1" ht="14.25" customHeight="1">
      <c r="A231" s="2336" t="s">
        <v>302</v>
      </c>
      <c r="B231" s="2336" t="s">
        <v>2986</v>
      </c>
      <c r="C231" s="2994"/>
      <c r="D231" s="2994"/>
      <c r="E231" s="2994"/>
      <c r="F231" s="2994">
        <v>1760</v>
      </c>
      <c r="G231" s="2998"/>
    </row>
    <row r="232" spans="1:7" s="2201" customFormat="1" ht="14.25" customHeight="1">
      <c r="A232" s="2336" t="s">
        <v>302</v>
      </c>
      <c r="B232" s="2336" t="s">
        <v>2987</v>
      </c>
      <c r="C232" s="2994"/>
      <c r="D232" s="2994"/>
      <c r="E232" s="2994"/>
      <c r="F232" s="2994">
        <v>1840</v>
      </c>
      <c r="G232" s="2998"/>
    </row>
    <row r="233" spans="1:7" s="2201" customFormat="1" ht="14.25" customHeight="1" thickBot="1">
      <c r="A233" s="2348" t="s">
        <v>302</v>
      </c>
      <c r="B233" s="2343" t="s">
        <v>2918</v>
      </c>
      <c r="C233" s="2995"/>
      <c r="D233" s="2995"/>
      <c r="E233" s="2995"/>
      <c r="F233" s="2995">
        <v>1770</v>
      </c>
      <c r="G233" s="2999"/>
    </row>
    <row r="234" spans="1:7" s="2201" customFormat="1" ht="14.25" customHeight="1">
      <c r="A234" s="2341" t="s">
        <v>303</v>
      </c>
      <c r="B234" s="2332" t="s">
        <v>2988</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2759</v>
      </c>
      <c r="C238" s="2994">
        <v>6920</v>
      </c>
      <c r="D238" s="2994">
        <v>6890</v>
      </c>
      <c r="E238" s="2994">
        <v>8640</v>
      </c>
      <c r="F238" s="2994">
        <v>1310</v>
      </c>
      <c r="G238" s="2994">
        <v>4230</v>
      </c>
    </row>
    <row r="239" spans="1:7" s="2201" customFormat="1" ht="14.25" customHeight="1">
      <c r="A239" s="2336" t="s">
        <v>303</v>
      </c>
      <c r="B239" s="2336" t="s">
        <v>2989</v>
      </c>
      <c r="C239" s="2994">
        <v>6780</v>
      </c>
      <c r="D239" s="2994">
        <v>6750</v>
      </c>
      <c r="E239" s="2994">
        <v>8440</v>
      </c>
      <c r="F239" s="2994">
        <v>1160</v>
      </c>
      <c r="G239" s="2994">
        <v>4140</v>
      </c>
    </row>
    <row r="240" spans="1:7" s="2201" customFormat="1" ht="14.25" customHeight="1">
      <c r="A240" s="2336" t="s">
        <v>303</v>
      </c>
      <c r="B240" s="2336" t="s">
        <v>2990</v>
      </c>
      <c r="C240" s="2994">
        <v>5420</v>
      </c>
      <c r="D240" s="2994">
        <v>5380</v>
      </c>
      <c r="E240" s="2994">
        <v>6640</v>
      </c>
      <c r="F240" s="2994">
        <v>1020</v>
      </c>
      <c r="G240" s="2994">
        <v>3300</v>
      </c>
    </row>
    <row r="241" spans="1:7" s="2201" customFormat="1" ht="14.25" customHeight="1">
      <c r="A241" s="2336" t="s">
        <v>303</v>
      </c>
      <c r="B241" s="2336" t="s">
        <v>2991</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2992</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2993</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2994</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2995</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2996</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2821</v>
      </c>
      <c r="C258" s="2994">
        <v>6190</v>
      </c>
      <c r="D258" s="2994">
        <v>6160</v>
      </c>
      <c r="E258" s="2994">
        <v>7680</v>
      </c>
      <c r="F258" s="2994">
        <v>1170</v>
      </c>
      <c r="G258" s="2994">
        <v>3780</v>
      </c>
    </row>
    <row r="259" spans="1:7" s="2201" customFormat="1" ht="14.25" customHeight="1">
      <c r="A259" s="2336" t="s">
        <v>303</v>
      </c>
      <c r="B259" s="2336" t="s">
        <v>2997</v>
      </c>
      <c r="C259" s="2994">
        <v>7610</v>
      </c>
      <c r="D259" s="2994">
        <v>7570</v>
      </c>
      <c r="E259" s="2994">
        <v>9350</v>
      </c>
      <c r="F259" s="2994">
        <v>1350</v>
      </c>
      <c r="G259" s="2994">
        <v>4650</v>
      </c>
    </row>
    <row r="260" spans="1:7" s="2201" customFormat="1" ht="14.25" customHeight="1">
      <c r="A260" s="2336" t="s">
        <v>303</v>
      </c>
      <c r="B260" s="2336" t="s">
        <v>2998</v>
      </c>
      <c r="C260" s="2994">
        <v>6920</v>
      </c>
      <c r="D260" s="2994">
        <v>6880</v>
      </c>
      <c r="E260" s="2994">
        <v>8380</v>
      </c>
      <c r="F260" s="2994">
        <v>1160</v>
      </c>
      <c r="G260" s="2994">
        <v>4220</v>
      </c>
    </row>
    <row r="261" spans="1:7" s="2201" customFormat="1" ht="14.25" customHeight="1">
      <c r="A261" s="2336" t="s">
        <v>303</v>
      </c>
      <c r="B261" s="2336" t="s">
        <v>2999</v>
      </c>
      <c r="C261" s="2994">
        <v>6850</v>
      </c>
      <c r="D261" s="2994">
        <v>6810</v>
      </c>
      <c r="E261" s="2994">
        <v>8290</v>
      </c>
      <c r="F261" s="2994">
        <v>1130</v>
      </c>
      <c r="G261" s="2994">
        <v>4180</v>
      </c>
    </row>
    <row r="262" spans="1:7" s="2201" customFormat="1" ht="14.25" customHeight="1">
      <c r="A262" s="2336" t="s">
        <v>303</v>
      </c>
      <c r="B262" s="2336" t="s">
        <v>3000</v>
      </c>
      <c r="C262" s="2994">
        <v>5860</v>
      </c>
      <c r="D262" s="2994">
        <v>5820</v>
      </c>
      <c r="E262" s="2994">
        <v>7640</v>
      </c>
      <c r="F262" s="2994">
        <v>1070</v>
      </c>
      <c r="G262" s="2994">
        <v>3570</v>
      </c>
    </row>
    <row r="263" spans="1:7" s="2201" customFormat="1" ht="14.25" customHeight="1">
      <c r="A263" s="2336" t="s">
        <v>303</v>
      </c>
      <c r="B263" s="2336" t="s">
        <v>3001</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3002</v>
      </c>
      <c r="C265" s="2994"/>
      <c r="D265" s="2994"/>
      <c r="E265" s="2994"/>
      <c r="F265" s="2994">
        <v>1500</v>
      </c>
      <c r="G265" s="2994"/>
    </row>
    <row r="266" spans="1:7" s="2201" customFormat="1" ht="14.25" customHeight="1">
      <c r="A266" s="2336" t="s">
        <v>303</v>
      </c>
      <c r="B266" s="2336" t="s">
        <v>3003</v>
      </c>
      <c r="C266" s="2994"/>
      <c r="D266" s="2994"/>
      <c r="E266" s="2994"/>
      <c r="F266" s="2994">
        <v>1500</v>
      </c>
      <c r="G266" s="2994"/>
    </row>
    <row r="267" spans="1:7" s="2201" customFormat="1" ht="14.25" customHeight="1">
      <c r="A267" s="2336" t="s">
        <v>303</v>
      </c>
      <c r="B267" s="2336" t="s">
        <v>3004</v>
      </c>
      <c r="C267" s="2994"/>
      <c r="D267" s="2994"/>
      <c r="E267" s="2994"/>
      <c r="F267" s="2994">
        <v>1500</v>
      </c>
      <c r="G267" s="2994"/>
    </row>
    <row r="268" spans="1:7" s="2201" customFormat="1" ht="14.25" customHeight="1">
      <c r="A268" s="2336" t="s">
        <v>303</v>
      </c>
      <c r="B268" s="2336" t="s">
        <v>3005</v>
      </c>
      <c r="C268" s="2994"/>
      <c r="D268" s="2994"/>
      <c r="E268" s="2994"/>
      <c r="F268" s="2994">
        <v>1290</v>
      </c>
      <c r="G268" s="2994"/>
    </row>
    <row r="269" spans="1:7" s="2201" customFormat="1" ht="14.25" customHeight="1">
      <c r="A269" s="2336" t="s">
        <v>303</v>
      </c>
      <c r="B269" s="2336" t="s">
        <v>3006</v>
      </c>
      <c r="C269" s="2994"/>
      <c r="D269" s="2994"/>
      <c r="E269" s="2994"/>
      <c r="F269" s="2994">
        <v>1150</v>
      </c>
      <c r="G269" s="2994"/>
    </row>
    <row r="270" spans="1:7" s="2201" customFormat="1" ht="14.25" customHeight="1">
      <c r="A270" s="2336" t="s">
        <v>303</v>
      </c>
      <c r="B270" s="2336" t="s">
        <v>3007</v>
      </c>
      <c r="C270" s="2994"/>
      <c r="D270" s="2994"/>
      <c r="E270" s="2994"/>
      <c r="F270" s="2994">
        <v>1380</v>
      </c>
      <c r="G270" s="2994"/>
    </row>
    <row r="271" spans="1:7" s="2201" customFormat="1" ht="14.25" customHeight="1">
      <c r="A271" s="2336" t="s">
        <v>303</v>
      </c>
      <c r="B271" s="2336" t="s">
        <v>3008</v>
      </c>
      <c r="C271" s="2994"/>
      <c r="D271" s="2994"/>
      <c r="E271" s="2994"/>
      <c r="F271" s="2994">
        <v>1460</v>
      </c>
      <c r="G271" s="2994"/>
    </row>
    <row r="272" spans="1:7" s="2201" customFormat="1" ht="14.25" customHeight="1">
      <c r="A272" s="2336" t="s">
        <v>303</v>
      </c>
      <c r="B272" s="2336" t="s">
        <v>3009</v>
      </c>
      <c r="C272" s="2994"/>
      <c r="D272" s="2994"/>
      <c r="E272" s="2994"/>
      <c r="F272" s="2994">
        <v>1460</v>
      </c>
      <c r="G272" s="2994"/>
    </row>
    <row r="273" spans="1:7" s="2201" customFormat="1" ht="14.25" customHeight="1">
      <c r="A273" s="2336" t="s">
        <v>303</v>
      </c>
      <c r="B273" s="2336" t="s">
        <v>2902</v>
      </c>
      <c r="C273" s="2994"/>
      <c r="D273" s="2994"/>
      <c r="E273" s="2994"/>
      <c r="F273" s="2994">
        <v>1490</v>
      </c>
      <c r="G273" s="2994"/>
    </row>
    <row r="274" spans="1:7" s="2201" customFormat="1" ht="14.25" customHeight="1">
      <c r="A274" s="2336" t="s">
        <v>303</v>
      </c>
      <c r="B274" s="2336" t="s">
        <v>3010</v>
      </c>
      <c r="C274" s="2994"/>
      <c r="D274" s="2994"/>
      <c r="E274" s="2994"/>
      <c r="F274" s="2994">
        <v>1490</v>
      </c>
      <c r="G274" s="2994"/>
    </row>
    <row r="275" spans="1:7" s="2201" customFormat="1" ht="14.25" customHeight="1">
      <c r="A275" s="2336" t="s">
        <v>303</v>
      </c>
      <c r="B275" s="2336" t="s">
        <v>3011</v>
      </c>
      <c r="C275" s="2994"/>
      <c r="D275" s="2994"/>
      <c r="E275" s="2994"/>
      <c r="F275" s="2994">
        <v>1220</v>
      </c>
      <c r="G275" s="2994"/>
    </row>
    <row r="276" spans="1:7" s="2201" customFormat="1" ht="14.25" customHeight="1" thickBot="1">
      <c r="A276" s="2344" t="s">
        <v>303</v>
      </c>
      <c r="B276" s="2346" t="s">
        <v>3012</v>
      </c>
      <c r="C276" s="2996"/>
      <c r="D276" s="2996"/>
      <c r="E276" s="2996"/>
      <c r="F276" s="2996">
        <v>1380</v>
      </c>
      <c r="G276" s="2996"/>
    </row>
    <row r="277" spans="1:7" s="2201" customFormat="1" ht="14.25" customHeight="1">
      <c r="A277" s="2341" t="s">
        <v>304</v>
      </c>
      <c r="B277" s="2332" t="s">
        <v>3013</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3014</v>
      </c>
      <c r="C279" s="2994">
        <v>4760</v>
      </c>
      <c r="D279" s="2994">
        <v>4720</v>
      </c>
      <c r="E279" s="2994">
        <v>5540</v>
      </c>
      <c r="F279" s="2994">
        <v>810</v>
      </c>
      <c r="G279" s="2998">
        <v>2850</v>
      </c>
    </row>
    <row r="280" spans="1:7" s="2201" customFormat="1" ht="14.25" customHeight="1">
      <c r="A280" s="2336" t="s">
        <v>304</v>
      </c>
      <c r="B280" s="2336" t="s">
        <v>3015</v>
      </c>
      <c r="C280" s="2994">
        <v>4010</v>
      </c>
      <c r="D280" s="2994">
        <v>3950</v>
      </c>
      <c r="E280" s="2994">
        <v>4710</v>
      </c>
      <c r="F280" s="2994">
        <v>800</v>
      </c>
      <c r="G280" s="2998">
        <v>2390</v>
      </c>
    </row>
    <row r="281" spans="1:7" s="2201" customFormat="1" ht="14.25" customHeight="1">
      <c r="A281" s="2336" t="s">
        <v>304</v>
      </c>
      <c r="B281" s="2336" t="s">
        <v>3016</v>
      </c>
      <c r="C281" s="2994">
        <v>4480</v>
      </c>
      <c r="D281" s="2994">
        <v>4420</v>
      </c>
      <c r="E281" s="2994">
        <v>5230</v>
      </c>
      <c r="F281" s="2994">
        <v>870</v>
      </c>
      <c r="G281" s="2998">
        <v>2660</v>
      </c>
    </row>
    <row r="282" spans="1:7" s="2201" customFormat="1" ht="14.25" customHeight="1">
      <c r="A282" s="2336" t="s">
        <v>304</v>
      </c>
      <c r="B282" s="2336" t="s">
        <v>3017</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3018</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3019</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2794</v>
      </c>
      <c r="C293" s="2994">
        <v>5320</v>
      </c>
      <c r="D293" s="2994">
        <v>5270</v>
      </c>
      <c r="E293" s="2994">
        <v>6160</v>
      </c>
      <c r="F293" s="2994">
        <v>990</v>
      </c>
      <c r="G293" s="2998">
        <v>3170</v>
      </c>
    </row>
    <row r="294" spans="1:7" s="2201" customFormat="1" ht="14.25" customHeight="1">
      <c r="A294" s="2336" t="s">
        <v>304</v>
      </c>
      <c r="B294" s="2336" t="s">
        <v>3020</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2813</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3021</v>
      </c>
      <c r="C302" s="2994">
        <v>5520</v>
      </c>
      <c r="D302" s="2994">
        <v>5470</v>
      </c>
      <c r="E302" s="2994">
        <v>6410</v>
      </c>
      <c r="F302" s="2994">
        <v>950</v>
      </c>
      <c r="G302" s="2998">
        <v>3300</v>
      </c>
    </row>
    <row r="303" spans="1:7" s="2201" customFormat="1" ht="14.25" customHeight="1">
      <c r="A303" s="2336" t="s">
        <v>304</v>
      </c>
      <c r="B303" s="2336" t="s">
        <v>2833</v>
      </c>
      <c r="C303" s="2994">
        <v>5630</v>
      </c>
      <c r="D303" s="2994">
        <v>5590</v>
      </c>
      <c r="E303" s="2994">
        <v>6550</v>
      </c>
      <c r="F303" s="2994">
        <v>1010</v>
      </c>
      <c r="G303" s="2998">
        <v>3370</v>
      </c>
    </row>
    <row r="304" spans="1:7" s="2201" customFormat="1" ht="14.25" customHeight="1">
      <c r="A304" s="2336" t="s">
        <v>304</v>
      </c>
      <c r="B304" s="2336" t="s">
        <v>2840</v>
      </c>
      <c r="C304" s="2994">
        <v>5680</v>
      </c>
      <c r="D304" s="2994">
        <v>5620</v>
      </c>
      <c r="E304" s="2994">
        <v>6620</v>
      </c>
      <c r="F304" s="2994">
        <v>1050</v>
      </c>
      <c r="G304" s="2998">
        <v>3390</v>
      </c>
    </row>
    <row r="305" spans="1:7" s="2201" customFormat="1" ht="14.25" customHeight="1">
      <c r="A305" s="2336" t="s">
        <v>304</v>
      </c>
      <c r="B305" s="2336" t="s">
        <v>2846</v>
      </c>
      <c r="C305" s="2994">
        <v>5590</v>
      </c>
      <c r="D305" s="2994">
        <v>5530</v>
      </c>
      <c r="E305" s="2994">
        <v>6460</v>
      </c>
      <c r="F305" s="2994">
        <v>900</v>
      </c>
      <c r="G305" s="2998">
        <v>3340</v>
      </c>
    </row>
    <row r="306" spans="1:7" s="2201" customFormat="1" ht="14.25" customHeight="1">
      <c r="A306" s="2336" t="s">
        <v>304</v>
      </c>
      <c r="B306" s="2336" t="s">
        <v>3022</v>
      </c>
      <c r="C306" s="2994">
        <v>5560</v>
      </c>
      <c r="D306" s="2994">
        <v>5510</v>
      </c>
      <c r="E306" s="2994">
        <v>6440</v>
      </c>
      <c r="F306" s="2994">
        <v>900</v>
      </c>
      <c r="G306" s="2998">
        <v>3320</v>
      </c>
    </row>
    <row r="307" spans="1:7" s="2201" customFormat="1" ht="14.25" customHeight="1">
      <c r="A307" s="2336" t="s">
        <v>304</v>
      </c>
      <c r="B307" s="2336" t="s">
        <v>2858</v>
      </c>
      <c r="C307" s="2994">
        <v>5650</v>
      </c>
      <c r="D307" s="2994">
        <v>5600</v>
      </c>
      <c r="E307" s="2994">
        <v>6590</v>
      </c>
      <c r="F307" s="2994">
        <v>930</v>
      </c>
      <c r="G307" s="2998">
        <v>3380</v>
      </c>
    </row>
    <row r="308" spans="1:7" s="2201" customFormat="1" ht="14.25" customHeight="1">
      <c r="A308" s="2336" t="s">
        <v>304</v>
      </c>
      <c r="B308" s="2336" t="s">
        <v>3023</v>
      </c>
      <c r="C308" s="2994">
        <v>5620</v>
      </c>
      <c r="D308" s="2994">
        <v>5580</v>
      </c>
      <c r="E308" s="2994">
        <v>6540</v>
      </c>
      <c r="F308" s="2994">
        <v>910</v>
      </c>
      <c r="G308" s="2998">
        <v>3370</v>
      </c>
    </row>
    <row r="309" spans="1:7" s="2201" customFormat="1" ht="14.25" customHeight="1">
      <c r="A309" s="2336" t="s">
        <v>304</v>
      </c>
      <c r="B309" s="2336" t="s">
        <v>3024</v>
      </c>
      <c r="C309" s="2994">
        <v>5060</v>
      </c>
      <c r="D309" s="2994">
        <v>5020</v>
      </c>
      <c r="E309" s="2994">
        <v>6370</v>
      </c>
      <c r="F309" s="2994">
        <v>800</v>
      </c>
      <c r="G309" s="2998">
        <v>3020</v>
      </c>
    </row>
    <row r="310" spans="1:7" s="2201" customFormat="1" ht="14.25" customHeight="1">
      <c r="A310" s="2336" t="s">
        <v>304</v>
      </c>
      <c r="B310" s="2336" t="s">
        <v>2873</v>
      </c>
      <c r="C310" s="2994">
        <v>5150</v>
      </c>
      <c r="D310" s="2994">
        <v>5110</v>
      </c>
      <c r="E310" s="2994">
        <v>6500</v>
      </c>
      <c r="F310" s="2994">
        <v>880</v>
      </c>
      <c r="G310" s="2998">
        <v>3080</v>
      </c>
    </row>
    <row r="311" spans="1:7" s="2201" customFormat="1" ht="14.25" customHeight="1">
      <c r="A311" s="2336" t="s">
        <v>304</v>
      </c>
      <c r="B311" s="2336" t="s">
        <v>3025</v>
      </c>
      <c r="C311" s="2994">
        <v>4750</v>
      </c>
      <c r="D311" s="2994">
        <v>4710</v>
      </c>
      <c r="E311" s="2994">
        <v>5510</v>
      </c>
      <c r="F311" s="2994">
        <v>880</v>
      </c>
      <c r="G311" s="2998">
        <v>2840</v>
      </c>
    </row>
    <row r="312" spans="1:7" s="2201" customFormat="1" ht="14.25" customHeight="1">
      <c r="A312" s="2336" t="s">
        <v>304</v>
      </c>
      <c r="B312" s="2336" t="s">
        <v>2883</v>
      </c>
      <c r="C312" s="2994">
        <v>4690</v>
      </c>
      <c r="D312" s="2994">
        <v>4640</v>
      </c>
      <c r="E312" s="2994">
        <v>5420</v>
      </c>
      <c r="F312" s="2994">
        <v>800</v>
      </c>
      <c r="G312" s="2998">
        <v>2800</v>
      </c>
    </row>
    <row r="313" spans="1:7" s="2201" customFormat="1" ht="14.25" customHeight="1">
      <c r="A313" s="2336" t="s">
        <v>304</v>
      </c>
      <c r="B313" s="2336" t="s">
        <v>2888</v>
      </c>
      <c r="C313" s="2994">
        <v>4810</v>
      </c>
      <c r="D313" s="2994">
        <v>4760</v>
      </c>
      <c r="E313" s="2994">
        <v>5550</v>
      </c>
      <c r="F313" s="2994">
        <v>920</v>
      </c>
      <c r="G313" s="2998">
        <v>2870</v>
      </c>
    </row>
    <row r="314" spans="1:7" s="2201" customFormat="1" ht="14.25" customHeight="1">
      <c r="A314" s="2336" t="s">
        <v>304</v>
      </c>
      <c r="B314" s="2336" t="s">
        <v>3026</v>
      </c>
      <c r="C314" s="2994"/>
      <c r="D314" s="2994"/>
      <c r="E314" s="2994"/>
      <c r="F314" s="2994">
        <v>1020</v>
      </c>
      <c r="G314" s="2998"/>
    </row>
    <row r="315" spans="1:7" s="2201" customFormat="1" ht="14.25" customHeight="1">
      <c r="A315" s="2336" t="s">
        <v>304</v>
      </c>
      <c r="B315" s="2336" t="s">
        <v>3027</v>
      </c>
      <c r="C315" s="2994"/>
      <c r="D315" s="2994"/>
      <c r="E315" s="2994"/>
      <c r="F315" s="2994">
        <v>1050</v>
      </c>
      <c r="G315" s="2998"/>
    </row>
    <row r="316" spans="1:7" s="2201" customFormat="1" ht="14.25" customHeight="1">
      <c r="A316" s="2336" t="s">
        <v>304</v>
      </c>
      <c r="B316" s="2336" t="s">
        <v>2903</v>
      </c>
      <c r="C316" s="2994"/>
      <c r="D316" s="2994"/>
      <c r="E316" s="2994"/>
      <c r="F316" s="2994">
        <v>900</v>
      </c>
      <c r="G316" s="2998"/>
    </row>
    <row r="317" spans="1:7" s="2201" customFormat="1" ht="14.25" customHeight="1">
      <c r="A317" s="2336" t="s">
        <v>304</v>
      </c>
      <c r="B317" s="2336" t="s">
        <v>3028</v>
      </c>
      <c r="C317" s="2994"/>
      <c r="D317" s="2994"/>
      <c r="E317" s="2994"/>
      <c r="F317" s="2994">
        <v>920</v>
      </c>
      <c r="G317" s="2998"/>
    </row>
    <row r="318" spans="1:7" s="2201" customFormat="1" ht="14.25" customHeight="1">
      <c r="A318" s="2336" t="s">
        <v>304</v>
      </c>
      <c r="B318" s="2336" t="s">
        <v>3029</v>
      </c>
      <c r="C318" s="2994"/>
      <c r="D318" s="2994"/>
      <c r="E318" s="2994"/>
      <c r="F318" s="2994">
        <v>1080</v>
      </c>
      <c r="G318" s="2998"/>
    </row>
    <row r="319" spans="1:7" s="2201" customFormat="1" ht="14.25" customHeight="1">
      <c r="A319" s="2336" t="s">
        <v>304</v>
      </c>
      <c r="B319" s="2336" t="s">
        <v>2916</v>
      </c>
      <c r="C319" s="2994"/>
      <c r="D319" s="2994"/>
      <c r="E319" s="2994"/>
      <c r="F319" s="2994">
        <v>1020</v>
      </c>
      <c r="G319" s="2998"/>
    </row>
    <row r="320" spans="1:7" s="2201" customFormat="1" ht="14.25" customHeight="1">
      <c r="A320" s="2336" t="s">
        <v>304</v>
      </c>
      <c r="B320" s="2336" t="s">
        <v>2919</v>
      </c>
      <c r="C320" s="2994"/>
      <c r="D320" s="2994"/>
      <c r="E320" s="2994"/>
      <c r="F320" s="2994">
        <v>1050</v>
      </c>
      <c r="G320" s="2998"/>
    </row>
    <row r="321" spans="1:7" s="2201" customFormat="1" ht="14.25" customHeight="1">
      <c r="A321" s="2336" t="s">
        <v>304</v>
      </c>
      <c r="B321" s="2336" t="s">
        <v>2921</v>
      </c>
      <c r="C321" s="2994"/>
      <c r="D321" s="2994"/>
      <c r="E321" s="2994"/>
      <c r="F321" s="2994">
        <v>960</v>
      </c>
      <c r="G321" s="2998"/>
    </row>
    <row r="322" spans="1:7" s="2201" customFormat="1" ht="14.25" customHeight="1">
      <c r="A322" s="2336" t="s">
        <v>304</v>
      </c>
      <c r="B322" s="2336" t="s">
        <v>2923</v>
      </c>
      <c r="C322" s="2994"/>
      <c r="D322" s="2994"/>
      <c r="E322" s="2994"/>
      <c r="F322" s="2994">
        <v>960</v>
      </c>
      <c r="G322" s="2998"/>
    </row>
    <row r="323" spans="1:7" s="2201" customFormat="1" ht="14.25" customHeight="1">
      <c r="A323" s="2336" t="s">
        <v>304</v>
      </c>
      <c r="B323" s="2336" t="s">
        <v>2925</v>
      </c>
      <c r="C323" s="2994"/>
      <c r="D323" s="2994"/>
      <c r="E323" s="2994"/>
      <c r="F323" s="2994">
        <v>880</v>
      </c>
      <c r="G323" s="2998"/>
    </row>
    <row r="324" spans="1:7" s="2201" customFormat="1" ht="14.25" customHeight="1">
      <c r="A324" s="2336" t="s">
        <v>304</v>
      </c>
      <c r="B324" s="2336" t="s">
        <v>2927</v>
      </c>
      <c r="C324" s="2994"/>
      <c r="D324" s="2994"/>
      <c r="E324" s="2994"/>
      <c r="F324" s="2994">
        <v>930</v>
      </c>
      <c r="G324" s="2998"/>
    </row>
    <row r="325" spans="1:7" s="2201" customFormat="1" ht="14.25" customHeight="1">
      <c r="A325" s="2336" t="s">
        <v>304</v>
      </c>
      <c r="B325" s="2337" t="s">
        <v>2929</v>
      </c>
      <c r="C325" s="2994"/>
      <c r="D325" s="2994"/>
      <c r="E325" s="2994"/>
      <c r="F325" s="2994">
        <v>900</v>
      </c>
      <c r="G325" s="2998"/>
    </row>
    <row r="326" spans="1:7" s="2201" customFormat="1" ht="14.25" customHeight="1" thickBot="1">
      <c r="A326" s="2348" t="s">
        <v>304</v>
      </c>
      <c r="B326" s="2343" t="s">
        <v>2931</v>
      </c>
      <c r="C326" s="2995"/>
      <c r="D326" s="2995"/>
      <c r="E326" s="2995"/>
      <c r="F326" s="2995">
        <v>790</v>
      </c>
      <c r="G326" s="2999"/>
    </row>
    <row r="327" spans="1:7" s="2201" customFormat="1" ht="14.25" customHeight="1">
      <c r="A327" s="2341" t="s">
        <v>305</v>
      </c>
      <c r="B327" s="2332" t="s">
        <v>3030</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3031</v>
      </c>
      <c r="C329" s="2994">
        <v>2730</v>
      </c>
      <c r="D329" s="2994">
        <v>2690</v>
      </c>
      <c r="E329" s="2994">
        <v>3100</v>
      </c>
      <c r="F329" s="2994">
        <v>660</v>
      </c>
      <c r="G329" s="2994">
        <v>1610</v>
      </c>
    </row>
    <row r="330" spans="1:7" s="2201" customFormat="1" ht="14.25" customHeight="1">
      <c r="A330" s="2336" t="s">
        <v>305</v>
      </c>
      <c r="B330" s="2336" t="s">
        <v>3032</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2765</v>
      </c>
      <c r="C332" s="2994">
        <v>3520</v>
      </c>
      <c r="D332" s="2994">
        <v>3480</v>
      </c>
      <c r="E332" s="2994">
        <v>3830</v>
      </c>
      <c r="F332" s="2994">
        <v>720</v>
      </c>
      <c r="G332" s="2994">
        <v>2090</v>
      </c>
    </row>
    <row r="333" spans="1:7" s="2201" customFormat="1" ht="14.25" customHeight="1">
      <c r="A333" s="2336" t="s">
        <v>305</v>
      </c>
      <c r="B333" s="2336" t="s">
        <v>3033</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2775</v>
      </c>
      <c r="C336" s="2994">
        <v>3570</v>
      </c>
      <c r="D336" s="2994">
        <v>3530</v>
      </c>
      <c r="E336" s="2994">
        <v>3880</v>
      </c>
      <c r="F336" s="2994">
        <v>770</v>
      </c>
      <c r="G336" s="2994">
        <v>2110</v>
      </c>
    </row>
    <row r="337" spans="1:10" s="2201" customFormat="1" ht="14.25" customHeight="1">
      <c r="A337" s="2336" t="s">
        <v>305</v>
      </c>
      <c r="B337" s="2336" t="s">
        <v>3034</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3035</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3036</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2800</v>
      </c>
      <c r="C345" s="2994">
        <v>3190</v>
      </c>
      <c r="D345" s="2994">
        <v>3140</v>
      </c>
      <c r="E345" s="2994">
        <v>3450</v>
      </c>
      <c r="F345" s="2994">
        <v>720</v>
      </c>
      <c r="G345" s="2994">
        <v>1880</v>
      </c>
      <c r="J345" s="2201"/>
    </row>
    <row r="346" spans="1:10">
      <c r="A346" s="2336" t="s">
        <v>305</v>
      </c>
      <c r="B346" s="2336" t="s">
        <v>3037</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2809</v>
      </c>
      <c r="C348" s="2994">
        <v>4000</v>
      </c>
      <c r="D348" s="2994">
        <v>3950</v>
      </c>
      <c r="E348" s="2994">
        <v>4430</v>
      </c>
      <c r="F348" s="2994">
        <v>760</v>
      </c>
      <c r="G348" s="2994">
        <v>2360</v>
      </c>
      <c r="J348" s="2201"/>
    </row>
    <row r="349" spans="1:10">
      <c r="A349" s="2336" t="s">
        <v>305</v>
      </c>
      <c r="B349" s="2336" t="s">
        <v>2814</v>
      </c>
      <c r="C349" s="2994">
        <v>3820</v>
      </c>
      <c r="D349" s="2994">
        <v>3780</v>
      </c>
      <c r="E349" s="2994">
        <v>4170</v>
      </c>
      <c r="F349" s="2994">
        <v>710</v>
      </c>
      <c r="G349" s="2994">
        <v>2260</v>
      </c>
      <c r="J349" s="2201"/>
    </row>
    <row r="350" spans="1:10">
      <c r="A350" s="2336" t="s">
        <v>305</v>
      </c>
      <c r="B350" s="2336" t="s">
        <v>3038</v>
      </c>
      <c r="C350" s="2994">
        <v>3760</v>
      </c>
      <c r="D350" s="2994">
        <v>3730</v>
      </c>
      <c r="E350" s="2994">
        <v>4100</v>
      </c>
      <c r="F350" s="2994">
        <v>800</v>
      </c>
      <c r="G350" s="2994">
        <v>2230</v>
      </c>
      <c r="J350" s="2201"/>
    </row>
    <row r="351" spans="1:10">
      <c r="A351" s="2336" t="s">
        <v>305</v>
      </c>
      <c r="B351" s="2336" t="s">
        <v>2822</v>
      </c>
      <c r="C351" s="2994">
        <v>3610</v>
      </c>
      <c r="D351" s="2994">
        <v>3580</v>
      </c>
      <c r="E351" s="2994">
        <v>3930</v>
      </c>
      <c r="F351" s="2994">
        <v>700</v>
      </c>
      <c r="G351" s="2994">
        <v>2140</v>
      </c>
      <c r="J351" s="2201"/>
    </row>
    <row r="352" spans="1:10">
      <c r="A352" s="2336" t="s">
        <v>305</v>
      </c>
      <c r="B352" s="2336" t="s">
        <v>2827</v>
      </c>
      <c r="C352" s="2994">
        <v>3670</v>
      </c>
      <c r="D352" s="2994">
        <v>3630</v>
      </c>
      <c r="E352" s="2994">
        <v>4000</v>
      </c>
      <c r="F352" s="2994">
        <v>750</v>
      </c>
      <c r="G352" s="2994">
        <v>2180</v>
      </c>
    </row>
    <row r="353" spans="1:7" s="2202" customFormat="1">
      <c r="A353" s="2336" t="s">
        <v>305</v>
      </c>
      <c r="B353" s="2336" t="s">
        <v>3039</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2847</v>
      </c>
      <c r="C355" s="2994">
        <v>3650</v>
      </c>
      <c r="D355" s="2994">
        <v>3610</v>
      </c>
      <c r="E355" s="2994">
        <v>4200</v>
      </c>
      <c r="F355" s="2994">
        <v>640</v>
      </c>
      <c r="G355" s="2994">
        <v>2160</v>
      </c>
    </row>
    <row r="356" spans="1:7" s="2202" customFormat="1">
      <c r="A356" s="2336" t="s">
        <v>305</v>
      </c>
      <c r="B356" s="2336" t="s">
        <v>2854</v>
      </c>
      <c r="C356" s="2994">
        <v>3260</v>
      </c>
      <c r="D356" s="2994">
        <v>3230</v>
      </c>
      <c r="E356" s="2994">
        <v>3740</v>
      </c>
      <c r="F356" s="2994">
        <v>600</v>
      </c>
      <c r="G356" s="2994">
        <v>1930</v>
      </c>
    </row>
    <row r="357" spans="1:7" s="2202" customFormat="1" ht="12" thickBot="1">
      <c r="A357" s="2344" t="s">
        <v>305</v>
      </c>
      <c r="B357" s="2347" t="s">
        <v>3040</v>
      </c>
      <c r="C357" s="2996">
        <v>3690</v>
      </c>
      <c r="D357" s="2996">
        <v>3650</v>
      </c>
      <c r="E357" s="2996">
        <v>4020</v>
      </c>
      <c r="F357" s="2996">
        <v>700</v>
      </c>
      <c r="G357" s="2996">
        <v>2190</v>
      </c>
    </row>
    <row r="358" spans="1:7" s="2202" customFormat="1">
      <c r="A358" s="2341" t="s">
        <v>3041</v>
      </c>
      <c r="B358" s="2332" t="s">
        <v>3042</v>
      </c>
      <c r="C358" s="2993">
        <v>2080</v>
      </c>
      <c r="D358" s="2993">
        <v>2040</v>
      </c>
      <c r="E358" s="2993">
        <v>2010</v>
      </c>
      <c r="F358" s="2993">
        <v>530</v>
      </c>
      <c r="G358" s="2997">
        <v>1230</v>
      </c>
    </row>
    <row r="359" spans="1:7" s="2202" customFormat="1">
      <c r="A359" s="2336" t="s">
        <v>3041</v>
      </c>
      <c r="B359" s="2336" t="s">
        <v>3043</v>
      </c>
      <c r="C359" s="2994">
        <v>1850</v>
      </c>
      <c r="D359" s="2994">
        <v>1820</v>
      </c>
      <c r="E359" s="2994">
        <v>1780</v>
      </c>
      <c r="F359" s="2994">
        <v>520</v>
      </c>
      <c r="G359" s="2998">
        <v>1100</v>
      </c>
    </row>
    <row r="360" spans="1:7" s="2202" customFormat="1">
      <c r="A360" s="2336" t="s">
        <v>3041</v>
      </c>
      <c r="B360" s="2336" t="s">
        <v>3044</v>
      </c>
      <c r="C360" s="2994">
        <v>2020</v>
      </c>
      <c r="D360" s="2994">
        <v>1990</v>
      </c>
      <c r="E360" s="2994">
        <v>1950</v>
      </c>
      <c r="F360" s="2994">
        <v>500</v>
      </c>
      <c r="G360" s="2998">
        <v>1200</v>
      </c>
    </row>
    <row r="361" spans="1:7" s="2202" customFormat="1">
      <c r="A361" s="2336" t="s">
        <v>3041</v>
      </c>
      <c r="B361" s="2336" t="s">
        <v>151</v>
      </c>
      <c r="C361" s="2994">
        <v>2260</v>
      </c>
      <c r="D361" s="2994">
        <v>2220</v>
      </c>
      <c r="E361" s="2994">
        <v>2180</v>
      </c>
      <c r="F361" s="2994">
        <v>580</v>
      </c>
      <c r="G361" s="2998">
        <v>1340</v>
      </c>
    </row>
    <row r="362" spans="1:7" s="2202" customFormat="1">
      <c r="A362" s="2336" t="s">
        <v>3041</v>
      </c>
      <c r="B362" s="2336" t="s">
        <v>3045</v>
      </c>
      <c r="C362" s="2994">
        <v>2650</v>
      </c>
      <c r="D362" s="2994">
        <v>2610</v>
      </c>
      <c r="E362" s="2994">
        <v>2570</v>
      </c>
      <c r="F362" s="2994">
        <v>630</v>
      </c>
      <c r="G362" s="2998">
        <v>1570</v>
      </c>
    </row>
    <row r="363" spans="1:7" s="2202" customFormat="1">
      <c r="A363" s="2336" t="s">
        <v>3041</v>
      </c>
      <c r="B363" s="2336" t="s">
        <v>2766</v>
      </c>
      <c r="C363" s="2994">
        <v>2390</v>
      </c>
      <c r="D363" s="2994">
        <v>2360</v>
      </c>
      <c r="E363" s="2994">
        <v>2320</v>
      </c>
      <c r="F363" s="2994">
        <v>600</v>
      </c>
      <c r="G363" s="2998">
        <v>1420</v>
      </c>
    </row>
    <row r="364" spans="1:7" s="2202" customFormat="1">
      <c r="A364" s="2336" t="s">
        <v>3041</v>
      </c>
      <c r="B364" s="2336" t="s">
        <v>3046</v>
      </c>
      <c r="C364" s="2994">
        <v>2050</v>
      </c>
      <c r="D364" s="2994">
        <v>2030</v>
      </c>
      <c r="E364" s="2994">
        <v>1990</v>
      </c>
      <c r="F364" s="2994">
        <v>550</v>
      </c>
      <c r="G364" s="2998">
        <v>1220</v>
      </c>
    </row>
    <row r="365" spans="1:7" s="2202" customFormat="1">
      <c r="A365" s="2336" t="s">
        <v>3041</v>
      </c>
      <c r="B365" s="2336" t="s">
        <v>198</v>
      </c>
      <c r="C365" s="2994">
        <v>2140</v>
      </c>
      <c r="D365" s="2994">
        <v>2100</v>
      </c>
      <c r="E365" s="2994">
        <v>2060</v>
      </c>
      <c r="F365" s="2994">
        <v>540</v>
      </c>
      <c r="G365" s="2998">
        <v>1270</v>
      </c>
    </row>
    <row r="366" spans="1:7" s="2202" customFormat="1">
      <c r="A366" s="2336" t="s">
        <v>3041</v>
      </c>
      <c r="B366" s="2336" t="s">
        <v>2773</v>
      </c>
      <c r="C366" s="2994">
        <v>2410</v>
      </c>
      <c r="D366" s="2994">
        <v>2370</v>
      </c>
      <c r="E366" s="2994">
        <v>2330</v>
      </c>
      <c r="F366" s="2994">
        <v>570</v>
      </c>
      <c r="G366" s="2998">
        <v>1440</v>
      </c>
    </row>
    <row r="367" spans="1:7" s="2202" customFormat="1">
      <c r="A367" s="2336" t="s">
        <v>3041</v>
      </c>
      <c r="B367" s="2336" t="s">
        <v>3047</v>
      </c>
      <c r="C367" s="2994">
        <v>2300</v>
      </c>
      <c r="D367" s="2994">
        <v>2260</v>
      </c>
      <c r="E367" s="2994">
        <v>2220</v>
      </c>
      <c r="F367" s="2994">
        <v>560</v>
      </c>
      <c r="G367" s="2998">
        <v>1370</v>
      </c>
    </row>
    <row r="368" spans="1:7" s="2202" customFormat="1">
      <c r="A368" s="2336" t="s">
        <v>3041</v>
      </c>
      <c r="B368" s="2336" t="s">
        <v>3048</v>
      </c>
      <c r="C368" s="2994">
        <v>2430</v>
      </c>
      <c r="D368" s="2994">
        <v>2390</v>
      </c>
      <c r="E368" s="2994">
        <v>2350</v>
      </c>
      <c r="F368" s="2994">
        <v>570</v>
      </c>
      <c r="G368" s="2998">
        <v>1450</v>
      </c>
    </row>
    <row r="369" spans="1:7" s="2202" customFormat="1">
      <c r="A369" s="2336" t="s">
        <v>3041</v>
      </c>
      <c r="B369" s="2336" t="s">
        <v>212</v>
      </c>
      <c r="C369" s="2994">
        <v>2320</v>
      </c>
      <c r="D369" s="2994">
        <v>2290</v>
      </c>
      <c r="E369" s="2994">
        <v>2250</v>
      </c>
      <c r="F369" s="2994">
        <v>550</v>
      </c>
      <c r="G369" s="2998">
        <v>1380</v>
      </c>
    </row>
    <row r="370" spans="1:7" s="2202" customFormat="1">
      <c r="A370" s="2336" t="s">
        <v>3041</v>
      </c>
      <c r="B370" s="2336" t="s">
        <v>219</v>
      </c>
      <c r="C370" s="2994">
        <v>2190</v>
      </c>
      <c r="D370" s="2994">
        <v>2170</v>
      </c>
      <c r="E370" s="2994">
        <v>2130</v>
      </c>
      <c r="F370" s="2994">
        <v>530</v>
      </c>
      <c r="G370" s="2998">
        <v>1310</v>
      </c>
    </row>
    <row r="371" spans="1:7" s="2202" customFormat="1">
      <c r="A371" s="2336" t="s">
        <v>3041</v>
      </c>
      <c r="B371" s="2336" t="s">
        <v>227</v>
      </c>
      <c r="C371" s="2994">
        <v>2460</v>
      </c>
      <c r="D371" s="2994">
        <v>2420</v>
      </c>
      <c r="E371" s="2994">
        <v>2370</v>
      </c>
      <c r="F371" s="2994">
        <v>560</v>
      </c>
      <c r="G371" s="2998">
        <v>1470</v>
      </c>
    </row>
    <row r="372" spans="1:7" s="2202" customFormat="1">
      <c r="A372" s="2336" t="s">
        <v>3041</v>
      </c>
      <c r="B372" s="2336" t="s">
        <v>3049</v>
      </c>
      <c r="C372" s="2994">
        <v>2250</v>
      </c>
      <c r="D372" s="2994">
        <v>2210</v>
      </c>
      <c r="E372" s="2994">
        <v>2180</v>
      </c>
      <c r="F372" s="2994">
        <v>550</v>
      </c>
      <c r="G372" s="2998">
        <v>1340</v>
      </c>
    </row>
    <row r="373" spans="1:7" s="2202" customFormat="1">
      <c r="A373" s="2336" t="s">
        <v>3041</v>
      </c>
      <c r="B373" s="2336" t="s">
        <v>256</v>
      </c>
      <c r="C373" s="2994">
        <v>2210</v>
      </c>
      <c r="D373" s="2994">
        <v>2190</v>
      </c>
      <c r="E373" s="2994">
        <v>2150</v>
      </c>
      <c r="F373" s="2994">
        <v>530</v>
      </c>
      <c r="G373" s="2998">
        <v>1320</v>
      </c>
    </row>
    <row r="374" spans="1:7" s="2202" customFormat="1">
      <c r="A374" s="2336" t="s">
        <v>3041</v>
      </c>
      <c r="B374" s="2336" t="s">
        <v>264</v>
      </c>
      <c r="C374" s="2994">
        <v>2320</v>
      </c>
      <c r="D374" s="2994">
        <v>2280</v>
      </c>
      <c r="E374" s="2994">
        <v>2230</v>
      </c>
      <c r="F374" s="2994">
        <v>580</v>
      </c>
      <c r="G374" s="2998">
        <v>1380</v>
      </c>
    </row>
    <row r="375" spans="1:7" s="2202" customFormat="1">
      <c r="A375" s="2336" t="s">
        <v>3041</v>
      </c>
      <c r="B375" s="2336" t="s">
        <v>3050</v>
      </c>
      <c r="C375" s="2994">
        <v>2090</v>
      </c>
      <c r="D375" s="2994">
        <v>2050</v>
      </c>
      <c r="E375" s="2994">
        <v>2020</v>
      </c>
      <c r="F375" s="2994">
        <v>520</v>
      </c>
      <c r="G375" s="2998">
        <v>1240</v>
      </c>
    </row>
    <row r="376" spans="1:7" s="2202" customFormat="1">
      <c r="A376" s="2336" t="s">
        <v>3041</v>
      </c>
      <c r="B376" s="2336" t="s">
        <v>275</v>
      </c>
      <c r="C376" s="2994">
        <v>2010</v>
      </c>
      <c r="D376" s="2994">
        <v>1980</v>
      </c>
      <c r="E376" s="2994">
        <v>1940</v>
      </c>
      <c r="F376" s="2994">
        <v>540</v>
      </c>
      <c r="G376" s="2998">
        <v>1190</v>
      </c>
    </row>
    <row r="377" spans="1:7" s="2202" customFormat="1" ht="12" thickBot="1">
      <c r="A377" s="2344" t="s">
        <v>3041</v>
      </c>
      <c r="B377" s="2347" t="s">
        <v>2803</v>
      </c>
      <c r="C377" s="2996">
        <v>1930</v>
      </c>
      <c r="D377" s="2996">
        <v>1890</v>
      </c>
      <c r="E377" s="2996">
        <v>1860</v>
      </c>
      <c r="F377" s="2996">
        <v>530</v>
      </c>
      <c r="G377" s="3000">
        <v>1150</v>
      </c>
    </row>
    <row r="378" spans="1:7" s="2202" customFormat="1">
      <c r="A378" s="2349" t="s">
        <v>3051</v>
      </c>
      <c r="B378" s="2332" t="s">
        <v>3052</v>
      </c>
      <c r="C378" s="2993">
        <v>1520</v>
      </c>
      <c r="D378" s="2993">
        <v>1490</v>
      </c>
      <c r="E378" s="2993">
        <v>1460</v>
      </c>
      <c r="F378" s="2993">
        <v>460</v>
      </c>
      <c r="G378" s="2997">
        <v>940</v>
      </c>
    </row>
    <row r="379" spans="1:7" s="2202" customFormat="1">
      <c r="A379" s="2350" t="s">
        <v>3051</v>
      </c>
      <c r="B379" s="2336" t="s">
        <v>3053</v>
      </c>
      <c r="C379" s="2994">
        <v>1500</v>
      </c>
      <c r="D379" s="2994">
        <v>1470</v>
      </c>
      <c r="E379" s="2994">
        <v>1430</v>
      </c>
      <c r="F379" s="2994">
        <v>460</v>
      </c>
      <c r="G379" s="2998">
        <v>920</v>
      </c>
    </row>
    <row r="380" spans="1:7" s="2202" customFormat="1">
      <c r="A380" s="2350" t="s">
        <v>3051</v>
      </c>
      <c r="B380" s="2336" t="s">
        <v>3054</v>
      </c>
      <c r="C380" s="2994">
        <v>1620</v>
      </c>
      <c r="D380" s="2994">
        <v>1590</v>
      </c>
      <c r="E380" s="2994">
        <v>1560</v>
      </c>
      <c r="F380" s="2994">
        <v>480</v>
      </c>
      <c r="G380" s="2998">
        <v>1000</v>
      </c>
    </row>
    <row r="381" spans="1:7" s="2202" customFormat="1">
      <c r="A381" s="2350" t="s">
        <v>3051</v>
      </c>
      <c r="B381" s="2336" t="s">
        <v>3055</v>
      </c>
      <c r="C381" s="2994">
        <v>1460</v>
      </c>
      <c r="D381" s="2994">
        <v>1430</v>
      </c>
      <c r="E381" s="2994">
        <v>1390</v>
      </c>
      <c r="F381" s="2994">
        <v>450</v>
      </c>
      <c r="G381" s="2998">
        <v>900</v>
      </c>
    </row>
    <row r="382" spans="1:7" s="2202" customFormat="1">
      <c r="A382" s="2350" t="s">
        <v>3051</v>
      </c>
      <c r="B382" s="2336" t="s">
        <v>3056</v>
      </c>
      <c r="C382" s="2994">
        <v>1310</v>
      </c>
      <c r="D382" s="2994">
        <v>1280</v>
      </c>
      <c r="E382" s="2994">
        <v>1250</v>
      </c>
      <c r="F382" s="2994">
        <v>440</v>
      </c>
      <c r="G382" s="2998">
        <v>800</v>
      </c>
    </row>
    <row r="383" spans="1:7" s="2202" customFormat="1">
      <c r="A383" s="2350" t="s">
        <v>3051</v>
      </c>
      <c r="B383" s="2336" t="s">
        <v>3057</v>
      </c>
      <c r="C383" s="2994">
        <v>1260</v>
      </c>
      <c r="D383" s="2994">
        <v>1230</v>
      </c>
      <c r="E383" s="2994">
        <v>1200</v>
      </c>
      <c r="F383" s="2994">
        <v>420</v>
      </c>
      <c r="G383" s="2998">
        <v>770</v>
      </c>
    </row>
    <row r="384" spans="1:7" s="2202" customFormat="1" ht="12" thickBot="1">
      <c r="A384" s="2351" t="s">
        <v>3051</v>
      </c>
      <c r="B384" s="2343" t="s">
        <v>3058</v>
      </c>
      <c r="C384" s="2995">
        <v>1170</v>
      </c>
      <c r="D384" s="2995">
        <v>1140</v>
      </c>
      <c r="E384" s="2995">
        <v>1120</v>
      </c>
      <c r="F384" s="2995">
        <v>400</v>
      </c>
      <c r="G384" s="299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25" sqref="I25"/>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46105</v>
      </c>
      <c r="D1" s="874" t="s">
        <v>597</v>
      </c>
      <c r="E1" s="3001">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2193</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5" t="s">
        <v>931</v>
      </c>
      <c r="B1" s="4295"/>
      <c r="C1" s="4295"/>
      <c r="D1" s="4295"/>
    </row>
    <row r="2" spans="1:4" ht="18">
      <c r="A2" s="4296" t="s">
        <v>915</v>
      </c>
      <c r="B2" s="4296"/>
      <c r="C2" s="4296"/>
      <c r="D2" s="4296"/>
    </row>
    <row r="3" spans="1:4" ht="18.75">
      <c r="A3" s="1051" t="s">
        <v>916</v>
      </c>
      <c r="B3" s="1051" t="s">
        <v>917</v>
      </c>
      <c r="C3" s="1051" t="s">
        <v>918</v>
      </c>
      <c r="D3" s="1051" t="s">
        <v>919</v>
      </c>
    </row>
    <row r="4" spans="1:4" ht="56.25" customHeight="1">
      <c r="A4" s="1052">
        <f>项目基本情况!B4</f>
        <v>0</v>
      </c>
      <c r="B4" s="1053">
        <f>项目基本情况!C4</f>
        <v>0</v>
      </c>
      <c r="C4" s="1054"/>
      <c r="D4" s="1055" t="s">
        <v>920</v>
      </c>
    </row>
    <row r="5" spans="1:4" ht="56.25" customHeight="1">
      <c r="A5" s="1052">
        <f>项目基本情况!D4</f>
        <v>0</v>
      </c>
      <c r="B5" s="1053">
        <f>项目基本情况!E4</f>
        <v>0</v>
      </c>
      <c r="C5" s="1056"/>
      <c r="D5" s="1055" t="s">
        <v>920</v>
      </c>
    </row>
    <row r="6" spans="1:4" ht="18">
      <c r="A6" s="4296" t="s">
        <v>921</v>
      </c>
      <c r="B6" s="4296"/>
      <c r="C6" s="4296"/>
      <c r="D6" s="4296"/>
    </row>
    <row r="7" spans="1:4" ht="18.75">
      <c r="A7" s="1051" t="s">
        <v>916</v>
      </c>
      <c r="B7" s="1053" t="s">
        <v>922</v>
      </c>
      <c r="C7" s="1051" t="s">
        <v>918</v>
      </c>
      <c r="D7" s="1051" t="s">
        <v>919</v>
      </c>
    </row>
    <row r="8" spans="1:4" ht="56.25" customHeight="1">
      <c r="A8" s="1057" t="s">
        <v>384</v>
      </c>
      <c r="B8" s="1057" t="s">
        <v>0</v>
      </c>
      <c r="C8" s="1054"/>
      <c r="D8" s="1055" t="s">
        <v>920</v>
      </c>
    </row>
    <row r="10" spans="1:4" ht="18.75">
      <c r="A10" s="1058" t="s">
        <v>923</v>
      </c>
    </row>
    <row r="11" spans="1:4" ht="30" customHeight="1">
      <c r="A11" s="4297" t="s">
        <v>924</v>
      </c>
      <c r="B11" s="4298"/>
      <c r="C11" s="4298"/>
      <c r="D11" s="4298"/>
    </row>
    <row r="12" spans="1:4" ht="15.75">
      <c r="A12" s="42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9"/>
      <c r="C12" s="4299"/>
      <c r="D12" s="4299"/>
    </row>
    <row r="13" spans="1:4" ht="30" customHeight="1">
      <c r="A13" s="42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9"/>
      <c r="C13" s="4299"/>
      <c r="D13" s="4299"/>
    </row>
    <row r="14" spans="1:4" ht="15.75" customHeight="1">
      <c r="A14" s="4298" t="str">
        <f>IF(项目基本情况!B8="抵押","4.本次评估估价师所知悉的法定优先受偿款情况说明如下：","——")</f>
        <v>4.本次评估估价师所知悉的法定优先受偿款情况说明如下：</v>
      </c>
      <c r="B14" s="4299"/>
      <c r="C14" s="4299"/>
      <c r="D14" s="4299"/>
    </row>
    <row r="15" spans="1:4" ht="42" customHeight="1">
      <c r="A15" s="42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8"/>
      <c r="C15" s="4298"/>
      <c r="D15" s="4298"/>
    </row>
    <row r="16" spans="1:4" ht="30" customHeight="1">
      <c r="A16" s="4301" t="s">
        <v>925</v>
      </c>
      <c r="B16" s="4301"/>
      <c r="C16" s="4301"/>
      <c r="D16" s="4301"/>
    </row>
    <row r="17" spans="1:4" ht="144" customHeight="1">
      <c r="A17" s="4301" t="s">
        <v>926</v>
      </c>
      <c r="B17" s="4301"/>
      <c r="C17" s="4301"/>
      <c r="D17" s="4301"/>
    </row>
    <row r="18" spans="1:4" ht="15.75" customHeight="1">
      <c r="A18" s="4298" t="str">
        <f>IF(项目基本情况!B8="抵押",结果表!K120,"——")</f>
        <v>故，本次评估不存在估价师知悉的法定优先受偿款</v>
      </c>
      <c r="B18" s="4298"/>
      <c r="C18" s="4298"/>
      <c r="D18" s="4298"/>
    </row>
    <row r="19" spans="1:4" ht="46.5" customHeight="1">
      <c r="A19" s="42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8"/>
      <c r="C19" s="4298"/>
      <c r="D19" s="4298"/>
    </row>
    <row r="20" spans="1:4" ht="57.75" customHeight="1">
      <c r="A20" s="42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8"/>
      <c r="C20" s="4298"/>
      <c r="D20" s="4298"/>
    </row>
    <row r="21" spans="1:4" ht="57.75" customHeight="1">
      <c r="A21" s="4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2"/>
      <c r="C21" s="4302"/>
      <c r="D21" s="4302"/>
    </row>
    <row r="22" spans="1:4" ht="18.75" customHeight="1">
      <c r="A22" s="4303" t="s">
        <v>927</v>
      </c>
      <c r="B22" s="4303"/>
      <c r="C22" s="4303"/>
      <c r="D22" s="4303"/>
    </row>
    <row r="23" spans="1:4">
      <c r="A23" s="1059"/>
      <c r="B23" s="1032"/>
      <c r="C23" s="1032"/>
      <c r="D23" s="1032"/>
    </row>
    <row r="24" spans="1:4">
      <c r="A24" s="1059"/>
      <c r="B24" s="1032"/>
      <c r="C24" s="1032"/>
      <c r="D24" s="1032"/>
    </row>
    <row r="25" spans="1:4" ht="18.75">
      <c r="A25" s="1060" t="s">
        <v>928</v>
      </c>
    </row>
    <row r="26" spans="1:4" ht="18">
      <c r="A26" s="1030"/>
    </row>
    <row r="27" spans="1:4" ht="18.75">
      <c r="A27" s="1030" t="s">
        <v>929</v>
      </c>
    </row>
    <row r="30" spans="1:4" ht="18.75">
      <c r="D30" s="1060" t="s">
        <v>930</v>
      </c>
    </row>
    <row r="31" spans="1:4" ht="13.5" customHeight="1">
      <c r="C31" s="4300">
        <v>42551</v>
      </c>
      <c r="D31" s="430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932</v>
      </c>
    </row>
    <row r="3" spans="1:7">
      <c r="A3" s="1064" t="s">
        <v>53</v>
      </c>
      <c r="B3" s="1049" t="s">
        <v>933</v>
      </c>
      <c r="G3" s="1065"/>
    </row>
    <row r="4" spans="1:7">
      <c r="G4" s="1065"/>
    </row>
    <row r="5" spans="1:7">
      <c r="A5" s="1067" t="s">
        <v>44</v>
      </c>
      <c r="B5" s="1049" t="s">
        <v>934</v>
      </c>
      <c r="G5" s="1065"/>
    </row>
    <row r="6" spans="1:7">
      <c r="G6" s="1065"/>
    </row>
    <row r="7" spans="1:7">
      <c r="A7" s="1068" t="s">
        <v>106</v>
      </c>
      <c r="B7" s="1049" t="s">
        <v>935</v>
      </c>
      <c r="G7" s="1065"/>
    </row>
    <row r="8" spans="1:7">
      <c r="G8" s="1065"/>
    </row>
    <row r="9" spans="1:7">
      <c r="A9" s="1069" t="s">
        <v>45</v>
      </c>
      <c r="B9" s="1049" t="s">
        <v>936</v>
      </c>
    </row>
    <row r="11" spans="1:7">
      <c r="A11" s="1070" t="s">
        <v>46</v>
      </c>
      <c r="B11" s="1071" t="s">
        <v>43</v>
      </c>
    </row>
    <row r="13" spans="1:7">
      <c r="A13" s="1072" t="s">
        <v>937</v>
      </c>
    </row>
    <row r="15" spans="1:7" ht="13.5">
      <c r="A15" s="4309" t="s">
        <v>938</v>
      </c>
      <c r="B15" s="4304" t="s">
        <v>107</v>
      </c>
      <c r="C15" s="4305"/>
    </row>
    <row r="16" spans="1:7" ht="13.5">
      <c r="A16" s="4310"/>
      <c r="B16" s="4304" t="s">
        <v>40</v>
      </c>
      <c r="C16" s="4305"/>
    </row>
    <row r="17" spans="1:3" ht="13.5">
      <c r="A17" s="4310"/>
      <c r="B17" s="4307" t="s">
        <v>939</v>
      </c>
      <c r="C17" s="1073" t="s">
        <v>938</v>
      </c>
    </row>
    <row r="18" spans="1:3" ht="13.5">
      <c r="A18" s="4310"/>
      <c r="B18" s="4307"/>
      <c r="C18" s="1073" t="s">
        <v>940</v>
      </c>
    </row>
    <row r="19" spans="1:3" ht="13.5">
      <c r="A19" s="4310"/>
      <c r="B19" s="4307"/>
      <c r="C19" s="1073" t="s">
        <v>941</v>
      </c>
    </row>
    <row r="20" spans="1:3" ht="13.5">
      <c r="A20" s="4311"/>
      <c r="B20" s="4306" t="s">
        <v>942</v>
      </c>
      <c r="C20" s="4305"/>
    </row>
    <row r="21" spans="1:3" ht="13.5">
      <c r="A21" s="1074" t="s">
        <v>943</v>
      </c>
      <c r="B21" s="1075"/>
      <c r="C21" s="1076"/>
    </row>
    <row r="22" spans="1:3" ht="13.5">
      <c r="A22" s="4308" t="s">
        <v>944</v>
      </c>
      <c r="B22" s="4306" t="s">
        <v>945</v>
      </c>
      <c r="C22" s="4305"/>
    </row>
    <row r="23" spans="1:3" ht="13.5">
      <c r="A23" s="4308"/>
      <c r="B23" s="4306" t="s">
        <v>946</v>
      </c>
      <c r="C23" s="4305"/>
    </row>
    <row r="24" spans="1:3" ht="13.5">
      <c r="A24" s="4308"/>
      <c r="B24" s="4306" t="s">
        <v>947</v>
      </c>
      <c r="C24" s="4305"/>
    </row>
    <row r="25" spans="1:3" ht="13.5">
      <c r="A25" s="4308"/>
      <c r="B25" s="4307" t="s">
        <v>948</v>
      </c>
      <c r="C25" s="1073" t="s">
        <v>949</v>
      </c>
    </row>
    <row r="26" spans="1:3" ht="13.5">
      <c r="A26" s="4308"/>
      <c r="B26" s="4307"/>
      <c r="C26" s="1073" t="s">
        <v>950</v>
      </c>
    </row>
    <row r="27" spans="1:3" ht="13.5">
      <c r="A27" s="4308"/>
      <c r="B27" s="4307"/>
      <c r="C27" s="1073" t="s">
        <v>951</v>
      </c>
    </row>
    <row r="28" spans="1:3" ht="13.5">
      <c r="A28" s="4308"/>
      <c r="B28" s="4307"/>
      <c r="C28" s="1073" t="s">
        <v>952</v>
      </c>
    </row>
    <row r="29" spans="1:3" ht="13.5">
      <c r="A29" s="4308"/>
      <c r="B29" s="4307"/>
      <c r="C29" s="1073" t="s">
        <v>953</v>
      </c>
    </row>
    <row r="30" spans="1:3" ht="13.5">
      <c r="A30" s="4308"/>
      <c r="B30" s="4307"/>
      <c r="C30" s="1073" t="s">
        <v>954</v>
      </c>
    </row>
    <row r="31" spans="1:3" ht="13.5">
      <c r="A31" s="4308"/>
      <c r="B31" s="4307"/>
      <c r="C31" s="1073" t="s">
        <v>955</v>
      </c>
    </row>
    <row r="32" spans="1:3" ht="13.5">
      <c r="A32" s="4308"/>
      <c r="B32" s="4307"/>
      <c r="C32" s="1073" t="s">
        <v>956</v>
      </c>
    </row>
    <row r="33" spans="1:3" ht="13.5">
      <c r="A33" s="4308"/>
      <c r="B33" s="4307"/>
      <c r="C33" s="1073" t="s">
        <v>957</v>
      </c>
    </row>
    <row r="34" spans="1:3">
      <c r="A34" s="1077" t="s">
        <v>47</v>
      </c>
    </row>
    <row r="37" spans="1:3">
      <c r="A37" s="1077" t="s">
        <v>958</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2041</v>
      </c>
      <c r="B2" s="1704">
        <f ca="1">TODAY()</f>
        <v>46107</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89" t="str">
        <f ca="1">IF(C4&lt;B2,"已过期",1119970066)</f>
        <v>已过期</v>
      </c>
      <c r="C4" s="876">
        <v>45937</v>
      </c>
      <c r="D4" s="1709" t="str">
        <f ca="1">A4&amp;"（注册号："&amp;B4&amp;"）"</f>
        <v>梁津（注册号：已过期）</v>
      </c>
      <c r="E4" s="1710" t="s">
        <v>2050</v>
      </c>
      <c r="F4" s="3489">
        <f ca="1">IF(G4&lt;B2,"已过期",96010014)</f>
        <v>96010014</v>
      </c>
      <c r="G4" s="1711">
        <v>47118</v>
      </c>
      <c r="H4" s="1712" t="str">
        <f ca="1">E4&amp;"（注册号："&amp;F4&amp;"）"</f>
        <v>梁津（注册号：96010014）</v>
      </c>
    </row>
    <row r="5" spans="1:8" ht="24" customHeight="1">
      <c r="A5" s="876" t="s">
        <v>2051</v>
      </c>
      <c r="B5" s="3489" t="str">
        <f ca="1">IF(C5&lt;B2,"已过期",1119970111)</f>
        <v>已过期</v>
      </c>
      <c r="C5" s="876">
        <v>45937</v>
      </c>
      <c r="D5" s="1709" t="str">
        <f t="shared" ref="D5:D15" ca="1" si="0">A5&amp;"（注册号："&amp;B5&amp;"）"</f>
        <v>叶凌（注册号：已过期）</v>
      </c>
      <c r="E5" s="1710" t="s">
        <v>2051</v>
      </c>
      <c r="F5" s="3489">
        <f ca="1">IF(G5&lt;B2,"已过期",94010078)</f>
        <v>94010078</v>
      </c>
      <c r="G5" s="1711">
        <v>46387</v>
      </c>
      <c r="H5" s="1712" t="str">
        <f t="shared" ref="H5:H16" ca="1" si="1">E5&amp;"（注册号："&amp;F5&amp;"）"</f>
        <v>叶凌（注册号：94010078）</v>
      </c>
    </row>
    <row r="6" spans="1:8" ht="24" customHeight="1">
      <c r="A6" s="876" t="s">
        <v>2052</v>
      </c>
      <c r="B6" s="3489" t="str">
        <f ca="1">IF(C6&lt;B2,"已过期",1120050019)</f>
        <v>已过期</v>
      </c>
      <c r="C6" s="876">
        <v>45410</v>
      </c>
      <c r="D6" s="1709" t="str">
        <f t="shared" ca="1" si="0"/>
        <v>王鹏（注册号：已过期）</v>
      </c>
      <c r="E6" s="1710" t="s">
        <v>2052</v>
      </c>
      <c r="F6" s="3489">
        <f ca="1">IF(G6&lt;B2,"已过期",2002110030)</f>
        <v>2002110030</v>
      </c>
      <c r="G6" s="1711">
        <v>46387</v>
      </c>
      <c r="H6" s="1712" t="str">
        <f t="shared" ca="1" si="1"/>
        <v>王鹏（注册号：2002110030）</v>
      </c>
    </row>
    <row r="7" spans="1:8" ht="24" customHeight="1">
      <c r="A7" s="876" t="s">
        <v>2053</v>
      </c>
      <c r="B7" s="3489" t="str">
        <f ca="1">IF(C7&lt;B2,"已过期",1120000080)</f>
        <v>已过期</v>
      </c>
      <c r="C7" s="876">
        <v>45937</v>
      </c>
      <c r="D7" s="1709" t="str">
        <f t="shared" ca="1" si="0"/>
        <v>欧红伟（注册号：已过期）</v>
      </c>
      <c r="E7" s="1710" t="s">
        <v>2053</v>
      </c>
      <c r="F7" s="3489">
        <f ca="1">IF(G7&lt;B2,"已过期",2000110082)</f>
        <v>2000110082</v>
      </c>
      <c r="G7" s="1711">
        <v>46387</v>
      </c>
      <c r="H7" s="1712" t="str">
        <f t="shared" ca="1" si="1"/>
        <v>欧红伟（注册号：2000110082）</v>
      </c>
    </row>
    <row r="8" spans="1:8" ht="24" customHeight="1">
      <c r="A8" s="876" t="s">
        <v>2054</v>
      </c>
      <c r="B8" s="3489" t="str">
        <f ca="1">IF(C8&lt;B2,"已过期",1419970001)</f>
        <v>已过期</v>
      </c>
      <c r="C8" s="876">
        <v>45937</v>
      </c>
      <c r="D8" s="1709" t="str">
        <f t="shared" ca="1" si="0"/>
        <v>吴薇（注册号：已过期）</v>
      </c>
      <c r="E8" s="1710" t="s">
        <v>2054</v>
      </c>
      <c r="F8" s="3489">
        <f ca="1">IF(G8&lt;B2,"已过期",2002110125)</f>
        <v>2002110125</v>
      </c>
      <c r="G8" s="1711">
        <v>47118</v>
      </c>
      <c r="H8" s="1712" t="str">
        <f t="shared" ca="1" si="1"/>
        <v>吴薇（注册号：2002110125）</v>
      </c>
    </row>
    <row r="9" spans="1:8" ht="24" customHeight="1">
      <c r="A9" s="876" t="s">
        <v>2055</v>
      </c>
      <c r="B9" s="3489" t="str">
        <f ca="1">IF(C9&lt;B2,"已过期",1120060040)</f>
        <v>已过期</v>
      </c>
      <c r="C9" s="1707">
        <v>45592</v>
      </c>
      <c r="D9" s="1709" t="str">
        <f t="shared" ca="1" si="0"/>
        <v>陈颖（注册号：已过期）</v>
      </c>
      <c r="E9" s="1710" t="s">
        <v>2055</v>
      </c>
      <c r="F9" s="3489">
        <f ca="1">IF(G9&lt;B2,"已过期",2004110096)</f>
        <v>2004110096</v>
      </c>
      <c r="G9" s="1711">
        <v>47118</v>
      </c>
      <c r="H9" s="1712" t="str">
        <f t="shared" ca="1" si="1"/>
        <v>陈颖（注册号：2004110096）</v>
      </c>
    </row>
    <row r="10" spans="1:8" ht="24" customHeight="1">
      <c r="A10" s="876" t="s">
        <v>2056</v>
      </c>
      <c r="B10" s="3489" t="str">
        <f ca="1">IF(C10&lt;B2,"已过期",1120100036)</f>
        <v>已过期</v>
      </c>
      <c r="C10" s="1707">
        <v>45752</v>
      </c>
      <c r="D10" s="1709" t="str">
        <f t="shared" ca="1" si="0"/>
        <v>崔锴（注册号：已过期）</v>
      </c>
      <c r="E10" s="1710" t="s">
        <v>2056</v>
      </c>
      <c r="F10" s="3489">
        <f ca="1">IF(G10&lt;B2,"已过期",2010110070)</f>
        <v>2010110070</v>
      </c>
      <c r="G10" s="1711">
        <v>47907</v>
      </c>
      <c r="H10" s="1712" t="str">
        <f t="shared" ca="1" si="1"/>
        <v>崔锴（注册号：2010110070）</v>
      </c>
    </row>
    <row r="11" spans="1:8" ht="24" customHeight="1">
      <c r="A11" s="876" t="s">
        <v>2057</v>
      </c>
      <c r="B11" s="3489" t="str">
        <f ca="1">IF(C11&lt;B2,"已过期",1120070131)</f>
        <v>已过期</v>
      </c>
      <c r="C11" s="876">
        <v>45937</v>
      </c>
      <c r="D11" s="1709" t="str">
        <f t="shared" ca="1" si="0"/>
        <v>郑燚（注册号：已过期）</v>
      </c>
      <c r="E11" s="1710" t="s">
        <v>2057</v>
      </c>
      <c r="F11" s="3489">
        <f ca="1">IF(G11&lt;B2,"已过期",2014110011)</f>
        <v>2014110011</v>
      </c>
      <c r="G11" s="1711">
        <v>49302</v>
      </c>
      <c r="H11" s="1712" t="str">
        <f t="shared" ca="1" si="1"/>
        <v>郑燚（注册号：2014110011）</v>
      </c>
    </row>
    <row r="12" spans="1:8" ht="24" customHeight="1">
      <c r="A12" s="876" t="s">
        <v>2058</v>
      </c>
      <c r="B12" s="3489" t="str">
        <f ca="1">IF(C12&lt;B2,"已过期",1120040230)</f>
        <v>已过期</v>
      </c>
      <c r="C12" s="1707">
        <v>45937</v>
      </c>
      <c r="D12" s="1709" t="str">
        <f t="shared" ca="1" si="0"/>
        <v>苏海（注册号：已过期）</v>
      </c>
      <c r="E12" s="1710" t="s">
        <v>2058</v>
      </c>
      <c r="F12" s="3489">
        <f ca="1">IF(G12&lt;B2,"已过期",98030020)</f>
        <v>98030020</v>
      </c>
      <c r="G12" s="1711">
        <v>47118</v>
      </c>
      <c r="H12" s="1712" t="str">
        <f t="shared" ca="1" si="1"/>
        <v>苏海（注册号：98030020）</v>
      </c>
    </row>
    <row r="13" spans="1:8" ht="24" customHeight="1">
      <c r="A13" s="876" t="s">
        <v>2059</v>
      </c>
      <c r="B13" s="3489" t="str">
        <f ca="1">IF(C13&lt;B2,"已过期",1120020033)</f>
        <v>已过期</v>
      </c>
      <c r="C13" s="876">
        <v>45375</v>
      </c>
      <c r="D13" s="1709" t="str">
        <f t="shared" ca="1" si="0"/>
        <v>刘敬东（注册号：已过期）</v>
      </c>
      <c r="E13" s="1710" t="s">
        <v>2059</v>
      </c>
      <c r="F13" s="3489">
        <f ca="1">IF(G13&lt;B2,"已过期",2000110137)</f>
        <v>2000110137</v>
      </c>
      <c r="G13" s="1711">
        <v>46387</v>
      </c>
      <c r="H13" s="1712" t="str">
        <f t="shared" ca="1" si="1"/>
        <v>刘敬东（注册号：2000110137）</v>
      </c>
    </row>
    <row r="14" spans="1:8" ht="24" customHeight="1">
      <c r="A14" s="876" t="s">
        <v>2060</v>
      </c>
      <c r="B14" s="3489" t="str">
        <f ca="1">IF(C14&lt;B2,"已过期",1119980106)</f>
        <v>已过期</v>
      </c>
      <c r="C14" s="1707">
        <v>44969</v>
      </c>
      <c r="D14" s="1709" t="str">
        <f t="shared" ca="1" si="0"/>
        <v>刘俊财（注册号：已过期）</v>
      </c>
      <c r="E14" s="1710" t="s">
        <v>2060</v>
      </c>
      <c r="F14" s="3489">
        <f ca="1">IF(G14&lt;B2,"已过期",96010063)</f>
        <v>96010063</v>
      </c>
      <c r="G14" s="1711">
        <v>47483</v>
      </c>
      <c r="H14" s="1712" t="str">
        <f t="shared" ca="1" si="1"/>
        <v>刘俊财（注册号：96010063）</v>
      </c>
    </row>
    <row r="15" spans="1:8" ht="24" customHeight="1">
      <c r="A15" s="876" t="s">
        <v>2315</v>
      </c>
      <c r="B15" s="3489">
        <v>1120210056</v>
      </c>
      <c r="C15" s="1707">
        <v>45410</v>
      </c>
      <c r="D15" s="1709" t="str">
        <f t="shared" si="0"/>
        <v>宁小鳗（注册号：1120210056）</v>
      </c>
      <c r="E15" s="1710" t="s">
        <v>2061</v>
      </c>
      <c r="F15" s="3489">
        <f ca="1">IF(G15&lt;B2,"已过期",2011110090)</f>
        <v>2011110090</v>
      </c>
      <c r="G15" s="1711">
        <v>48302</v>
      </c>
      <c r="H15" s="1712" t="str">
        <f t="shared" ca="1" si="1"/>
        <v>赵雯（注册号：2011110090）</v>
      </c>
    </row>
    <row r="16" spans="1:8" ht="24" customHeight="1">
      <c r="A16" s="876" t="s">
        <v>3963</v>
      </c>
      <c r="B16" s="876">
        <v>1120240051</v>
      </c>
      <c r="C16" s="876"/>
      <c r="D16" s="1709" t="str">
        <f>A16&amp;"（注册号："&amp;B16&amp;"）"</f>
        <v>赵雯（注册号：1120240051）</v>
      </c>
      <c r="E16" s="1710"/>
      <c r="F16" s="876"/>
      <c r="G16" s="876"/>
      <c r="H16" s="1713" t="str">
        <f t="shared" si="1"/>
        <v>（注册号：）</v>
      </c>
    </row>
    <row r="17" spans="1:8" ht="24" customHeight="1">
      <c r="A17" s="4312" t="s">
        <v>2062</v>
      </c>
      <c r="B17" s="4312"/>
      <c r="C17" s="4312"/>
      <c r="D17" s="4312"/>
      <c r="E17" s="4312"/>
      <c r="F17" s="4312"/>
      <c r="G17" s="4312"/>
      <c r="H17" s="4312"/>
    </row>
    <row r="18" spans="1:8" ht="24" customHeight="1">
      <c r="A18" s="4313" t="s">
        <v>2063</v>
      </c>
      <c r="B18" s="4313"/>
      <c r="C18" s="4313"/>
      <c r="D18" s="1707"/>
      <c r="E18" s="4314" t="s">
        <v>2064</v>
      </c>
      <c r="F18" s="4313"/>
      <c r="G18" s="4313"/>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2316</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162</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最终面积</vt:lpstr>
      <vt:lpstr>位置</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土地比较法-住宅、综合</vt:lpstr>
      <vt:lpstr>比较法-商业</vt:lpstr>
      <vt:lpstr>比较法-办公</vt:lpstr>
      <vt:lpstr>比较法-工业</vt:lpstr>
      <vt:lpstr>比较法-仓储</vt:lpstr>
      <vt:lpstr>土地比较法-工业</vt:lpstr>
      <vt:lpstr>土地案例</vt:lpstr>
      <vt:lpstr>假设开发法</vt:lpstr>
      <vt:lpstr>比较法-住宅</vt:lpstr>
      <vt:lpstr>住宅案例</vt:lpstr>
      <vt:lpstr>比较法-车位</vt:lpstr>
      <vt:lpstr>收益法-商业</vt:lpstr>
      <vt:lpstr>收益法-车库</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(元)'!Print_Area</vt:lpstr>
      <vt:lpstr>'收益法 (元)fei'!Print_Area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2026-03-26T06:34:18Z</dcterms:modified>
</cp:coreProperties>
</file>