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02C6CFAD-669B-42D4-96C3-8C631935F9D4}" xr6:coauthVersionLast="47" xr6:coauthVersionMax="47" xr10:uidLastSave="{00000000-0000-0000-0000-000000000000}"/>
  <bookViews>
    <workbookView xWindow="-110" yWindow="-110" windowWidth="25820" windowHeight="14020" tabRatio="899" firstSheet="10"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典型户型修正" sheetId="31" state="hidden" r:id="rId33"/>
    <sheet name="基准地价（汇总）" sheetId="76" state="hidden" r:id="rId34"/>
    <sheet name="基准地价修正" sheetId="43" r:id="rId35"/>
    <sheet name="修正" sheetId="45" state="hidden" r:id="rId36"/>
    <sheet name="收益法" sheetId="15" r:id="rId37"/>
    <sheet name="信息" sheetId="80" r:id="rId38"/>
    <sheet name="中指" sheetId="81" r:id="rId39"/>
    <sheet name="选取案例" sheetId="82" r:id="rId40"/>
    <sheet name="租金案例" sheetId="83" r:id="rId41"/>
    <sheet name="容积率修正" sheetId="46"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38" hidden="1">中指!$A$1:$BV$37</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36">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21">'土地比较法-工业'!$A$1:$K$61,'土地比较法-工业'!$A$64:$M$121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J10" i="40"/>
  <c r="H10" i="40"/>
  <c r="F10" i="40"/>
  <c r="E109" i="40"/>
  <c r="F109" i="40" s="1"/>
  <c r="G109" i="40" s="1"/>
  <c r="H109" i="40" s="1"/>
  <c r="D109" i="40"/>
  <c r="I11" i="40"/>
  <c r="G11" i="40"/>
  <c r="E11" i="40"/>
  <c r="C34" i="40"/>
  <c r="I34" i="40"/>
  <c r="G34" i="40"/>
  <c r="E34" i="40"/>
  <c r="I41" i="40"/>
  <c r="G41" i="40"/>
  <c r="E41" i="40"/>
  <c r="T4" i="82"/>
  <c r="C11" i="40"/>
  <c r="I7" i="40"/>
  <c r="G7" i="40"/>
  <c r="E7" i="40"/>
  <c r="T10" i="82"/>
  <c r="T3" i="82"/>
  <c r="T2" i="82"/>
  <c r="S3" i="82"/>
  <c r="S4" i="82"/>
  <c r="S2" i="82"/>
  <c r="S12" i="82"/>
  <c r="S11" i="82"/>
  <c r="S10" i="82"/>
  <c r="R12" i="82"/>
  <c r="R11" i="82"/>
  <c r="R10" i="82"/>
  <c r="Q12" i="82"/>
  <c r="Q11" i="82"/>
  <c r="Q10" i="82"/>
  <c r="Q7" i="82"/>
  <c r="D33" i="43"/>
  <c r="J49" i="15"/>
  <c r="U20" i="1"/>
  <c r="U6" i="1" s="1"/>
  <c r="N23" i="80"/>
  <c r="V19" i="1"/>
  <c r="K26" i="80"/>
  <c r="L23" i="80"/>
  <c r="L17" i="80"/>
  <c r="L18" i="80"/>
  <c r="L19" i="80"/>
  <c r="L20" i="80"/>
  <c r="L21" i="80"/>
  <c r="L22" i="80"/>
  <c r="L16" i="80"/>
  <c r="B59" i="1"/>
  <c r="B21" i="1"/>
  <c r="P16" i="80"/>
  <c r="P22" i="80"/>
  <c r="P21" i="80"/>
  <c r="P20" i="80"/>
  <c r="P19" i="80"/>
  <c r="P18" i="80"/>
  <c r="P17" i="80"/>
  <c r="P14" i="80"/>
  <c r="P23" i="80" s="1"/>
  <c r="N6" i="1" s="1"/>
  <c r="Y6" i="1" s="1"/>
  <c r="P15" i="80"/>
  <c r="P13" i="80"/>
  <c r="I14" i="3"/>
  <c r="I15" i="3"/>
  <c r="I16" i="3"/>
  <c r="I17" i="3"/>
  <c r="I18" i="3"/>
  <c r="I19" i="3"/>
  <c r="I20" i="3"/>
  <c r="I21" i="3"/>
  <c r="I22" i="3"/>
  <c r="I13" i="3"/>
  <c r="H13" i="4"/>
  <c r="I23" i="80"/>
  <c r="V18" i="1" s="1"/>
  <c r="H7" i="80"/>
  <c r="A3" i="3" s="1"/>
  <c r="E27" i="45"/>
  <c r="R23" i="80" l="1"/>
  <c r="L6" i="1" s="1"/>
  <c r="G14" i="73"/>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c r="AR36" i="79" s="1"/>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35" i="79" l="1"/>
  <c r="AI35" i="79" s="1"/>
  <c r="U34" i="79"/>
  <c r="AI34" i="79" s="1"/>
  <c r="U33" i="79"/>
  <c r="AI33" i="79" s="1"/>
  <c r="S20" i="79"/>
  <c r="AG20" i="79" s="1"/>
  <c r="T22" i="79"/>
  <c r="AD36" i="79"/>
  <c r="AD38" i="79"/>
  <c r="AD37" i="79"/>
  <c r="AD34" i="79"/>
  <c r="AD35" i="79"/>
  <c r="AR40" i="79"/>
  <c r="AR41" i="79" s="1"/>
  <c r="AR42" i="79" s="1"/>
  <c r="AR43" i="79" s="1"/>
  <c r="AR44" i="79" s="1"/>
  <c r="AR45" i="79" s="1"/>
  <c r="AR46" i="79" s="1"/>
  <c r="AR47" i="79" s="1"/>
  <c r="AR48" i="79" s="1"/>
  <c r="AR49" i="79" s="1"/>
  <c r="AR50" i="79" s="1"/>
  <c r="AR51" i="79" s="1"/>
  <c r="AR52" i="79" s="1"/>
  <c r="Z3" i="79"/>
  <c r="S34" i="79"/>
  <c r="AG34" i="79" s="1"/>
  <c r="S33" i="79"/>
  <c r="AG33" i="79" s="1"/>
  <c r="S35" i="79"/>
  <c r="AG35" i="79" s="1"/>
  <c r="AA31" i="79"/>
  <c r="AD31" i="79" s="1"/>
  <c r="T40" i="79"/>
  <c r="U46" i="79"/>
  <c r="AI46" i="79" s="1"/>
  <c r="AD47" i="79"/>
  <c r="S48" i="79"/>
  <c r="AG48" i="79" s="1"/>
  <c r="U50" i="79"/>
  <c r="AI50" i="79" s="1"/>
  <c r="AD51" i="79"/>
  <c r="AR18" i="79"/>
  <c r="AR19" i="79" s="1"/>
  <c r="AR20" i="79" s="1"/>
  <c r="AR21" i="79" s="1"/>
  <c r="AR22" i="79" s="1"/>
  <c r="AR23" i="79" s="1"/>
  <c r="AR24" i="79" s="1"/>
  <c r="T34" i="79"/>
  <c r="T33" i="79"/>
  <c r="T35"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2" i="79" l="1"/>
  <c r="AK12" i="79" s="1"/>
  <c r="AH12" i="79"/>
  <c r="W21" i="79"/>
  <c r="AK21" i="79" s="1"/>
  <c r="AH21" i="79"/>
  <c r="W47" i="79"/>
  <c r="AK47" i="79" s="1"/>
  <c r="AH47" i="79"/>
  <c r="W23" i="79"/>
  <c r="AK23" i="79" s="1"/>
  <c r="AH23" i="79"/>
  <c r="W45" i="79"/>
  <c r="AK45" i="79" s="1"/>
  <c r="AH45" i="79"/>
  <c r="W14" i="79"/>
  <c r="AK14" i="79" s="1"/>
  <c r="AH14" i="79"/>
  <c r="W42" i="79"/>
  <c r="AK42" i="79" s="1"/>
  <c r="W19" i="79"/>
  <c r="AK19" i="79" s="1"/>
  <c r="AH19" i="79"/>
  <c r="W16" i="79"/>
  <c r="AK16" i="79" s="1"/>
  <c r="AH16" i="79"/>
  <c r="W50" i="79"/>
  <c r="AK50" i="79" s="1"/>
  <c r="AH50" i="79"/>
  <c r="W41" i="79"/>
  <c r="AK41" i="79" s="1"/>
  <c r="AH41" i="79"/>
  <c r="W44" i="79"/>
  <c r="AK44" i="79" s="1"/>
  <c r="AH44" i="79"/>
  <c r="W46" i="79"/>
  <c r="AK46" i="79" s="1"/>
  <c r="AH46" i="79"/>
  <c r="W35" i="79"/>
  <c r="AK35" i="79" s="1"/>
  <c r="AH35" i="79"/>
  <c r="AH34" i="79"/>
  <c r="W34" i="79"/>
  <c r="AK34" i="79" s="1"/>
  <c r="W11" i="79"/>
  <c r="AK11" i="79" s="1"/>
  <c r="AH11" i="79"/>
  <c r="W39" i="79"/>
  <c r="AK39" i="79" s="1"/>
  <c r="W17" i="79"/>
  <c r="AK17" i="79" s="1"/>
  <c r="AH17" i="79"/>
  <c r="W10" i="79"/>
  <c r="AK10" i="79" s="1"/>
  <c r="AH10" i="79"/>
  <c r="W18" i="79"/>
  <c r="AK18" i="79" s="1"/>
  <c r="AH18" i="79"/>
  <c r="W20" i="79"/>
  <c r="AK20" i="79" s="1"/>
  <c r="AH20" i="79"/>
  <c r="W51" i="79"/>
  <c r="AK51" i="79" s="1"/>
  <c r="AH51"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40" i="79"/>
  <c r="AK40" i="79" s="1"/>
  <c r="AH40" i="79"/>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C39" i="71"/>
  <c r="C43" i="71"/>
  <c r="C44" i="71" s="1"/>
  <c r="D44" i="71" s="1"/>
  <c r="C51" i="7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77" i="43"/>
  <c r="C29" i="39"/>
  <c r="S25" i="40"/>
  <c r="S18" i="36"/>
  <c r="S21" i="34"/>
  <c r="H25" i="40"/>
  <c r="J25" i="40"/>
  <c r="W25" i="40" s="1"/>
  <c r="H29" i="39"/>
  <c r="AB29" i="39" s="1"/>
  <c r="J29" i="39"/>
  <c r="AC29" i="39" s="1"/>
  <c r="J18" i="36"/>
  <c r="F68" i="35"/>
  <c r="G68" i="35" s="1"/>
  <c r="H18" i="35"/>
  <c r="AB18" i="35" s="1"/>
  <c r="J18" i="35"/>
  <c r="H21" i="37"/>
  <c r="AB21" i="37" s="1"/>
  <c r="F21" i="37"/>
  <c r="AA21" i="37" s="1"/>
  <c r="H21" i="34"/>
  <c r="H21" i="33"/>
  <c r="F21" i="33"/>
  <c r="E83" i="21"/>
  <c r="F83" i="21" s="1"/>
  <c r="H1" i="69"/>
  <c r="AC25" i="40"/>
  <c r="U29" i="39"/>
  <c r="W29" i="39"/>
  <c r="S21" i="37"/>
  <c r="AA21" i="33"/>
  <c r="S21" i="33"/>
  <c r="J21" i="37"/>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E71" i="37" s="1"/>
  <c r="F71" i="37" s="1"/>
  <c r="G71" i="37" s="1"/>
  <c r="H15" i="37"/>
  <c r="AB15" i="37" s="1"/>
  <c r="B68" i="37"/>
  <c r="H14" i="37" s="1"/>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c r="D64" i="36"/>
  <c r="E64" i="36" s="1"/>
  <c r="F64" i="36" s="1"/>
  <c r="G64" i="36" s="1"/>
  <c r="J16" i="36"/>
  <c r="W16" i="36" s="1"/>
  <c r="D62" i="36"/>
  <c r="E62" i="36" s="1"/>
  <c r="F62" i="36" s="1"/>
  <c r="G62" i="36" s="1"/>
  <c r="B59" i="36"/>
  <c r="J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B57" i="35"/>
  <c r="B61" i="35"/>
  <c r="B59" i="35"/>
  <c r="B131" i="34"/>
  <c r="B129" i="34"/>
  <c r="B127" i="34"/>
  <c r="B99" i="34"/>
  <c r="B97" i="34"/>
  <c r="B95" i="34"/>
  <c r="B93" i="34"/>
  <c r="B75" i="34"/>
  <c r="B73" i="34"/>
  <c r="B71" i="34"/>
  <c r="J12" i="34" s="1"/>
  <c r="W12" i="34" s="1"/>
  <c r="B130" i="33"/>
  <c r="B128" i="33"/>
  <c r="J45" i="33" s="1"/>
  <c r="B126" i="33"/>
  <c r="B98" i="33"/>
  <c r="B96" i="33"/>
  <c r="B94" i="33"/>
  <c r="H29" i="33" s="1"/>
  <c r="U29" i="33" s="1"/>
  <c r="B74" i="33"/>
  <c r="B72" i="33"/>
  <c r="B70" i="33"/>
  <c r="J12" i="33"/>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B126" i="21"/>
  <c r="B98" i="21"/>
  <c r="H31" i="21"/>
  <c r="B96" i="21"/>
  <c r="B94" i="21"/>
  <c r="J29" i="21" s="1"/>
  <c r="AC29" i="21"/>
  <c r="B92" i="21"/>
  <c r="F28" i="21" s="1"/>
  <c r="AA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c r="AB41" i="21"/>
  <c r="S41" i="21"/>
  <c r="AA41" i="21"/>
  <c r="F45" i="39"/>
  <c r="S45" i="39" s="1"/>
  <c r="J44" i="39"/>
  <c r="W44" i="39" s="1"/>
  <c r="F36" i="39"/>
  <c r="S36" i="39" s="1"/>
  <c r="H36" i="39"/>
  <c r="AB36" i="39"/>
  <c r="J35" i="39"/>
  <c r="AC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U35" i="33"/>
  <c r="S40" i="33"/>
  <c r="W33" i="33"/>
  <c r="W39" i="33"/>
  <c r="H39" i="37"/>
  <c r="AB39" i="37"/>
  <c r="S27" i="35"/>
  <c r="F11" i="40"/>
  <c r="AA11" i="40" s="1"/>
  <c r="H11" i="40"/>
  <c r="AB11" i="40" s="1"/>
  <c r="AB39" i="40"/>
  <c r="S34"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24" i="36"/>
  <c r="AA24" i="36"/>
  <c r="F34" i="36"/>
  <c r="S34" i="36" s="1"/>
  <c r="F14" i="35"/>
  <c r="AA14" i="35"/>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s="1"/>
  <c r="E114" i="34"/>
  <c r="H36" i="34"/>
  <c r="U36" i="34" s="1"/>
  <c r="F37" i="34"/>
  <c r="AA37" i="34" s="1"/>
  <c r="F28" i="34"/>
  <c r="AA28" i="34" s="1"/>
  <c r="F25" i="34"/>
  <c r="S25" i="34" s="1"/>
  <c r="H23" i="34"/>
  <c r="J23" i="34"/>
  <c r="F19" i="34"/>
  <c r="H17" i="34"/>
  <c r="F15" i="34"/>
  <c r="AA15" i="34" s="1"/>
  <c r="J15" i="34"/>
  <c r="W15" i="34" s="1"/>
  <c r="H15" i="34"/>
  <c r="AB15" i="34" s="1"/>
  <c r="W8" i="34"/>
  <c r="J28" i="34"/>
  <c r="W28" i="34"/>
  <c r="F41" i="33"/>
  <c r="S38" i="33"/>
  <c r="E113" i="33"/>
  <c r="F113" i="33" s="1"/>
  <c r="G113" i="33" s="1"/>
  <c r="H113" i="33" s="1"/>
  <c r="I113" i="33" s="1"/>
  <c r="J113" i="33" s="1"/>
  <c r="K113" i="33" s="1"/>
  <c r="L113" i="33" s="1"/>
  <c r="M113" i="33" s="1"/>
  <c r="F32" i="33"/>
  <c r="AA32" i="33" s="1"/>
  <c r="J19" i="33"/>
  <c r="AC19" i="33"/>
  <c r="J15" i="33"/>
  <c r="AC15" i="33" s="1"/>
  <c r="F11" i="33"/>
  <c r="AA11" i="33" s="1"/>
  <c r="U40" i="33"/>
  <c r="W40" i="33"/>
  <c r="F37" i="40"/>
  <c r="AA37" i="40"/>
  <c r="F36" i="40"/>
  <c r="AA36" i="40" s="1"/>
  <c r="H28" i="40"/>
  <c r="U28" i="40"/>
  <c r="F23" i="40"/>
  <c r="AA23" i="40" s="1"/>
  <c r="F17" i="40"/>
  <c r="AA17" i="40" s="1"/>
  <c r="J17" i="40"/>
  <c r="W17" i="40" s="1"/>
  <c r="F15" i="40"/>
  <c r="S15" i="40" s="1"/>
  <c r="H15" i="40"/>
  <c r="AB15"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H37" i="33"/>
  <c r="AB37" i="33"/>
  <c r="H15" i="33"/>
  <c r="AB15" i="33" s="1"/>
  <c r="H11" i="33"/>
  <c r="AB11" i="33" s="1"/>
  <c r="F28" i="40"/>
  <c r="AA28" i="40"/>
  <c r="AA42" i="34"/>
  <c r="S42" i="34"/>
  <c r="AC38" i="34"/>
  <c r="AA38" i="34"/>
  <c r="J37" i="34"/>
  <c r="AC37" i="34" s="1"/>
  <c r="J11" i="33"/>
  <c r="W11" i="33" s="1"/>
  <c r="S28" i="34"/>
  <c r="J42" i="21"/>
  <c r="AC42" i="21" s="1"/>
  <c r="H42" i="21"/>
  <c r="U42" i="21"/>
  <c r="J44" i="34"/>
  <c r="W44" i="34" s="1"/>
  <c r="F44" i="34"/>
  <c r="AA44" i="34" s="1"/>
  <c r="J10" i="35"/>
  <c r="AC10" i="35" s="1"/>
  <c r="J14" i="21"/>
  <c r="W14" i="21"/>
  <c r="H30" i="21"/>
  <c r="F30" i="21"/>
  <c r="S30" i="21" s="1"/>
  <c r="J30" i="21"/>
  <c r="AC30" i="2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AB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27" i="33"/>
  <c r="AA27" i="33"/>
  <c r="J13" i="33"/>
  <c r="H13" i="33"/>
  <c r="U13" i="33" s="1"/>
  <c r="F13" i="33"/>
  <c r="S13" i="33"/>
  <c r="J29" i="33"/>
  <c r="F29" i="33"/>
  <c r="S29" i="33" s="1"/>
  <c r="J31" i="33"/>
  <c r="H31" i="33"/>
  <c r="F31" i="33"/>
  <c r="H45" i="33"/>
  <c r="F45" i="33"/>
  <c r="S45" i="33" s="1"/>
  <c r="AA45" i="33"/>
  <c r="H14" i="34"/>
  <c r="H30" i="34"/>
  <c r="F30" i="34"/>
  <c r="S30" i="34"/>
  <c r="J30" i="34"/>
  <c r="J32" i="34"/>
  <c r="W32" i="34" s="1"/>
  <c r="H46" i="34"/>
  <c r="F46" i="34"/>
  <c r="J46" i="34"/>
  <c r="H11" i="35"/>
  <c r="AB11" i="35" s="1"/>
  <c r="J11" i="35"/>
  <c r="W11" i="35" s="1"/>
  <c r="AC11" i="35"/>
  <c r="F11" i="35"/>
  <c r="S11" i="35" s="1"/>
  <c r="J26" i="36"/>
  <c r="W26" i="36" s="1"/>
  <c r="H28" i="36"/>
  <c r="U28" i="36" s="1"/>
  <c r="J11" i="36"/>
  <c r="AC11" i="36" s="1"/>
  <c r="H11" i="36"/>
  <c r="U11" i="36" s="1"/>
  <c r="F11" i="36"/>
  <c r="H13" i="36"/>
  <c r="AB13" i="36" s="1"/>
  <c r="F13" i="36"/>
  <c r="S13" i="36"/>
  <c r="E89" i="37"/>
  <c r="F89" i="37"/>
  <c r="G89" i="37" s="1"/>
  <c r="H89" i="37" s="1"/>
  <c r="I89" i="37" s="1"/>
  <c r="J89" i="37"/>
  <c r="K89" i="37" s="1"/>
  <c r="L89" i="37" s="1"/>
  <c r="M89" i="37" s="1"/>
  <c r="J29" i="37"/>
  <c r="W29" i="37" s="1"/>
  <c r="F29" i="37"/>
  <c r="S29" i="37"/>
  <c r="F105" i="37"/>
  <c r="G105" i="37" s="1"/>
  <c r="H36" i="37"/>
  <c r="AB36" i="37" s="1"/>
  <c r="J37" i="37"/>
  <c r="AC37" i="37" s="1"/>
  <c r="H37" i="37"/>
  <c r="U37" i="37" s="1"/>
  <c r="H40" i="37"/>
  <c r="U40" i="37" s="1"/>
  <c r="J40" i="37"/>
  <c r="W40" i="37" s="1"/>
  <c r="F40" i="37"/>
  <c r="AA40" i="37" s="1"/>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30" i="40"/>
  <c r="AB30" i="40" s="1"/>
  <c r="F33" i="40"/>
  <c r="AA33" i="40"/>
  <c r="H33" i="40"/>
  <c r="J35" i="40"/>
  <c r="AC35" i="40"/>
  <c r="J37" i="40"/>
  <c r="AC37" i="40" s="1"/>
  <c r="H13" i="40"/>
  <c r="U13" i="40"/>
  <c r="J13" i="40"/>
  <c r="W13" i="40" s="1"/>
  <c r="F13" i="40"/>
  <c r="AA13" i="40"/>
  <c r="F14" i="37"/>
  <c r="S14" i="37" s="1"/>
  <c r="F13" i="39"/>
  <c r="H14" i="40"/>
  <c r="U14" i="40" s="1"/>
  <c r="AB14" i="40"/>
  <c r="J14" i="40"/>
  <c r="W14" i="40" s="1"/>
  <c r="F14" i="40"/>
  <c r="AA14" i="40"/>
  <c r="J14" i="37"/>
  <c r="AA44" i="33"/>
  <c r="AA14" i="33"/>
  <c r="J36" i="37"/>
  <c r="AC36" i="37"/>
  <c r="J10" i="36"/>
  <c r="AC10" i="36" s="1"/>
  <c r="W31" i="34"/>
  <c r="S44" i="34"/>
  <c r="BA586" i="3"/>
  <c r="F17" i="21"/>
  <c r="AA17" i="21" s="1"/>
  <c r="H17" i="21"/>
  <c r="AB17" i="21" s="1"/>
  <c r="F15" i="21"/>
  <c r="S15" i="21" s="1"/>
  <c r="J41" i="39"/>
  <c r="W41" i="39" s="1"/>
  <c r="U36" i="39"/>
  <c r="G544" i="3"/>
  <c r="G540" i="3"/>
  <c r="G536" i="3"/>
  <c r="G535" i="3"/>
  <c r="G532" i="3"/>
  <c r="G531" i="3"/>
  <c r="G528" i="3"/>
  <c r="G527" i="3"/>
  <c r="G523" i="3"/>
  <c r="G518" i="3"/>
  <c r="G514" i="3"/>
  <c r="G510" i="3"/>
  <c r="G508" i="3"/>
  <c r="G504" i="3"/>
  <c r="G500" i="3"/>
  <c r="G496" i="3"/>
  <c r="G576" i="3"/>
  <c r="G572" i="3"/>
  <c r="G568" i="3"/>
  <c r="G560" i="3"/>
  <c r="G554" i="3"/>
  <c r="G550" i="3"/>
  <c r="BL580" i="3"/>
  <c r="BL576" i="3"/>
  <c r="BL564" i="3"/>
  <c r="BL560" i="3"/>
  <c r="BL546" i="3"/>
  <c r="BL542" i="3"/>
  <c r="BL538" i="3"/>
  <c r="BL534" i="3"/>
  <c r="BL530" i="3"/>
  <c r="BL526" i="3"/>
  <c r="BL522" i="3"/>
  <c r="BL516" i="3"/>
  <c r="BL512" i="3"/>
  <c r="BL506" i="3"/>
  <c r="BL502" i="3"/>
  <c r="AZ502" i="3" s="1"/>
  <c r="BL498" i="3"/>
  <c r="BL494" i="3"/>
  <c r="BL582" i="3"/>
  <c r="BL578" i="3"/>
  <c r="BL566" i="3"/>
  <c r="BL562" i="3"/>
  <c r="BL544" i="3"/>
  <c r="BL540" i="3"/>
  <c r="AZ540" i="3" s="1"/>
  <c r="BL536" i="3"/>
  <c r="G533" i="3"/>
  <c r="BL532" i="3"/>
  <c r="AZ532" i="3" s="1"/>
  <c r="G529" i="3"/>
  <c r="BL528" i="3"/>
  <c r="G525" i="3"/>
  <c r="BL524" i="3"/>
  <c r="BL518" i="3"/>
  <c r="BL514" i="3"/>
  <c r="BL510" i="3"/>
  <c r="BL504" i="3"/>
  <c r="BL500" i="3"/>
  <c r="BL496" i="3"/>
  <c r="G493" i="3"/>
  <c r="BA584" i="3"/>
  <c r="BA582" i="3"/>
  <c r="AZ582" i="3" s="1"/>
  <c r="BA576" i="3"/>
  <c r="AZ576" i="3" s="1"/>
  <c r="BA574" i="3"/>
  <c r="BA568" i="3"/>
  <c r="BA566" i="3"/>
  <c r="BA560" i="3"/>
  <c r="AZ560" i="3" s="1"/>
  <c r="BA558" i="3"/>
  <c r="BA554" i="3"/>
  <c r="BA548" i="3"/>
  <c r="BA546" i="3"/>
  <c r="BA544" i="3"/>
  <c r="AZ544" i="3"/>
  <c r="BA542" i="3"/>
  <c r="AZ542" i="3" s="1"/>
  <c r="BA540" i="3"/>
  <c r="BA538" i="3"/>
  <c r="AZ538" i="3"/>
  <c r="BA536" i="3"/>
  <c r="AZ536" i="3"/>
  <c r="BA534" i="3"/>
  <c r="AZ534" i="3"/>
  <c r="BA532" i="3"/>
  <c r="BA530" i="3"/>
  <c r="BA528" i="3"/>
  <c r="AZ528" i="3" s="1"/>
  <c r="BA526" i="3"/>
  <c r="BA524" i="3"/>
  <c r="BA522" i="3"/>
  <c r="BA520" i="3"/>
  <c r="BA518" i="3"/>
  <c r="BA516" i="3"/>
  <c r="AZ516" i="3" s="1"/>
  <c r="BA514" i="3"/>
  <c r="BA512" i="3"/>
  <c r="AZ512" i="3" s="1"/>
  <c r="BA510" i="3"/>
  <c r="AZ510" i="3"/>
  <c r="BA508" i="3"/>
  <c r="BA506" i="3"/>
  <c r="BA504" i="3"/>
  <c r="AZ504" i="3"/>
  <c r="BA502" i="3"/>
  <c r="BA500" i="3"/>
  <c r="BA498" i="3"/>
  <c r="AZ498" i="3"/>
  <c r="BA496" i="3"/>
  <c r="BA494" i="3"/>
  <c r="BA583" i="3"/>
  <c r="BA577" i="3"/>
  <c r="BA575" i="3"/>
  <c r="BA569" i="3"/>
  <c r="BA567" i="3"/>
  <c r="BA561" i="3"/>
  <c r="BA559" i="3"/>
  <c r="AZ559" i="3" s="1"/>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5" i="3"/>
  <c r="G573" i="3"/>
  <c r="G571" i="3"/>
  <c r="G569" i="3"/>
  <c r="G567" i="3"/>
  <c r="G565" i="3"/>
  <c r="G561" i="3"/>
  <c r="BL558" i="3"/>
  <c r="BA557" i="3"/>
  <c r="AC557" i="3"/>
  <c r="BQ557" i="3"/>
  <c r="BQ583" i="3"/>
  <c r="BL583" i="3" s="1"/>
  <c r="AZ583" i="3" s="1"/>
  <c r="BQ581" i="3"/>
  <c r="BQ579" i="3"/>
  <c r="BL579" i="3"/>
  <c r="BQ577" i="3"/>
  <c r="BL577" i="3" s="1"/>
  <c r="AZ577" i="3" s="1"/>
  <c r="BQ575" i="3"/>
  <c r="BQ573" i="3"/>
  <c r="BL573" i="3" s="1"/>
  <c r="BQ571" i="3"/>
  <c r="BQ569" i="3"/>
  <c r="BQ567" i="3"/>
  <c r="BL567" i="3"/>
  <c r="BQ565" i="3"/>
  <c r="BQ563" i="3"/>
  <c r="BL563" i="3" s="1"/>
  <c r="BQ561" i="3"/>
  <c r="BQ559" i="3"/>
  <c r="BL559" i="3" s="1"/>
  <c r="G559" i="3"/>
  <c r="G553" i="3"/>
  <c r="G549" i="3"/>
  <c r="G547" i="3"/>
  <c r="G545" i="3"/>
  <c r="G543" i="3"/>
  <c r="G541" i="3"/>
  <c r="G539" i="3"/>
  <c r="G537" i="3"/>
  <c r="BQ555" i="3"/>
  <c r="BL555" i="3"/>
  <c r="BQ553" i="3"/>
  <c r="BQ551" i="3"/>
  <c r="BL551" i="3"/>
  <c r="BQ549" i="3"/>
  <c r="BQ547" i="3"/>
  <c r="BL547" i="3" s="1"/>
  <c r="BQ545" i="3"/>
  <c r="BL545" i="3"/>
  <c r="BQ543" i="3"/>
  <c r="BL543" i="3" s="1"/>
  <c r="AZ543" i="3"/>
  <c r="BQ541" i="3"/>
  <c r="BL541" i="3"/>
  <c r="BQ539" i="3"/>
  <c r="BL539" i="3" s="1"/>
  <c r="BQ537" i="3"/>
  <c r="BL537" i="3"/>
  <c r="BQ535" i="3"/>
  <c r="BL535" i="3" s="1"/>
  <c r="AZ535" i="3" s="1"/>
  <c r="BQ533" i="3"/>
  <c r="BL533" i="3"/>
  <c r="BQ531" i="3"/>
  <c r="BL531" i="3" s="1"/>
  <c r="BQ529" i="3"/>
  <c r="BL529" i="3" s="1"/>
  <c r="BQ527" i="3"/>
  <c r="BL527" i="3" s="1"/>
  <c r="AZ527" i="3"/>
  <c r="BQ525" i="3"/>
  <c r="BL525" i="3" s="1"/>
  <c r="BQ523" i="3"/>
  <c r="BL523" i="3" s="1"/>
  <c r="BA521" i="3"/>
  <c r="AC521" i="3"/>
  <c r="G521" i="3" s="1"/>
  <c r="BQ521" i="3"/>
  <c r="BL521" i="3"/>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AZ508" i="3"/>
  <c r="G507" i="3"/>
  <c r="G505" i="3"/>
  <c r="G503" i="3"/>
  <c r="G501" i="3"/>
  <c r="G499" i="3"/>
  <c r="G497" i="3"/>
  <c r="G495" i="3"/>
  <c r="BQ507" i="3"/>
  <c r="BQ505" i="3"/>
  <c r="BL505" i="3" s="1"/>
  <c r="BQ503" i="3"/>
  <c r="BL503" i="3" s="1"/>
  <c r="AZ503" i="3"/>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U32" i="33"/>
  <c r="AA36" i="39"/>
  <c r="F39" i="33"/>
  <c r="AA39" i="33"/>
  <c r="E123" i="33"/>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39" i="37"/>
  <c r="U26" i="37"/>
  <c r="W47" i="34"/>
  <c r="AC36" i="34"/>
  <c r="AA13" i="33"/>
  <c r="W44" i="33"/>
  <c r="U11" i="33"/>
  <c r="U19" i="21"/>
  <c r="W44" i="21"/>
  <c r="AB38" i="21"/>
  <c r="F43" i="33"/>
  <c r="AA43" i="33" s="1"/>
  <c r="AC15" i="34"/>
  <c r="W16" i="35"/>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5" i="37"/>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AA25" i="21"/>
  <c r="H19" i="40"/>
  <c r="U19" i="40" s="1"/>
  <c r="F19" i="40"/>
  <c r="S19" i="40" s="1"/>
  <c r="S14" i="40"/>
  <c r="AC13" i="40"/>
  <c r="W23" i="39"/>
  <c r="AC43" i="39"/>
  <c r="W43" i="39"/>
  <c r="AB44" i="39"/>
  <c r="U44" i="39"/>
  <c r="H37" i="39"/>
  <c r="AB37" i="39"/>
  <c r="AC37" i="39"/>
  <c r="W37" i="39"/>
  <c r="H25" i="39"/>
  <c r="AB25" i="39"/>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AC11" i="39" s="1"/>
  <c r="W11" i="39"/>
  <c r="F11" i="39"/>
  <c r="S11" i="39" s="1"/>
  <c r="AA11" i="39"/>
  <c r="G4" i="4"/>
  <c r="I4" i="4"/>
  <c r="A2" i="9"/>
  <c r="F61" i="43"/>
  <c r="H64" i="43" s="1"/>
  <c r="BL549" i="3"/>
  <c r="AZ494" i="3"/>
  <c r="AZ514"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c r="BL160" i="3"/>
  <c r="G161" i="3"/>
  <c r="BA163" i="3"/>
  <c r="AZ163" i="3"/>
  <c r="BL164" i="3"/>
  <c r="AZ164" i="3" s="1"/>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AZ199" i="3" s="1"/>
  <c r="BL200" i="3"/>
  <c r="AZ200" i="3" s="1"/>
  <c r="G201" i="3"/>
  <c r="BA203" i="3"/>
  <c r="BL204" i="3"/>
  <c r="AZ55"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6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37" i="3"/>
  <c r="AZ245" i="3"/>
  <c r="AZ257" i="3"/>
  <c r="AZ265" i="3"/>
  <c r="BA379" i="3"/>
  <c r="AZ379" i="3" s="1"/>
  <c r="BL380" i="3"/>
  <c r="G381" i="3"/>
  <c r="BA383" i="3"/>
  <c r="AZ383" i="3" s="1"/>
  <c r="BL384" i="3"/>
  <c r="G385" i="3"/>
  <c r="BA387" i="3"/>
  <c r="BL388" i="3"/>
  <c r="AZ388" i="3" s="1"/>
  <c r="G389" i="3"/>
  <c r="BA391" i="3"/>
  <c r="AZ391" i="3" s="1"/>
  <c r="BL392" i="3"/>
  <c r="G393" i="3"/>
  <c r="AZ283" i="3"/>
  <c r="BO5" i="3"/>
  <c r="BM5" i="3"/>
  <c r="BJ5" i="3"/>
  <c r="BH5" i="3"/>
  <c r="BF5" i="3"/>
  <c r="BD5" i="3"/>
  <c r="AZ325" i="3"/>
  <c r="AZ341" i="3"/>
  <c r="AC5" i="3"/>
  <c r="AZ506" i="3"/>
  <c r="AZ496" i="3"/>
  <c r="G548" i="3"/>
  <c r="G538" i="3"/>
  <c r="G520" i="3"/>
  <c r="G502" i="3"/>
  <c r="BS5" i="3"/>
  <c r="BP5" i="3"/>
  <c r="G29" i="6" s="1"/>
  <c r="BN5" i="3"/>
  <c r="BK5" i="3"/>
  <c r="BI5" i="3"/>
  <c r="BG5" i="3"/>
  <c r="BE5" i="3"/>
  <c r="BC5" i="3"/>
  <c r="BA17" i="3"/>
  <c r="BT5" i="3"/>
  <c r="AZ368" i="3"/>
  <c r="BA15" i="3"/>
  <c r="BB5" i="3"/>
  <c r="BR5" i="3"/>
  <c r="AZ380" i="3"/>
  <c r="AZ392" i="3"/>
  <c r="AZ499" i="3"/>
  <c r="AZ509" i="3"/>
  <c r="G509" i="3"/>
  <c r="BL493" i="3"/>
  <c r="AZ493" i="3"/>
  <c r="U36" i="40"/>
  <c r="F83" i="43"/>
  <c r="H85" i="43" s="1"/>
  <c r="F50" i="43"/>
  <c r="H54" i="43" s="1"/>
  <c r="F72" i="43"/>
  <c r="H75" i="43" s="1"/>
  <c r="U17" i="39"/>
  <c r="S14" i="35"/>
  <c r="U43" i="21"/>
  <c r="U35" i="21"/>
  <c r="AC35" i="21"/>
  <c r="W37" i="37"/>
  <c r="S15" i="37"/>
  <c r="U13" i="37"/>
  <c r="AA12" i="40"/>
  <c r="J37" i="33"/>
  <c r="W37" i="33"/>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80" i="3"/>
  <c r="AZ133" i="3"/>
  <c r="AZ69" i="3"/>
  <c r="AZ74" i="3"/>
  <c r="AZ86" i="3"/>
  <c r="F23" i="39"/>
  <c r="AA23" i="39" s="1"/>
  <c r="H27" i="36"/>
  <c r="U27" i="36" s="1"/>
  <c r="F27" i="36"/>
  <c r="AA27" i="36" s="1"/>
  <c r="H33" i="34"/>
  <c r="U33" i="34" s="1"/>
  <c r="F32" i="37"/>
  <c r="S32" i="37" s="1"/>
  <c r="AA32" i="37"/>
  <c r="F20" i="36"/>
  <c r="AA20" i="36" s="1"/>
  <c r="J33" i="34"/>
  <c r="AC33" i="34" s="1"/>
  <c r="H23" i="39"/>
  <c r="U23" i="39" s="1"/>
  <c r="D48" i="9"/>
  <c r="M52" i="9" s="1"/>
  <c r="K9" i="1"/>
  <c r="M9" i="1" s="1"/>
  <c r="D93" i="9"/>
  <c r="AC26" i="33"/>
  <c r="W26" i="33"/>
  <c r="AB34" i="36"/>
  <c r="U34" i="36"/>
  <c r="AB33" i="36"/>
  <c r="U33" i="36"/>
  <c r="AC12" i="39"/>
  <c r="W12" i="39"/>
  <c r="AC39" i="40"/>
  <c r="W39" i="40"/>
  <c r="W12" i="33"/>
  <c r="AC12" i="33"/>
  <c r="AA32" i="36"/>
  <c r="S32" i="36"/>
  <c r="BL14" i="3"/>
  <c r="AC13" i="34"/>
  <c r="AA47" i="34"/>
  <c r="W28" i="37"/>
  <c r="S19" i="39"/>
  <c r="F12" i="33"/>
  <c r="H12" i="39"/>
  <c r="AB12" i="39" s="1"/>
  <c r="F39" i="40"/>
  <c r="BA14" i="3"/>
  <c r="AZ14" i="3" s="1"/>
  <c r="AZ224" i="3"/>
  <c r="AZ157" i="3"/>
  <c r="AZ173" i="3"/>
  <c r="AZ181"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S23" i="36"/>
  <c r="U13" i="36"/>
  <c r="U26" i="36"/>
  <c r="S33" i="36"/>
  <c r="AA26" i="36"/>
  <c r="AA34" i="36"/>
  <c r="AC26" i="36"/>
  <c r="AA22" i="36"/>
  <c r="W14" i="36"/>
  <c r="AB14" i="36"/>
  <c r="U22" i="36"/>
  <c r="S16" i="36"/>
  <c r="AA25" i="36"/>
  <c r="S24" i="36"/>
  <c r="U23" i="36"/>
  <c r="AB20" i="36"/>
  <c r="U16" i="36"/>
  <c r="AA25"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45" i="34"/>
  <c r="AA25" i="34"/>
  <c r="U28" i="34"/>
  <c r="S17" i="34"/>
  <c r="AA29"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D120" i="9"/>
  <c r="D121" i="9" s="1"/>
  <c r="D7" i="52" s="1"/>
  <c r="C18" i="9"/>
  <c r="D18" i="9" s="1"/>
  <c r="F34" i="67"/>
  <c r="F62" i="67" s="1"/>
  <c r="M20" i="67"/>
  <c r="F34" i="15"/>
  <c r="F62" i="15" s="1"/>
  <c r="G13" i="3"/>
  <c r="BA13" i="3"/>
  <c r="BL17" i="3"/>
  <c r="BL13" i="3"/>
  <c r="J56" i="9"/>
  <c r="J57" i="9" s="1"/>
  <c r="J59" i="9" s="1"/>
  <c r="J61" i="9"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S37" i="40"/>
  <c r="AB28" i="40"/>
  <c r="W28" i="40"/>
  <c r="W19" i="40"/>
  <c r="W27" i="40"/>
  <c r="S36" i="40"/>
  <c r="W37" i="40"/>
  <c r="AC14" i="40"/>
  <c r="S13" i="40"/>
  <c r="S33" i="40"/>
  <c r="AA15" i="40"/>
  <c r="S31" i="40"/>
  <c r="AB13" i="40"/>
  <c r="U15" i="40"/>
  <c r="AB17" i="40"/>
  <c r="S8" i="40"/>
  <c r="AC41" i="39"/>
  <c r="U42" i="39"/>
  <c r="U41" i="39"/>
  <c r="AA13" i="39"/>
  <c r="S13" i="39"/>
  <c r="S14" i="39"/>
  <c r="AA14" i="39"/>
  <c r="U43" i="39"/>
  <c r="AB43" i="39"/>
  <c r="AB11" i="39"/>
  <c r="U11" i="39"/>
  <c r="AA27" i="39"/>
  <c r="S27" i="39"/>
  <c r="W17" i="39"/>
  <c r="AC17" i="39"/>
  <c r="W31" i="39"/>
  <c r="AC31" i="39"/>
  <c r="S23" i="39"/>
  <c r="AA45" i="39"/>
  <c r="AB39" i="39"/>
  <c r="W34" i="39"/>
  <c r="U38" i="39"/>
  <c r="S8" i="39"/>
  <c r="W29" i="36"/>
  <c r="U25" i="36"/>
  <c r="AB28" i="36"/>
  <c r="AA13" i="36"/>
  <c r="W9" i="36"/>
  <c r="W22" i="36"/>
  <c r="W23" i="36"/>
  <c r="AB20" i="35"/>
  <c r="AC25" i="35"/>
  <c r="U25" i="35"/>
  <c r="U24" i="35"/>
  <c r="S35" i="35"/>
  <c r="AA16" i="35"/>
  <c r="AA35" i="37"/>
  <c r="W36" i="37"/>
  <c r="S28" i="37"/>
  <c r="W32" i="37"/>
  <c r="S40" i="37"/>
  <c r="U38" i="37"/>
  <c r="AB37" i="37"/>
  <c r="AC34" i="37"/>
  <c r="AB35" i="37"/>
  <c r="AA31" i="37"/>
  <c r="U19" i="37"/>
  <c r="AA29" i="37"/>
  <c r="U8" i="37"/>
  <c r="AB40" i="34"/>
  <c r="U19" i="34"/>
  <c r="W19" i="34"/>
  <c r="AB33" i="34"/>
  <c r="AC45" i="34"/>
  <c r="AA31" i="34"/>
  <c r="AA30" i="34"/>
  <c r="AB45" i="34"/>
  <c r="AB47" i="34"/>
  <c r="U25" i="34"/>
  <c r="AB36" i="34"/>
  <c r="AC32" i="34"/>
  <c r="AC29" i="34"/>
  <c r="W29" i="34"/>
  <c r="W46" i="34"/>
  <c r="AC46" i="34"/>
  <c r="U30" i="34"/>
  <c r="AB30" i="34"/>
  <c r="S37" i="34"/>
  <c r="U38" i="34"/>
  <c r="AC40" i="34"/>
  <c r="W40" i="34"/>
  <c r="AA19" i="34"/>
  <c r="S19" i="34"/>
  <c r="AA36" i="34"/>
  <c r="S36" i="34"/>
  <c r="AA8" i="34"/>
  <c r="S8" i="34"/>
  <c r="AB9" i="34"/>
  <c r="U9" i="34"/>
  <c r="S46" i="34"/>
  <c r="AA46"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F33" i="21"/>
  <c r="AA33" i="21" s="1"/>
  <c r="J33" i="21"/>
  <c r="AC33" i="21" s="1"/>
  <c r="H33" i="21"/>
  <c r="AB33" i="21" s="1"/>
  <c r="F37" i="21"/>
  <c r="AA37" i="21" s="1"/>
  <c r="AA26"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AA30" i="21"/>
  <c r="W13" i="21"/>
  <c r="W42" i="21"/>
  <c r="F10" i="21"/>
  <c r="AA10" i="21" s="1"/>
  <c r="K14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AC17" i="37"/>
  <c r="S17" i="37"/>
  <c r="J19" i="37"/>
  <c r="W19" i="37" s="1"/>
  <c r="AA23" i="37"/>
  <c r="J23" i="37"/>
  <c r="W23" i="37" s="1"/>
  <c r="G79" i="37"/>
  <c r="J10" i="37"/>
  <c r="W10" i="37" s="1"/>
  <c r="H11" i="37"/>
  <c r="AB11" i="37" s="1"/>
  <c r="H11" i="34"/>
  <c r="U11" i="34" s="1"/>
  <c r="J10" i="34"/>
  <c r="AC10" i="34" s="1"/>
  <c r="AB41"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J25" i="33"/>
  <c r="AC25" i="33" s="1"/>
  <c r="F23" i="33"/>
  <c r="G85" i="33"/>
  <c r="AA19" i="33"/>
  <c r="H19" i="33"/>
  <c r="AB19" i="33" s="1"/>
  <c r="G81" i="33"/>
  <c r="H17" i="33"/>
  <c r="U17" i="33" s="1"/>
  <c r="F17" i="33"/>
  <c r="S17" i="33" s="1"/>
  <c r="S37" i="21"/>
  <c r="AA23" i="21"/>
  <c r="AB15" i="21"/>
  <c r="J23" i="21"/>
  <c r="AC23" i="21" s="1"/>
  <c r="F85" i="21"/>
  <c r="G85" i="21" s="1"/>
  <c r="H23" i="21"/>
  <c r="S13" i="21"/>
  <c r="D6" i="52"/>
  <c r="AP7" i="1"/>
  <c r="AA32" i="21"/>
  <c r="W9" i="21"/>
  <c r="AC9" i="21"/>
  <c r="AB32" i="21"/>
  <c r="U32" i="39"/>
  <c r="AC32" i="39"/>
  <c r="J11" i="37"/>
  <c r="AC11" i="37" s="1"/>
  <c r="J11" i="34"/>
  <c r="W11" i="34" s="1"/>
  <c r="W25" i="33"/>
  <c r="U19" i="33"/>
  <c r="AA17" i="33"/>
  <c r="U23" i="21"/>
  <c r="AB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7" i="76"/>
  <c r="E7" i="76"/>
  <c r="F43" i="67"/>
  <c r="E10" i="76"/>
  <c r="E11" i="76"/>
  <c r="B8" i="76"/>
  <c r="M22" i="67"/>
  <c r="F38" i="67"/>
  <c r="M24" i="67"/>
  <c r="E2" i="69"/>
  <c r="F7" i="73"/>
  <c r="F36" i="67"/>
  <c r="E9" i="76"/>
  <c r="D6" i="73"/>
  <c r="C76" i="67"/>
  <c r="M23" i="67"/>
  <c r="F4" i="73"/>
  <c r="AO13" i="1"/>
  <c r="F7" i="67"/>
  <c r="M8" i="67"/>
  <c r="F42" i="67"/>
  <c r="F9" i="67"/>
  <c r="M29" i="67"/>
  <c r="M26" i="67"/>
  <c r="J15" i="67"/>
  <c r="F20" i="31"/>
  <c r="B10" i="76"/>
  <c r="E8" i="76"/>
  <c r="L47" i="67"/>
  <c r="L48" i="67"/>
  <c r="F6" i="73"/>
  <c r="M28" i="67"/>
  <c r="F36" i="15"/>
  <c r="F40" i="67"/>
  <c r="F7" i="15"/>
  <c r="M6" i="15"/>
  <c r="F38" i="15"/>
  <c r="B9" i="76"/>
  <c r="E13" i="76"/>
  <c r="E12" i="76"/>
  <c r="B13" i="76"/>
  <c r="F13" i="15"/>
  <c r="J15" i="15"/>
  <c r="F13" i="67"/>
  <c r="M26" i="15"/>
  <c r="B12" i="76"/>
  <c r="F3" i="73"/>
  <c r="F37" i="67"/>
  <c r="B11" i="76"/>
  <c r="M6" i="67"/>
  <c r="M9" i="67"/>
  <c r="F5" i="73"/>
  <c r="F8" i="67"/>
  <c r="E2" i="68"/>
  <c r="F26" i="67"/>
  <c r="F16" i="67"/>
  <c r="F6" i="67"/>
  <c r="L48" i="15"/>
  <c r="U34" i="40" l="1"/>
  <c r="AC11" i="40"/>
  <c r="W34" i="40"/>
  <c r="U11" i="40"/>
  <c r="U9" i="40"/>
  <c r="AA9" i="40"/>
  <c r="W8" i="40"/>
  <c r="U8" i="40"/>
  <c r="H5" i="3"/>
  <c r="F30" i="69"/>
  <c r="F48" i="69" s="1"/>
  <c r="F28" i="67"/>
  <c r="F32" i="67"/>
  <c r="F60" i="67" s="1"/>
  <c r="F28" i="15"/>
  <c r="M18" i="67"/>
  <c r="D68" i="9"/>
  <c r="F30" i="11"/>
  <c r="C48" i="11" s="1"/>
  <c r="M18" i="15"/>
  <c r="F31" i="12"/>
  <c r="C40" i="68"/>
  <c r="C21" i="68"/>
  <c r="AZ17" i="3"/>
  <c r="BL15" i="3"/>
  <c r="AZ15" i="3"/>
  <c r="BA20" i="3"/>
  <c r="U46" i="34"/>
  <c r="AB46" i="34"/>
  <c r="U30" i="21"/>
  <c r="AB30" i="21"/>
  <c r="U23" i="34"/>
  <c r="AB23" i="34"/>
  <c r="J23" i="35"/>
  <c r="H23" i="35"/>
  <c r="J12" i="36"/>
  <c r="H12" i="36"/>
  <c r="F12" i="36"/>
  <c r="BA555" i="3"/>
  <c r="BL554" i="3"/>
  <c r="BA553" i="3"/>
  <c r="BL552" i="3"/>
  <c r="BA552" i="3"/>
  <c r="AZ328" i="3"/>
  <c r="AC27" i="33"/>
  <c r="AC23" i="37"/>
  <c r="U9" i="21"/>
  <c r="W25" i="21"/>
  <c r="S30" i="40"/>
  <c r="AZ372" i="3"/>
  <c r="AZ337" i="3"/>
  <c r="AZ192" i="3"/>
  <c r="AZ521" i="3"/>
  <c r="AZ541" i="3"/>
  <c r="AZ520" i="3"/>
  <c r="AZ554" i="3"/>
  <c r="AZ566" i="3"/>
  <c r="AA14" i="37"/>
  <c r="U33" i="40"/>
  <c r="AB33" i="40"/>
  <c r="W31" i="33"/>
  <c r="AC31" i="33"/>
  <c r="J28" i="21"/>
  <c r="S29" i="35"/>
  <c r="AA29" i="35"/>
  <c r="U17" i="34"/>
  <c r="AB17" i="34"/>
  <c r="F23" i="35"/>
  <c r="AA35" i="34"/>
  <c r="S35" i="34"/>
  <c r="W45" i="33"/>
  <c r="AC45" i="33"/>
  <c r="J14" i="34"/>
  <c r="F14" i="34"/>
  <c r="H32" i="34"/>
  <c r="F32" i="34"/>
  <c r="F12" i="35"/>
  <c r="J12" i="35"/>
  <c r="H12" i="35"/>
  <c r="H36" i="35"/>
  <c r="J36" i="35"/>
  <c r="AC36" i="35" s="1"/>
  <c r="J13" i="39"/>
  <c r="H13" i="39"/>
  <c r="BL581" i="3"/>
  <c r="BL572" i="3"/>
  <c r="BL568" i="3"/>
  <c r="BA565" i="3"/>
  <c r="BA564" i="3"/>
  <c r="AZ564" i="3" s="1"/>
  <c r="BA563" i="3"/>
  <c r="AZ563" i="3" s="1"/>
  <c r="BA562" i="3"/>
  <c r="AZ561" i="3"/>
  <c r="BL556" i="3"/>
  <c r="BA556" i="3"/>
  <c r="AC17" i="33"/>
  <c r="S36" i="33"/>
  <c r="U23" i="33"/>
  <c r="AB25" i="33"/>
  <c r="AA19" i="37"/>
  <c r="W17" i="21"/>
  <c r="AB34" i="33"/>
  <c r="W35" i="35"/>
  <c r="AC25" i="36"/>
  <c r="AC25" i="39"/>
  <c r="AC39" i="34"/>
  <c r="U12" i="39"/>
  <c r="AA27" i="40"/>
  <c r="AB27" i="40"/>
  <c r="AA34" i="33"/>
  <c r="U30" i="33"/>
  <c r="AC44" i="34"/>
  <c r="AZ387" i="3"/>
  <c r="AZ338" i="3"/>
  <c r="AZ371" i="3"/>
  <c r="AZ305" i="3"/>
  <c r="AZ306" i="3"/>
  <c r="AC12" i="37"/>
  <c r="AZ525" i="3"/>
  <c r="AZ531" i="3"/>
  <c r="AZ522" i="3"/>
  <c r="AZ568" i="3"/>
  <c r="U46" i="33"/>
  <c r="J32" i="36"/>
  <c r="W32" i="36" s="1"/>
  <c r="U45" i="33"/>
  <c r="AB45" i="33"/>
  <c r="U26" i="33"/>
  <c r="H28" i="21"/>
  <c r="S26" i="33"/>
  <c r="AA41" i="33"/>
  <c r="S41" i="33"/>
  <c r="U34" i="21"/>
  <c r="AC44" i="39"/>
  <c r="BL587" i="3"/>
  <c r="BA587" i="3"/>
  <c r="BL586" i="3"/>
  <c r="AZ586" i="3" s="1"/>
  <c r="BA585" i="3"/>
  <c r="F14" i="21"/>
  <c r="H14" i="21"/>
  <c r="J27" i="34"/>
  <c r="H27" i="34"/>
  <c r="AA38" i="40"/>
  <c r="S38" i="40"/>
  <c r="H35" i="39"/>
  <c r="F35" i="39"/>
  <c r="BL584" i="3"/>
  <c r="AZ584" i="3" s="1"/>
  <c r="G582" i="3"/>
  <c r="BA581" i="3"/>
  <c r="AZ581" i="3" s="1"/>
  <c r="BA580" i="3"/>
  <c r="AZ580" i="3" s="1"/>
  <c r="BA579" i="3"/>
  <c r="AZ579" i="3" s="1"/>
  <c r="BA578" i="3"/>
  <c r="BL575" i="3"/>
  <c r="AZ575" i="3" s="1"/>
  <c r="BL574" i="3"/>
  <c r="G574" i="3"/>
  <c r="BA573" i="3"/>
  <c r="AZ573" i="3" s="1"/>
  <c r="BA572" i="3"/>
  <c r="AZ572" i="3" s="1"/>
  <c r="BL571" i="3"/>
  <c r="BA571" i="3"/>
  <c r="BL570" i="3"/>
  <c r="BA570" i="3"/>
  <c r="AZ570" i="3" s="1"/>
  <c r="W33" i="34"/>
  <c r="AA40" i="34"/>
  <c r="S24" i="35"/>
  <c r="AB36" i="33"/>
  <c r="AB45" i="21"/>
  <c r="F54" i="9"/>
  <c r="F32" i="15"/>
  <c r="F60" i="15" s="1"/>
  <c r="F52" i="9"/>
  <c r="F30" i="68"/>
  <c r="F48" i="68" s="1"/>
  <c r="U36" i="37"/>
  <c r="AC20" i="36"/>
  <c r="S20" i="36"/>
  <c r="AA39" i="39"/>
  <c r="S14" i="36"/>
  <c r="AC34" i="33"/>
  <c r="AC17" i="34"/>
  <c r="F29" i="6"/>
  <c r="AZ318" i="3"/>
  <c r="AZ364" i="3"/>
  <c r="AZ329" i="3"/>
  <c r="AZ304" i="3"/>
  <c r="AZ394" i="3"/>
  <c r="AZ549" i="3"/>
  <c r="AZ505" i="3"/>
  <c r="AZ513" i="3"/>
  <c r="AZ558" i="3"/>
  <c r="AZ574" i="3"/>
  <c r="AC40" i="37"/>
  <c r="AA11" i="36"/>
  <c r="S11" i="36"/>
  <c r="H32" i="36"/>
  <c r="J45" i="21"/>
  <c r="F45" i="21"/>
  <c r="H27" i="37"/>
  <c r="J27" i="37"/>
  <c r="F27" i="37"/>
  <c r="H45" i="39"/>
  <c r="J45" i="39"/>
  <c r="W45" i="39" s="1"/>
  <c r="J12" i="40"/>
  <c r="H12" i="40"/>
  <c r="J31" i="40"/>
  <c r="H31" i="40"/>
  <c r="AB38" i="40"/>
  <c r="U38" i="40"/>
  <c r="AZ402" i="3"/>
  <c r="AZ406" i="3"/>
  <c r="AZ413" i="3"/>
  <c r="AZ443" i="3"/>
  <c r="AZ458" i="3"/>
  <c r="AZ462" i="3"/>
  <c r="AZ476" i="3"/>
  <c r="AZ515" i="3"/>
  <c r="AZ523" i="3"/>
  <c r="AZ533" i="3"/>
  <c r="AZ547" i="3"/>
  <c r="BL569" i="3"/>
  <c r="AZ569" i="3" s="1"/>
  <c r="BL557" i="3"/>
  <c r="AZ557" i="3" s="1"/>
  <c r="AZ524" i="3"/>
  <c r="BL585" i="3"/>
  <c r="B79" i="43"/>
  <c r="J24" i="36"/>
  <c r="H24" i="36"/>
  <c r="F44" i="39"/>
  <c r="BL550" i="3"/>
  <c r="AZ187" i="3"/>
  <c r="AZ360" i="3"/>
  <c r="AZ539" i="3"/>
  <c r="BL553" i="3"/>
  <c r="BL565" i="3"/>
  <c r="G557" i="3"/>
  <c r="AZ529" i="3"/>
  <c r="AZ537" i="3"/>
  <c r="AZ518" i="3"/>
  <c r="AZ526" i="3"/>
  <c r="AZ546" i="3"/>
  <c r="G552" i="3"/>
  <c r="BL16" i="3"/>
  <c r="AZ16" i="3" s="1"/>
  <c r="AZ407" i="3"/>
  <c r="AZ419" i="3"/>
  <c r="AZ448" i="3"/>
  <c r="BL449" i="3"/>
  <c r="BL450" i="3"/>
  <c r="BL452" i="3"/>
  <c r="BL456" i="3"/>
  <c r="AZ456" i="3" s="1"/>
  <c r="BA464" i="3"/>
  <c r="BL467" i="3"/>
  <c r="BL468" i="3"/>
  <c r="BL470" i="3"/>
  <c r="AZ470" i="3" s="1"/>
  <c r="BL473" i="3"/>
  <c r="AZ473" i="3" s="1"/>
  <c r="BL474" i="3"/>
  <c r="BA482" i="3"/>
  <c r="BA484" i="3"/>
  <c r="AZ484" i="3" s="1"/>
  <c r="BA303" i="3"/>
  <c r="AZ303" i="3" s="1"/>
  <c r="BA307" i="3"/>
  <c r="AZ307" i="3" s="1"/>
  <c r="BL314" i="3"/>
  <c r="AZ314" i="3" s="1"/>
  <c r="BA332" i="3"/>
  <c r="AZ332" i="3" s="1"/>
  <c r="BL332" i="3"/>
  <c r="G364" i="3"/>
  <c r="BA367" i="3"/>
  <c r="AZ367" i="3" s="1"/>
  <c r="BA370" i="3"/>
  <c r="AZ370" i="3" s="1"/>
  <c r="BA386" i="3"/>
  <c r="AZ386" i="3" s="1"/>
  <c r="G210" i="3"/>
  <c r="BA220" i="3"/>
  <c r="BA235" i="3"/>
  <c r="AZ235" i="3" s="1"/>
  <c r="F25" i="37"/>
  <c r="BA551" i="3"/>
  <c r="AZ551" i="3" s="1"/>
  <c r="BA550" i="3"/>
  <c r="AZ550" i="3" s="1"/>
  <c r="BL548" i="3"/>
  <c r="AZ548" i="3" s="1"/>
  <c r="G398" i="3"/>
  <c r="G399" i="3"/>
  <c r="BL400" i="3"/>
  <c r="AZ400" i="3" s="1"/>
  <c r="BL408" i="3"/>
  <c r="BL411" i="3"/>
  <c r="BL413" i="3"/>
  <c r="G415" i="3"/>
  <c r="G416" i="3"/>
  <c r="BL417" i="3"/>
  <c r="BL418" i="3"/>
  <c r="BL420" i="3"/>
  <c r="AZ420" i="3" s="1"/>
  <c r="G422" i="3"/>
  <c r="G423" i="3"/>
  <c r="BL424" i="3"/>
  <c r="G426" i="3"/>
  <c r="G427" i="3"/>
  <c r="BL428" i="3"/>
  <c r="BL429" i="3"/>
  <c r="BL432" i="3"/>
  <c r="BL435" i="3"/>
  <c r="BL436" i="3"/>
  <c r="BA439" i="3"/>
  <c r="BA440" i="3"/>
  <c r="AZ440" i="3" s="1"/>
  <c r="BA442" i="3"/>
  <c r="BA445" i="3"/>
  <c r="BA447" i="3"/>
  <c r="AZ447" i="3" s="1"/>
  <c r="BA449" i="3"/>
  <c r="AZ449" i="3" s="1"/>
  <c r="BL453" i="3"/>
  <c r="AZ453" i="3" s="1"/>
  <c r="BL454" i="3"/>
  <c r="G458" i="3"/>
  <c r="BL459" i="3"/>
  <c r="G461" i="3"/>
  <c r="G462" i="3"/>
  <c r="BA465" i="3"/>
  <c r="AZ465" i="3" s="1"/>
  <c r="BA467" i="3"/>
  <c r="BA468" i="3"/>
  <c r="BL471" i="3"/>
  <c r="BL475" i="3"/>
  <c r="BA477" i="3"/>
  <c r="AZ477" i="3" s="1"/>
  <c r="BA478" i="3"/>
  <c r="BA481" i="3"/>
  <c r="G484" i="3"/>
  <c r="BA488" i="3"/>
  <c r="AZ488" i="3" s="1"/>
  <c r="BA491" i="3"/>
  <c r="BL324" i="3"/>
  <c r="AZ324" i="3" s="1"/>
  <c r="BL328" i="3"/>
  <c r="G329" i="3"/>
  <c r="BA335" i="3"/>
  <c r="AZ335" i="3" s="1"/>
  <c r="BA339" i="3"/>
  <c r="AZ339" i="3" s="1"/>
  <c r="G343" i="3"/>
  <c r="G347" i="3"/>
  <c r="BA348" i="3"/>
  <c r="BA350" i="3"/>
  <c r="AZ350" i="3" s="1"/>
  <c r="BA354" i="3"/>
  <c r="BA366" i="3"/>
  <c r="AZ366" i="3" s="1"/>
  <c r="BL375" i="3"/>
  <c r="AZ375" i="3" s="1"/>
  <c r="BL385" i="3"/>
  <c r="G392" i="3"/>
  <c r="BA397" i="3"/>
  <c r="AZ397" i="3" s="1"/>
  <c r="BL397" i="3"/>
  <c r="BA210" i="3"/>
  <c r="G213" i="3"/>
  <c r="BL215" i="3"/>
  <c r="G228" i="3"/>
  <c r="BA233" i="3"/>
  <c r="BL398" i="3"/>
  <c r="BL403" i="3"/>
  <c r="AZ403" i="3" s="1"/>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BA434" i="3"/>
  <c r="BA436" i="3"/>
  <c r="AZ436" i="3" s="1"/>
  <c r="BA438" i="3"/>
  <c r="BA446" i="3"/>
  <c r="BL461" i="3"/>
  <c r="BL463" i="3"/>
  <c r="AZ471" i="3"/>
  <c r="AZ487" i="3"/>
  <c r="AZ228" i="3"/>
  <c r="BA398" i="3"/>
  <c r="AZ398" i="3" s="1"/>
  <c r="BA399" i="3"/>
  <c r="AZ399" i="3" s="1"/>
  <c r="BL401" i="3"/>
  <c r="AZ401" i="3" s="1"/>
  <c r="BL404" i="3"/>
  <c r="AZ404" i="3" s="1"/>
  <c r="BL405" i="3"/>
  <c r="AZ405" i="3" s="1"/>
  <c r="BL407" i="3"/>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G450" i="3"/>
  <c r="G451" i="3"/>
  <c r="BA454" i="3"/>
  <c r="AZ454" i="3" s="1"/>
  <c r="BA457" i="3"/>
  <c r="AZ457" i="3" s="1"/>
  <c r="BA459" i="3"/>
  <c r="AZ459" i="3" s="1"/>
  <c r="BA460" i="3"/>
  <c r="AZ460" i="3" s="1"/>
  <c r="BA461" i="3"/>
  <c r="BL464" i="3"/>
  <c r="BL466" i="3"/>
  <c r="AZ466" i="3" s="1"/>
  <c r="G468" i="3"/>
  <c r="G469" i="3"/>
  <c r="BL476" i="3"/>
  <c r="BL477" i="3"/>
  <c r="BL478" i="3"/>
  <c r="G479" i="3"/>
  <c r="G480" i="3"/>
  <c r="BL480" i="3"/>
  <c r="AZ480" i="3" s="1"/>
  <c r="G482" i="3"/>
  <c r="BA483" i="3"/>
  <c r="BL483" i="3"/>
  <c r="BA486" i="3"/>
  <c r="BL489" i="3"/>
  <c r="BL491" i="3"/>
  <c r="BL492" i="3"/>
  <c r="G307" i="3"/>
  <c r="BA315" i="3"/>
  <c r="AZ315" i="3" s="1"/>
  <c r="BA333" i="3"/>
  <c r="BL346" i="3"/>
  <c r="AZ346" i="3" s="1"/>
  <c r="BA384" i="3"/>
  <c r="AZ384" i="3" s="1"/>
  <c r="BA395" i="3"/>
  <c r="AZ395" i="3" s="1"/>
  <c r="BA208" i="3"/>
  <c r="AZ208" i="3" s="1"/>
  <c r="BA211" i="3"/>
  <c r="AZ211" i="3" s="1"/>
  <c r="G226" i="3"/>
  <c r="BA240" i="3"/>
  <c r="AZ240" i="3" s="1"/>
  <c r="BA216" i="3"/>
  <c r="AZ216" i="3" s="1"/>
  <c r="BA218" i="3"/>
  <c r="AZ218" i="3" s="1"/>
  <c r="BL218" i="3"/>
  <c r="BL220" i="3"/>
  <c r="BL221" i="3"/>
  <c r="BL223" i="3"/>
  <c r="BA227" i="3"/>
  <c r="AZ227" i="3" s="1"/>
  <c r="BA229" i="3"/>
  <c r="AZ229" i="3" s="1"/>
  <c r="BL229" i="3"/>
  <c r="BL231" i="3"/>
  <c r="AZ231" i="3" s="1"/>
  <c r="BL233" i="3"/>
  <c r="BL235" i="3"/>
  <c r="BL236" i="3"/>
  <c r="BL238" i="3"/>
  <c r="BL243" i="3"/>
  <c r="BA247" i="3"/>
  <c r="AZ247" i="3" s="1"/>
  <c r="BL247" i="3"/>
  <c r="BA249" i="3"/>
  <c r="AZ249" i="3" s="1"/>
  <c r="BL249" i="3"/>
  <c r="BA251" i="3"/>
  <c r="AZ251" i="3" s="1"/>
  <c r="BL251" i="3"/>
  <c r="BA253" i="3"/>
  <c r="BL260" i="3"/>
  <c r="BL263" i="3"/>
  <c r="BL270" i="3"/>
  <c r="AZ270" i="3" s="1"/>
  <c r="BA272" i="3"/>
  <c r="AZ272" i="3" s="1"/>
  <c r="BL275" i="3"/>
  <c r="AZ275" i="3" s="1"/>
  <c r="BL285" i="3"/>
  <c r="BL287" i="3"/>
  <c r="BA290" i="3"/>
  <c r="AZ290" i="3" s="1"/>
  <c r="BL299" i="3"/>
  <c r="BL113" i="3"/>
  <c r="BL115" i="3"/>
  <c r="AZ115" i="3" s="1"/>
  <c r="BA118" i="3"/>
  <c r="AZ118" i="3" s="1"/>
  <c r="BL118" i="3"/>
  <c r="BA122" i="3"/>
  <c r="AZ122" i="3" s="1"/>
  <c r="BL125" i="3"/>
  <c r="AZ125" i="3" s="1"/>
  <c r="BL126" i="3"/>
  <c r="BA144" i="3"/>
  <c r="AZ144" i="3" s="1"/>
  <c r="BA153" i="3"/>
  <c r="BL155" i="3"/>
  <c r="AZ155" i="3" s="1"/>
  <c r="BL162" i="3"/>
  <c r="AZ162" i="3" s="1"/>
  <c r="BA168" i="3"/>
  <c r="AZ168" i="3" s="1"/>
  <c r="BL210" i="3"/>
  <c r="BL212" i="3"/>
  <c r="AZ212" i="3" s="1"/>
  <c r="G214" i="3"/>
  <c r="BL214" i="3"/>
  <c r="AZ214" i="3" s="1"/>
  <c r="G216" i="3"/>
  <c r="BL225" i="3"/>
  <c r="AZ225" i="3" s="1"/>
  <c r="BL226" i="3"/>
  <c r="G227" i="3"/>
  <c r="BA239" i="3"/>
  <c r="BL239" i="3"/>
  <c r="BA241" i="3"/>
  <c r="AZ241" i="3" s="1"/>
  <c r="BL241" i="3"/>
  <c r="BA244" i="3"/>
  <c r="BL244" i="3"/>
  <c r="BA246" i="3"/>
  <c r="BA252" i="3"/>
  <c r="AZ252" i="3" s="1"/>
  <c r="BA254" i="3"/>
  <c r="AZ254" i="3" s="1"/>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G164" i="3"/>
  <c r="BA169" i="3"/>
  <c r="AZ169" i="3" s="1"/>
  <c r="BL171" i="3"/>
  <c r="AZ171" i="3" s="1"/>
  <c r="BA219" i="3"/>
  <c r="AZ219" i="3" s="1"/>
  <c r="BA221" i="3"/>
  <c r="BA223" i="3"/>
  <c r="BL228" i="3"/>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AZ126" i="3"/>
  <c r="BL123" i="3"/>
  <c r="AZ123" i="3" s="1"/>
  <c r="BA128" i="3"/>
  <c r="AZ128" i="3" s="1"/>
  <c r="BL134" i="3"/>
  <c r="BL137" i="3"/>
  <c r="BA146" i="3"/>
  <c r="AZ146" i="3" s="1"/>
  <c r="BA150" i="3"/>
  <c r="AZ150" i="3" s="1"/>
  <c r="G159" i="3"/>
  <c r="BL165" i="3"/>
  <c r="C55" i="71"/>
  <c r="D54" i="71"/>
  <c r="G174" i="3"/>
  <c r="BA176" i="3"/>
  <c r="AZ176" i="3" s="1"/>
  <c r="BA178" i="3"/>
  <c r="G182" i="3"/>
  <c r="BA184" i="3"/>
  <c r="AZ184" i="3" s="1"/>
  <c r="BL187" i="3"/>
  <c r="G188" i="3"/>
  <c r="BL189" i="3"/>
  <c r="AZ189" i="3" s="1"/>
  <c r="BL190" i="3"/>
  <c r="G191" i="3"/>
  <c r="BA192" i="3"/>
  <c r="AZ27" i="3"/>
  <c r="AZ64" i="3"/>
  <c r="AZ70" i="3"/>
  <c r="F40" i="69"/>
  <c r="C40" i="69"/>
  <c r="U21" i="33"/>
  <c r="AB21" i="33"/>
  <c r="AC18" i="35"/>
  <c r="W18" i="35"/>
  <c r="T32" i="71"/>
  <c r="D32" i="71"/>
  <c r="C52" i="71"/>
  <c r="D51" i="71"/>
  <c r="X33" i="71"/>
  <c r="X34" i="71"/>
  <c r="X36" i="71"/>
  <c r="X35" i="71"/>
  <c r="AB37" i="71"/>
  <c r="AB35" i="71"/>
  <c r="F38" i="71"/>
  <c r="F39" i="71" s="1"/>
  <c r="F40" i="71" s="1"/>
  <c r="V40" i="71" s="1"/>
  <c r="C47" i="71"/>
  <c r="D47" i="71" s="1"/>
  <c r="D46" i="71"/>
  <c r="C64" i="71"/>
  <c r="D64" i="71" s="1"/>
  <c r="D63" i="71"/>
  <c r="Y26" i="71"/>
  <c r="Z26" i="71" s="1"/>
  <c r="BL193" i="3"/>
  <c r="BL194" i="3"/>
  <c r="AZ194" i="3" s="1"/>
  <c r="BA198" i="3"/>
  <c r="AZ198" i="3" s="1"/>
  <c r="G199" i="3"/>
  <c r="G205" i="3"/>
  <c r="BL206" i="3"/>
  <c r="BA19" i="3"/>
  <c r="AZ19" i="3" s="1"/>
  <c r="G27" i="3"/>
  <c r="BA27" i="3"/>
  <c r="BL30" i="3"/>
  <c r="AZ30" i="3" s="1"/>
  <c r="BL31" i="3"/>
  <c r="AZ31" i="3" s="1"/>
  <c r="G37" i="3"/>
  <c r="BL40" i="3"/>
  <c r="BL41" i="3"/>
  <c r="AZ41" i="3" s="1"/>
  <c r="BL45" i="3"/>
  <c r="BA48" i="3"/>
  <c r="BA49" i="3"/>
  <c r="BA51" i="3"/>
  <c r="AZ51" i="3" s="1"/>
  <c r="G55" i="3"/>
  <c r="BL56" i="3"/>
  <c r="BA58" i="3"/>
  <c r="BL59" i="3"/>
  <c r="AZ59" i="3" s="1"/>
  <c r="BL60" i="3"/>
  <c r="BA61" i="3"/>
  <c r="AZ61" i="3" s="1"/>
  <c r="BA68" i="3"/>
  <c r="BA73" i="3"/>
  <c r="AZ73" i="3" s="1"/>
  <c r="BA80" i="3"/>
  <c r="BL84" i="3"/>
  <c r="BA89" i="3"/>
  <c r="BL92" i="3"/>
  <c r="AZ92" i="3" s="1"/>
  <c r="BA104" i="3"/>
  <c r="W21" i="37"/>
  <c r="AC21" i="37"/>
  <c r="U21" i="37"/>
  <c r="AB21" i="34"/>
  <c r="U21" i="34"/>
  <c r="B100" i="43"/>
  <c r="B57" i="43"/>
  <c r="B68" i="43"/>
  <c r="AB27" i="71"/>
  <c r="AB25" i="71"/>
  <c r="AB28" i="71"/>
  <c r="AB26" i="71"/>
  <c r="Y25" i="71"/>
  <c r="Z25" i="71" s="1"/>
  <c r="AB32" i="71"/>
  <c r="Y30" i="71"/>
  <c r="Z30" i="71" s="1"/>
  <c r="C34" i="71"/>
  <c r="Y28" i="71"/>
  <c r="Z28" i="71" s="1"/>
  <c r="C23" i="71"/>
  <c r="B22" i="71"/>
  <c r="B21" i="71" s="1"/>
  <c r="B20" i="71" s="1"/>
  <c r="AA3" i="71"/>
  <c r="BL177" i="3"/>
  <c r="AZ177" i="3" s="1"/>
  <c r="G179" i="3"/>
  <c r="BL183" i="3"/>
  <c r="AZ183" i="3" s="1"/>
  <c r="BA186" i="3"/>
  <c r="AZ186" i="3" s="1"/>
  <c r="BA190" i="3"/>
  <c r="AZ190" i="3" s="1"/>
  <c r="G196" i="3"/>
  <c r="BA197" i="3"/>
  <c r="AZ197" i="3" s="1"/>
  <c r="BL201" i="3"/>
  <c r="AZ201" i="3" s="1"/>
  <c r="BL203" i="3"/>
  <c r="AZ203" i="3" s="1"/>
  <c r="BA204" i="3"/>
  <c r="AZ204" i="3" s="1"/>
  <c r="BA18" i="3"/>
  <c r="AZ18" i="3" s="1"/>
  <c r="G21" i="3"/>
  <c r="BL21" i="3"/>
  <c r="G23" i="3"/>
  <c r="G29" i="3"/>
  <c r="BL29" i="3"/>
  <c r="G33" i="3"/>
  <c r="G34" i="3"/>
  <c r="BA37" i="3"/>
  <c r="G39" i="3"/>
  <c r="BL39" i="3"/>
  <c r="G43" i="3"/>
  <c r="G44" i="3"/>
  <c r="BA45" i="3"/>
  <c r="AZ45" i="3" s="1"/>
  <c r="BA46" i="3"/>
  <c r="BL49" i="3"/>
  <c r="BL50" i="3"/>
  <c r="AZ50" i="3" s="1"/>
  <c r="BL51" i="3"/>
  <c r="G53" i="3"/>
  <c r="BL53" i="3"/>
  <c r="BA56" i="3"/>
  <c r="AZ56" i="3" s="1"/>
  <c r="BA57" i="3"/>
  <c r="BL58" i="3"/>
  <c r="G60" i="3"/>
  <c r="BA60" i="3"/>
  <c r="AZ60" i="3" s="1"/>
  <c r="BA63" i="3"/>
  <c r="BA66" i="3"/>
  <c r="BA71" i="3"/>
  <c r="G76" i="3"/>
  <c r="BL77" i="3"/>
  <c r="AZ77" i="3" s="1"/>
  <c r="BA79" i="3"/>
  <c r="AZ79" i="3" s="1"/>
  <c r="G82" i="3"/>
  <c r="G83" i="3"/>
  <c r="BA84" i="3"/>
  <c r="AZ84" i="3" s="1"/>
  <c r="BL88" i="3"/>
  <c r="AZ88" i="3" s="1"/>
  <c r="G90" i="3"/>
  <c r="BL90" i="3"/>
  <c r="AZ90" i="3" s="1"/>
  <c r="G95" i="3"/>
  <c r="G96" i="3"/>
  <c r="G103" i="3"/>
  <c r="BA103" i="3"/>
  <c r="AZ103" i="3" s="1"/>
  <c r="BA109" i="3"/>
  <c r="BA110" i="3"/>
  <c r="AZ110" i="3" s="1"/>
  <c r="B13" i="1"/>
  <c r="E13" i="1" s="1"/>
  <c r="K13" i="1"/>
  <c r="M13" i="1" s="1"/>
  <c r="O13" i="1" s="1"/>
  <c r="P13" i="1" s="1"/>
  <c r="W21" i="21"/>
  <c r="T44" i="71"/>
  <c r="P65" i="71"/>
  <c r="P66" i="71"/>
  <c r="F28" i="71"/>
  <c r="F27" i="71" s="1"/>
  <c r="F26" i="71" s="1"/>
  <c r="C40" i="71"/>
  <c r="E39" i="71"/>
  <c r="E40" i="71" s="1"/>
  <c r="U40" i="71" s="1"/>
  <c r="E59" i="71"/>
  <c r="E60" i="71" s="1"/>
  <c r="U60" i="71" s="1"/>
  <c r="T76" i="71"/>
  <c r="D76" i="71"/>
  <c r="C75" i="71"/>
  <c r="BL167" i="3"/>
  <c r="AZ167" i="3" s="1"/>
  <c r="G175" i="3"/>
  <c r="G176" i="3"/>
  <c r="BL178" i="3"/>
  <c r="BA180" i="3"/>
  <c r="AZ180" i="3" s="1"/>
  <c r="BL182" i="3"/>
  <c r="AZ182" i="3" s="1"/>
  <c r="G183" i="3"/>
  <c r="BA185" i="3"/>
  <c r="BL191" i="3"/>
  <c r="AZ191" i="3" s="1"/>
  <c r="G192" i="3"/>
  <c r="BA193" i="3"/>
  <c r="BA196" i="3"/>
  <c r="AZ196" i="3" s="1"/>
  <c r="BA205" i="3"/>
  <c r="AZ205" i="3" s="1"/>
  <c r="G20" i="3"/>
  <c r="BL20" i="3"/>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BL71" i="3"/>
  <c r="BL72" i="3"/>
  <c r="AZ72" i="3" s="1"/>
  <c r="G74" i="3"/>
  <c r="G75" i="3"/>
  <c r="BL75" i="3"/>
  <c r="AZ75" i="3" s="1"/>
  <c r="G79" i="3"/>
  <c r="BL81" i="3"/>
  <c r="BA82" i="3"/>
  <c r="AZ82" i="3" s="1"/>
  <c r="BL83" i="3"/>
  <c r="G86" i="3"/>
  <c r="G87" i="3"/>
  <c r="BA92" i="3"/>
  <c r="G106" i="3"/>
  <c r="BL106" i="3"/>
  <c r="BA108" i="3"/>
  <c r="AZ108" i="3" s="1"/>
  <c r="AC18" i="36"/>
  <c r="W18" i="36"/>
  <c r="AB25" i="40"/>
  <c r="U25" i="40"/>
  <c r="C86" i="71"/>
  <c r="D86" i="71" s="1"/>
  <c r="D87" i="71"/>
  <c r="X26"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G101" i="3"/>
  <c r="BA101" i="3"/>
  <c r="AZ101" i="3" s="1"/>
  <c r="G109" i="3"/>
  <c r="BL112" i="3"/>
  <c r="B88" i="43"/>
  <c r="D39" i="71"/>
  <c r="C27" i="71"/>
  <c r="D62" i="71"/>
  <c r="U68" i="71"/>
  <c r="D30" i="71"/>
  <c r="X31" i="71"/>
  <c r="F35" i="71"/>
  <c r="F36" i="71" s="1"/>
  <c r="V36" i="71" s="1"/>
  <c r="AA34" i="71"/>
  <c r="B51" i="71"/>
  <c r="B52" i="71" s="1"/>
  <c r="S52" i="71" s="1"/>
  <c r="BA90" i="3"/>
  <c r="BL94" i="3"/>
  <c r="AZ94" i="3" s="1"/>
  <c r="BA100" i="3"/>
  <c r="AZ100" i="3" s="1"/>
  <c r="BA102" i="3"/>
  <c r="AZ102" i="3" s="1"/>
  <c r="BL105" i="3"/>
  <c r="AZ105" i="3" s="1"/>
  <c r="G107" i="3"/>
  <c r="BL107" i="3"/>
  <c r="BA111" i="3"/>
  <c r="AZ111" i="3" s="1"/>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52" i="3"/>
  <c r="AZ467" i="3"/>
  <c r="AZ468" i="3"/>
  <c r="W35" i="39"/>
  <c r="F27" i="34"/>
  <c r="C21" i="39"/>
  <c r="U9" i="36"/>
  <c r="U14" i="37"/>
  <c r="H12" i="21"/>
  <c r="G526" i="3"/>
  <c r="AZ424" i="3"/>
  <c r="AZ434"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20"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48" i="3"/>
  <c r="AZ68" i="3"/>
  <c r="AZ106" i="3"/>
  <c r="G200" i="3"/>
  <c r="G207" i="3"/>
  <c r="BA23" i="3"/>
  <c r="AZ23" i="3" s="1"/>
  <c r="BA24" i="3"/>
  <c r="AZ24" i="3" s="1"/>
  <c r="BL26" i="3"/>
  <c r="AZ26" i="3" s="1"/>
  <c r="BL32" i="3"/>
  <c r="AZ32" i="3" s="1"/>
  <c r="BA34" i="3"/>
  <c r="AZ34" i="3" s="1"/>
  <c r="BA35" i="3"/>
  <c r="AZ35" i="3" s="1"/>
  <c r="BL37" i="3"/>
  <c r="BL42" i="3"/>
  <c r="AZ42" i="3" s="1"/>
  <c r="BA44" i="3"/>
  <c r="AZ44" i="3" s="1"/>
  <c r="AZ46" i="3"/>
  <c r="BA206" i="3"/>
  <c r="BL22" i="3"/>
  <c r="AZ22" i="3" s="1"/>
  <c r="BL33" i="3"/>
  <c r="AZ33" i="3" s="1"/>
  <c r="BL43" i="3"/>
  <c r="AZ43" i="3" s="1"/>
  <c r="BL46" i="3"/>
  <c r="AZ54" i="3"/>
  <c r="BL78" i="3"/>
  <c r="BA83" i="3"/>
  <c r="AZ83" i="3" s="1"/>
  <c r="G91" i="3"/>
  <c r="BL95" i="3"/>
  <c r="BL98" i="3"/>
  <c r="AZ98" i="3" s="1"/>
  <c r="BL109" i="3"/>
  <c r="AZ109" i="3" s="1"/>
  <c r="AB21" i="21"/>
  <c r="AZ78" i="3"/>
  <c r="AZ95"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J53" i="67"/>
  <c r="J57" i="67"/>
  <c r="J55" i="67" s="1"/>
  <c r="J58" i="67" s="1"/>
  <c r="Q50" i="67" s="1"/>
  <c r="L56" i="67"/>
  <c r="I54" i="67"/>
  <c r="M7" i="15"/>
  <c r="F50" i="15"/>
  <c r="F66" i="67"/>
  <c r="F66" i="15"/>
  <c r="Q71" i="67"/>
  <c r="F64" i="15"/>
  <c r="C27" i="67"/>
  <c r="F71" i="67"/>
  <c r="N59" i="67"/>
  <c r="L59" i="67"/>
  <c r="L58" i="67"/>
  <c r="M59" i="67"/>
  <c r="B13" i="70"/>
  <c r="M7" i="67"/>
  <c r="J6" i="67" s="1"/>
  <c r="F50" i="67"/>
  <c r="F68" i="67"/>
  <c r="F64" i="67"/>
  <c r="D9" i="69"/>
  <c r="D9" i="68"/>
  <c r="C36" i="68"/>
  <c r="M8" i="15"/>
  <c r="F26" i="15"/>
  <c r="M24" i="15"/>
  <c r="M23" i="15"/>
  <c r="M9" i="15"/>
  <c r="C76" i="15"/>
  <c r="D5" i="73"/>
  <c r="D7" i="73"/>
  <c r="M28" i="15"/>
  <c r="D3" i="73"/>
  <c r="C16" i="67"/>
  <c r="F9" i="15"/>
  <c r="L47" i="15"/>
  <c r="F16" i="15"/>
  <c r="F6" i="15"/>
  <c r="M29" i="15"/>
  <c r="F43" i="15"/>
  <c r="F42" i="15"/>
  <c r="F37" i="15"/>
  <c r="F8" i="15"/>
  <c r="F40" i="15"/>
  <c r="M22" i="15"/>
  <c r="D4" i="73"/>
  <c r="AZ20" i="3" l="1"/>
  <c r="P6" i="1"/>
  <c r="C13" i="12" s="1"/>
  <c r="F68" i="15"/>
  <c r="F51" i="15"/>
  <c r="C49" i="15" s="1"/>
  <c r="F65" i="15"/>
  <c r="F71" i="15"/>
  <c r="C6" i="15"/>
  <c r="C32" i="15" s="1"/>
  <c r="F31" i="15"/>
  <c r="M59" i="15"/>
  <c r="L58" i="15"/>
  <c r="Q60" i="15" s="1"/>
  <c r="L59" i="15"/>
  <c r="Q74" i="15" s="1"/>
  <c r="N59" i="15"/>
  <c r="Q71" i="15"/>
  <c r="C27" i="15"/>
  <c r="W27" i="34"/>
  <c r="AC27" i="34"/>
  <c r="AB36" i="35"/>
  <c r="U36" i="35"/>
  <c r="W12" i="36"/>
  <c r="AC12" i="36"/>
  <c r="AZ206" i="3"/>
  <c r="AZ232" i="3"/>
  <c r="D75" i="71"/>
  <c r="C74" i="71"/>
  <c r="D74" i="71" s="1"/>
  <c r="AZ71" i="3"/>
  <c r="D23" i="71"/>
  <c r="C22" i="71"/>
  <c r="AZ58" i="3"/>
  <c r="AZ49" i="3"/>
  <c r="AZ178" i="3"/>
  <c r="C56" i="71"/>
  <c r="D55" i="71"/>
  <c r="AZ271" i="3"/>
  <c r="AZ238" i="3"/>
  <c r="AZ130" i="3"/>
  <c r="AZ244" i="3"/>
  <c r="AZ239" i="3"/>
  <c r="AZ483" i="3"/>
  <c r="AB24" i="36"/>
  <c r="U24" i="36"/>
  <c r="AB31" i="40"/>
  <c r="U31" i="40"/>
  <c r="U27" i="37"/>
  <c r="AB27" i="37"/>
  <c r="U14" i="21"/>
  <c r="AB14" i="21"/>
  <c r="AZ587" i="3"/>
  <c r="AZ565" i="3"/>
  <c r="U13" i="39"/>
  <c r="AB13" i="39"/>
  <c r="U12" i="35"/>
  <c r="AB12" i="35"/>
  <c r="AB32" i="34"/>
  <c r="U32" i="34"/>
  <c r="W28" i="21"/>
  <c r="AC28" i="21"/>
  <c r="AZ552" i="3"/>
  <c r="U23" i="35"/>
  <c r="AB23" i="35"/>
  <c r="B19" i="71"/>
  <c r="B18" i="71" s="1"/>
  <c r="B17" i="71" s="1"/>
  <c r="B16" i="71" s="1"/>
  <c r="S20" i="71"/>
  <c r="AC27" i="37"/>
  <c r="W27" i="37"/>
  <c r="AB28" i="21"/>
  <c r="U28" i="21"/>
  <c r="AA32" i="34"/>
  <c r="S32" i="34"/>
  <c r="AC32" i="36"/>
  <c r="T64" i="71"/>
  <c r="G5" i="3"/>
  <c r="B3" i="3" s="1"/>
  <c r="E520" i="3" s="1"/>
  <c r="AZ142" i="3"/>
  <c r="AZ253" i="3"/>
  <c r="AZ215" i="3"/>
  <c r="C26" i="71"/>
  <c r="D26" i="71" s="1"/>
  <c r="D27" i="71"/>
  <c r="D67" i="71"/>
  <c r="C66" i="71"/>
  <c r="O67" i="71"/>
  <c r="T40" i="71"/>
  <c r="D40" i="71"/>
  <c r="AZ66" i="3"/>
  <c r="AZ461" i="3"/>
  <c r="AZ435" i="3"/>
  <c r="AZ425" i="3"/>
  <c r="AZ432" i="3"/>
  <c r="AZ233" i="3"/>
  <c r="AZ210" i="3"/>
  <c r="AA25" i="37"/>
  <c r="S25" i="37"/>
  <c r="AC24" i="36"/>
  <c r="W24" i="36"/>
  <c r="AC31" i="40"/>
  <c r="W31" i="40"/>
  <c r="U45" i="39"/>
  <c r="AB45" i="39"/>
  <c r="AA45" i="21"/>
  <c r="S45" i="21"/>
  <c r="AZ571" i="3"/>
  <c r="S14" i="21"/>
  <c r="AA14" i="21"/>
  <c r="W13" i="39"/>
  <c r="AC13" i="39"/>
  <c r="W12" i="35"/>
  <c r="AC12" i="35"/>
  <c r="S14" i="34"/>
  <c r="AA14" i="34"/>
  <c r="S12" i="36"/>
  <c r="AA12" i="36"/>
  <c r="AC23" i="35"/>
  <c r="W23" i="35"/>
  <c r="J6" i="15"/>
  <c r="J18" i="15" s="1"/>
  <c r="AA44" i="39"/>
  <c r="S44" i="39"/>
  <c r="AC12" i="40"/>
  <c r="W12" i="40"/>
  <c r="AB32" i="36"/>
  <c r="U32" i="36"/>
  <c r="AB35" i="39"/>
  <c r="U35" i="39"/>
  <c r="AA23" i="35"/>
  <c r="S23" i="35"/>
  <c r="J7" i="36"/>
  <c r="AZ107" i="3"/>
  <c r="AZ37" i="3"/>
  <c r="AZ279" i="3"/>
  <c r="AZ266" i="3"/>
  <c r="AZ486" i="3"/>
  <c r="AZ63" i="3"/>
  <c r="AZ57" i="3"/>
  <c r="D34" i="71"/>
  <c r="C35" i="71"/>
  <c r="T52" i="71"/>
  <c r="D52" i="71"/>
  <c r="AZ223" i="3"/>
  <c r="AZ491" i="3"/>
  <c r="AZ464" i="3"/>
  <c r="U12" i="40"/>
  <c r="AB12" i="40"/>
  <c r="AA27" i="37"/>
  <c r="S27" i="37"/>
  <c r="W45" i="21"/>
  <c r="AC45" i="21"/>
  <c r="AA35" i="39"/>
  <c r="S35" i="39"/>
  <c r="AB27" i="34"/>
  <c r="U27" i="34"/>
  <c r="AZ585" i="3"/>
  <c r="AZ556" i="3"/>
  <c r="W14" i="34"/>
  <c r="AC14" i="34"/>
  <c r="AZ553" i="3"/>
  <c r="AB12" i="36"/>
  <c r="U12" i="36"/>
  <c r="J7" i="37"/>
  <c r="K1" i="73"/>
  <c r="AA26" i="37"/>
  <c r="S26" i="37"/>
  <c r="BA5" i="3"/>
  <c r="AZ5" i="3"/>
  <c r="E3" i="6" s="1"/>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1" i="67"/>
  <c r="Q74" i="67"/>
  <c r="AE11" i="1"/>
  <c r="AE9" i="1"/>
  <c r="AE7" i="1"/>
  <c r="AE8" i="1"/>
  <c r="AE12" i="1"/>
  <c r="AE10" i="1"/>
  <c r="AE6" i="1"/>
  <c r="C16" i="15"/>
  <c r="F41" i="67"/>
  <c r="G1" i="73"/>
  <c r="E77" i="3" l="1"/>
  <c r="E72" i="3"/>
  <c r="E54" i="3"/>
  <c r="E322" i="3"/>
  <c r="E185" i="3"/>
  <c r="E453" i="3"/>
  <c r="E238" i="3"/>
  <c r="E488" i="3"/>
  <c r="E248" i="3"/>
  <c r="E378" i="3"/>
  <c r="E69" i="3"/>
  <c r="E32" i="3"/>
  <c r="E400" i="3"/>
  <c r="E305" i="3"/>
  <c r="E114" i="3"/>
  <c r="E418" i="3"/>
  <c r="E90" i="3"/>
  <c r="E200" i="3"/>
  <c r="E454" i="3"/>
  <c r="E477" i="3"/>
  <c r="E480" i="3"/>
  <c r="E126" i="3"/>
  <c r="E139" i="3"/>
  <c r="E142" i="3"/>
  <c r="E385" i="3"/>
  <c r="E387" i="3"/>
  <c r="E109" i="3"/>
  <c r="E327" i="3"/>
  <c r="E465" i="3"/>
  <c r="E495" i="3"/>
  <c r="E439" i="3"/>
  <c r="E441" i="3"/>
  <c r="E585" i="3"/>
  <c r="E562" i="3"/>
  <c r="E293" i="3"/>
  <c r="E407" i="3"/>
  <c r="E166" i="3"/>
  <c r="E73" i="3"/>
  <c r="AN6" i="3"/>
  <c r="E97" i="3"/>
  <c r="E367" i="3"/>
  <c r="E288" i="3"/>
  <c r="E39" i="3"/>
  <c r="AQ6" i="3"/>
  <c r="E131" i="3"/>
  <c r="E240" i="3"/>
  <c r="E191" i="3"/>
  <c r="E514" i="3"/>
  <c r="E211" i="3"/>
  <c r="E227" i="3"/>
  <c r="K6" i="3"/>
  <c r="E134" i="3"/>
  <c r="E533" i="3"/>
  <c r="E210" i="3"/>
  <c r="E549" i="3"/>
  <c r="E573" i="3"/>
  <c r="E245" i="3"/>
  <c r="E151" i="3"/>
  <c r="E558" i="3"/>
  <c r="E344" i="3"/>
  <c r="E221" i="3"/>
  <c r="E426" i="3"/>
  <c r="E379" i="3"/>
  <c r="E313" i="3"/>
  <c r="E464" i="3"/>
  <c r="E232" i="3"/>
  <c r="AY6" i="3"/>
  <c r="E296" i="3"/>
  <c r="E445" i="3"/>
  <c r="E431" i="3"/>
  <c r="E489" i="3"/>
  <c r="E214" i="3"/>
  <c r="AK6" i="3"/>
  <c r="E361" i="3"/>
  <c r="E410" i="3"/>
  <c r="E447" i="3"/>
  <c r="E351" i="3"/>
  <c r="E99" i="3"/>
  <c r="E550" i="3"/>
  <c r="N6" i="3"/>
  <c r="E576" i="3"/>
  <c r="E330" i="3"/>
  <c r="E237" i="3"/>
  <c r="E29" i="3"/>
  <c r="E93" i="3"/>
  <c r="E82" i="3"/>
  <c r="E349" i="3"/>
  <c r="E427" i="3"/>
  <c r="E364" i="3"/>
  <c r="E521" i="3"/>
  <c r="E138" i="3"/>
  <c r="E375" i="3"/>
  <c r="E259" i="3"/>
  <c r="E154" i="3"/>
  <c r="E352" i="3"/>
  <c r="E532" i="3"/>
  <c r="W6" i="3"/>
  <c r="E208" i="3"/>
  <c r="E397" i="3"/>
  <c r="U6" i="3"/>
  <c r="E403" i="3"/>
  <c r="E272" i="3"/>
  <c r="E53" i="3"/>
  <c r="O6" i="3"/>
  <c r="E390" i="3"/>
  <c r="E338" i="3"/>
  <c r="E565" i="3"/>
  <c r="E254" i="3"/>
  <c r="E353" i="3"/>
  <c r="E128" i="3"/>
  <c r="Q6" i="3"/>
  <c r="AE6" i="3"/>
  <c r="E256" i="3"/>
  <c r="I6" i="3"/>
  <c r="AG6" i="3"/>
  <c r="E444" i="3"/>
  <c r="E295" i="3"/>
  <c r="E125" i="3"/>
  <c r="E516" i="3"/>
  <c r="E358" i="3"/>
  <c r="E320"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487" i="3"/>
  <c r="E118" i="3"/>
  <c r="E219" i="3"/>
  <c r="E94" i="3"/>
  <c r="E369" i="3"/>
  <c r="E539" i="3"/>
  <c r="E178" i="3"/>
  <c r="E524" i="3"/>
  <c r="E250" i="3"/>
  <c r="E284" i="3"/>
  <c r="E47" i="3"/>
  <c r="E66" i="3"/>
  <c r="E504" i="3"/>
  <c r="E306" i="3"/>
  <c r="E529" i="3"/>
  <c r="E471" i="3"/>
  <c r="E257" i="3"/>
  <c r="E196" i="3"/>
  <c r="E548" i="3"/>
  <c r="E546" i="3"/>
  <c r="E291" i="3"/>
  <c r="E501" i="3"/>
  <c r="E574" i="3"/>
  <c r="S6" i="3"/>
  <c r="E298" i="3"/>
  <c r="E213" i="3"/>
  <c r="E159" i="3"/>
  <c r="AA6" i="3"/>
  <c r="E262" i="3"/>
  <c r="E437" i="3"/>
  <c r="E496" i="3"/>
  <c r="E274" i="3"/>
  <c r="E236" i="3"/>
  <c r="P6" i="3"/>
  <c r="E404" i="3"/>
  <c r="E316" i="3"/>
  <c r="E553" i="3"/>
  <c r="E569" i="3"/>
  <c r="E559"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34" i="3"/>
  <c r="E38" i="3"/>
  <c r="E552" i="3"/>
  <c r="E312" i="3"/>
  <c r="E19" i="3"/>
  <c r="E341" i="3"/>
  <c r="E459" i="3"/>
  <c r="E98" i="3"/>
  <c r="E157" i="3"/>
  <c r="E438" i="3"/>
  <c r="E475" i="3"/>
  <c r="E357" i="3"/>
  <c r="E145" i="3"/>
  <c r="E432" i="3"/>
  <c r="E71" i="3"/>
  <c r="AM6" i="3"/>
  <c r="E153" i="3"/>
  <c r="E359" i="3"/>
  <c r="E506" i="3"/>
  <c r="E169" i="3"/>
  <c r="E17" i="3"/>
  <c r="E402" i="3"/>
  <c r="E156" i="3"/>
  <c r="E120" i="3"/>
  <c r="E424" i="3"/>
  <c r="E55" i="3"/>
  <c r="E394" i="3"/>
  <c r="E164" i="3"/>
  <c r="E443" i="3"/>
  <c r="E88" i="3"/>
  <c r="E30" i="3"/>
  <c r="E282" i="3"/>
  <c r="E396" i="3"/>
  <c r="V6"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57" i="3"/>
  <c r="E51" i="3"/>
  <c r="E155" i="3"/>
  <c r="E101" i="3"/>
  <c r="E123" i="3"/>
  <c r="E60" i="3"/>
  <c r="E188" i="3"/>
  <c r="E405" i="3"/>
  <c r="E212" i="3"/>
  <c r="F19" i="6"/>
  <c r="H6"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22" i="3"/>
  <c r="E167" i="3"/>
  <c r="Y6" i="3"/>
  <c r="E373" i="3"/>
  <c r="E582" i="3"/>
  <c r="E209" i="3"/>
  <c r="E421" i="3"/>
  <c r="E65" i="3"/>
  <c r="E398" i="3"/>
  <c r="E176" i="3"/>
  <c r="E299" i="3"/>
  <c r="J6" i="3"/>
  <c r="E412" i="3"/>
  <c r="E198" i="3"/>
  <c r="E26" i="3"/>
  <c r="E67" i="3"/>
  <c r="E461" i="3"/>
  <c r="E307" i="3"/>
  <c r="E413" i="3"/>
  <c r="E195" i="3"/>
  <c r="E179" i="3"/>
  <c r="E462" i="3"/>
  <c r="E542" i="3"/>
  <c r="E266" i="3"/>
  <c r="E436" i="3"/>
  <c r="E323" i="3"/>
  <c r="E354" i="3"/>
  <c r="E110" i="3"/>
  <c r="E416" i="3"/>
  <c r="E222" i="3"/>
  <c r="E386" i="3"/>
  <c r="E348" i="3"/>
  <c r="E566" i="3"/>
  <c r="E165" i="3"/>
  <c r="E265" i="3"/>
  <c r="E20" i="3"/>
  <c r="E289" i="3"/>
  <c r="E36" i="3"/>
  <c r="E325" i="3"/>
  <c r="E194" i="3"/>
  <c r="E15" i="3"/>
  <c r="E346" i="3"/>
  <c r="E463" i="3"/>
  <c r="E440" i="3"/>
  <c r="E393" i="3"/>
  <c r="E326" i="3"/>
  <c r="E324" i="3"/>
  <c r="E225" i="3"/>
  <c r="E497" i="3"/>
  <c r="E22" i="3"/>
  <c r="E18" i="3"/>
  <c r="E63" i="3"/>
  <c r="E103" i="3"/>
  <c r="AP6" i="3"/>
  <c r="E218" i="3"/>
  <c r="E50" i="3"/>
  <c r="E147" i="3"/>
  <c r="E52" i="3"/>
  <c r="E339" i="3"/>
  <c r="E170" i="3"/>
  <c r="E473" i="3"/>
  <c r="E276" i="3"/>
  <c r="E401" i="3"/>
  <c r="E422" i="3"/>
  <c r="E105" i="3"/>
  <c r="E158" i="3"/>
  <c r="E220" i="3"/>
  <c r="E115" i="3"/>
  <c r="E408" i="3"/>
  <c r="E102" i="3"/>
  <c r="AL6" i="3"/>
  <c r="E233" i="3"/>
  <c r="E409" i="3"/>
  <c r="E502" i="3"/>
  <c r="E136" i="3"/>
  <c r="E127" i="3"/>
  <c r="E187" i="3"/>
  <c r="E87" i="3"/>
  <c r="AD6" i="3"/>
  <c r="E163" i="3"/>
  <c r="E374" i="3"/>
  <c r="E584" i="3"/>
  <c r="E297" i="3"/>
  <c r="E149" i="3"/>
  <c r="E48" i="3"/>
  <c r="E446" i="3"/>
  <c r="E500" i="3"/>
  <c r="E244" i="3"/>
  <c r="E24" i="3"/>
  <c r="E58" i="3"/>
  <c r="E460" i="3"/>
  <c r="E141" i="3"/>
  <c r="E365" i="3"/>
  <c r="E62" i="3"/>
  <c r="E340" i="3"/>
  <c r="E112" i="3"/>
  <c r="E392" i="3"/>
  <c r="E234" i="3"/>
  <c r="E79" i="3"/>
  <c r="L6" i="3"/>
  <c r="E108" i="3"/>
  <c r="AH6" i="3"/>
  <c r="E543" i="3"/>
  <c r="E16" i="3"/>
  <c r="E49" i="3"/>
  <c r="E428" i="3"/>
  <c r="E420" i="3"/>
  <c r="E173" i="3"/>
  <c r="E235" i="3"/>
  <c r="E309" i="3"/>
  <c r="E371" i="3"/>
  <c r="E37"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267" i="3"/>
  <c r="E467" i="3"/>
  <c r="E76" i="3"/>
  <c r="E258" i="3"/>
  <c r="E491" i="3"/>
  <c r="E430" i="3"/>
  <c r="E286" i="3"/>
  <c r="E13" i="3"/>
  <c r="E451" i="3"/>
  <c r="E456" i="3"/>
  <c r="E525" i="3"/>
  <c r="E205" i="3"/>
  <c r="E113" i="3"/>
  <c r="E206" i="3"/>
  <c r="E383" i="3"/>
  <c r="E96" i="3"/>
  <c r="E42" i="3"/>
  <c r="E281" i="3"/>
  <c r="E513" i="3"/>
  <c r="E81" i="3"/>
  <c r="E355" i="3"/>
  <c r="E33" i="3"/>
  <c r="E310" i="3"/>
  <c r="E160" i="3"/>
  <c r="E425" i="3"/>
  <c r="E389" i="3"/>
  <c r="E95" i="3"/>
  <c r="E554" i="3"/>
  <c r="E442" i="3"/>
  <c r="E536"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00" i="3"/>
  <c r="E64" i="3"/>
  <c r="E59" i="3"/>
  <c r="E241" i="3"/>
  <c r="E417" i="3"/>
  <c r="E449" i="3"/>
  <c r="E575" i="3"/>
  <c r="Q61" i="15"/>
  <c r="E363" i="3"/>
  <c r="E192" i="3"/>
  <c r="E56" i="3"/>
  <c r="E435" i="3"/>
  <c r="I3" i="6"/>
  <c r="E541" i="3"/>
  <c r="R6" i="3"/>
  <c r="E199" i="3"/>
  <c r="E510" i="3"/>
  <c r="E492" i="3"/>
  <c r="E249" i="3"/>
  <c r="E46" i="3"/>
  <c r="E484" i="3"/>
  <c r="E544" i="3"/>
  <c r="E292" i="3"/>
  <c r="E152" i="3"/>
  <c r="E479" i="3"/>
  <c r="E517" i="3"/>
  <c r="E255" i="3"/>
  <c r="E466" i="3"/>
  <c r="E499" i="3"/>
  <c r="J5" i="15"/>
  <c r="J24" i="15" s="1"/>
  <c r="Q73" i="15"/>
  <c r="C36" i="71"/>
  <c r="D35" i="71"/>
  <c r="D56" i="71"/>
  <c r="T56" i="71"/>
  <c r="C21" i="71"/>
  <c r="D22" i="71"/>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E19" i="6" l="1"/>
  <c r="F27" i="6"/>
  <c r="F31" i="6" s="1"/>
  <c r="AC6" i="3"/>
  <c r="E6" i="3" s="1"/>
  <c r="F25" i="12"/>
  <c r="C26" i="12" s="1"/>
  <c r="D25" i="12" s="1"/>
  <c r="D21" i="71"/>
  <c r="C20" i="71"/>
  <c r="D36" i="71"/>
  <c r="T36" i="71"/>
  <c r="F22" i="68"/>
  <c r="C44" i="68" s="1"/>
  <c r="D41" i="68" s="1"/>
  <c r="F22" i="11"/>
  <c r="C23" i="11" s="1"/>
  <c r="F24" i="67"/>
  <c r="C24" i="67" s="1"/>
  <c r="F24" i="15"/>
  <c r="C24" i="15" s="1"/>
  <c r="F22" i="69"/>
  <c r="F41" i="69" s="1"/>
  <c r="E49" i="34"/>
  <c r="O36" i="43"/>
  <c r="Q36" i="43"/>
  <c r="N36" i="43"/>
  <c r="M36" i="43"/>
  <c r="P36" i="43"/>
  <c r="P37" i="43"/>
  <c r="M37" i="43"/>
  <c r="Q37" i="43"/>
  <c r="O37" i="43"/>
  <c r="N37" i="43"/>
  <c r="E6" i="70"/>
  <c r="F69" i="15"/>
  <c r="S11" i="1"/>
  <c r="E11" i="70" s="1"/>
  <c r="S9" i="1"/>
  <c r="S7" i="1"/>
  <c r="E7" i="70" s="1"/>
  <c r="S10" i="1"/>
  <c r="E10" i="70" s="1"/>
  <c r="S12" i="1"/>
  <c r="C20" i="1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D10" i="68"/>
  <c r="C14" i="67"/>
  <c r="C17" i="15"/>
  <c r="C17" i="67"/>
  <c r="K6" i="1" l="1"/>
  <c r="E27" i="6"/>
  <c r="K19" i="6" s="1"/>
  <c r="F41" i="68"/>
  <c r="C26" i="68"/>
  <c r="D22" i="68" s="1"/>
  <c r="C26" i="11"/>
  <c r="D22" i="11" s="1"/>
  <c r="C44" i="11"/>
  <c r="D41" i="11" s="1"/>
  <c r="C19" i="71"/>
  <c r="T20" i="71"/>
  <c r="D20" i="71"/>
  <c r="U20" i="71" s="1"/>
  <c r="C25" i="11"/>
  <c r="C24" i="11"/>
  <c r="C44" i="69"/>
  <c r="D41" i="69" s="1"/>
  <c r="C26" i="69"/>
  <c r="D22" i="69" s="1"/>
  <c r="C18" i="67"/>
  <c r="C15" i="67"/>
  <c r="E12" i="70"/>
  <c r="F34" i="11"/>
  <c r="F11" i="12"/>
  <c r="E9" i="70"/>
  <c r="AR9" i="1"/>
  <c r="AQ9" i="1"/>
  <c r="T9" i="1"/>
  <c r="AQ11" i="1"/>
  <c r="AR11" i="1"/>
  <c r="T11" i="1"/>
  <c r="AR12" i="1"/>
  <c r="T12" i="1"/>
  <c r="AQ12" i="1"/>
  <c r="AQ10" i="1"/>
  <c r="T10" i="1"/>
  <c r="AR10" i="1"/>
  <c r="AR7" i="1"/>
  <c r="AQ7" i="1"/>
  <c r="T7" i="1"/>
  <c r="D16" i="6"/>
  <c r="C15" i="12"/>
  <c r="C12" i="12"/>
  <c r="D27" i="6"/>
  <c r="D31" i="6" s="1"/>
  <c r="D8" i="74"/>
  <c r="D7" i="74"/>
  <c r="C10" i="69"/>
  <c r="C8" i="69" s="1"/>
  <c r="C5" i="69" s="1"/>
  <c r="D19" i="69"/>
  <c r="C4" i="52"/>
  <c r="B45" i="72" s="1"/>
  <c r="A10" i="51"/>
  <c r="B9" i="72" s="1"/>
  <c r="A7" i="51"/>
  <c r="B7" i="72"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B29" i="1" l="1"/>
  <c r="C18" i="12" s="1"/>
  <c r="S6" i="1"/>
  <c r="M19" i="6"/>
  <c r="K26" i="6"/>
  <c r="M26" i="6" s="1"/>
  <c r="I26" i="6" s="1"/>
  <c r="K22" i="6"/>
  <c r="M22" i="6" s="1"/>
  <c r="I22" i="6" s="1"/>
  <c r="K21" i="6"/>
  <c r="K25" i="6"/>
  <c r="M25" i="6" s="1"/>
  <c r="I25" i="6" s="1"/>
  <c r="E31" i="6"/>
  <c r="K20" i="6"/>
  <c r="M20" i="6" s="1"/>
  <c r="I20" i="6" s="1"/>
  <c r="K24" i="6"/>
  <c r="M24" i="6" s="1"/>
  <c r="I24" i="6" s="1"/>
  <c r="K23" i="6"/>
  <c r="M23" i="6" s="1"/>
  <c r="I23" i="6" s="1"/>
  <c r="AP6" i="1"/>
  <c r="C36" i="69" s="1"/>
  <c r="M6" i="1"/>
  <c r="H16" i="1"/>
  <c r="K16" i="1"/>
  <c r="Q16" i="1"/>
  <c r="G16" i="1"/>
  <c r="C34" i="69"/>
  <c r="C18" i="71"/>
  <c r="D19" i="71"/>
  <c r="C22" i="11"/>
  <c r="C19" i="67"/>
  <c r="C20" i="67" s="1"/>
  <c r="C26" i="67" s="1"/>
  <c r="C18" i="15"/>
  <c r="C15" i="15"/>
  <c r="C36" i="11"/>
  <c r="C37" i="11"/>
  <c r="C23" i="12"/>
  <c r="C14" i="12"/>
  <c r="C16" i="12" s="1"/>
  <c r="C19" i="68"/>
  <c r="D37" i="68"/>
  <c r="C37" i="68" s="1"/>
  <c r="C19" i="69"/>
  <c r="C24" i="69" s="1"/>
  <c r="D37" i="69"/>
  <c r="C37" i="69" s="1"/>
  <c r="I5" i="6"/>
  <c r="I6" i="6"/>
  <c r="G3" i="43" s="1"/>
  <c r="C23" i="69"/>
  <c r="I69" i="39"/>
  <c r="J67" i="39"/>
  <c r="I63" i="40"/>
  <c r="H65" i="40"/>
  <c r="I58" i="21"/>
  <c r="J58" i="21" s="1"/>
  <c r="K58" i="21" s="1"/>
  <c r="L58" i="21" s="1"/>
  <c r="M58" i="21" s="1"/>
  <c r="N58" i="21" s="1"/>
  <c r="O58" i="21" s="1"/>
  <c r="H7" i="21" s="1"/>
  <c r="J48" i="35"/>
  <c r="C21" i="12" l="1"/>
  <c r="C22" i="12" s="1"/>
  <c r="S23" i="6"/>
  <c r="H23" i="6"/>
  <c r="R23" i="6" s="1"/>
  <c r="R10" i="1" s="1"/>
  <c r="S25" i="6"/>
  <c r="H25" i="6"/>
  <c r="R25" i="6" s="1"/>
  <c r="R12" i="1" s="1"/>
  <c r="C38" i="69"/>
  <c r="C35" i="69"/>
  <c r="C33" i="69" s="1"/>
  <c r="S24" i="6"/>
  <c r="H24" i="6"/>
  <c r="R24" i="6" s="1"/>
  <c r="R11" i="1" s="1"/>
  <c r="S8" i="1"/>
  <c r="S16" i="1" s="1"/>
  <c r="M21" i="6"/>
  <c r="I21" i="6" s="1"/>
  <c r="I19" i="6"/>
  <c r="F10" i="39"/>
  <c r="J10" i="39"/>
  <c r="H10" i="39"/>
  <c r="O6" i="1"/>
  <c r="O16" i="1" s="1"/>
  <c r="M16" i="1"/>
  <c r="N16" i="1" s="1"/>
  <c r="S20" i="6"/>
  <c r="H20" i="6"/>
  <c r="R20" i="6" s="1"/>
  <c r="R7" i="1" s="1"/>
  <c r="S22" i="6"/>
  <c r="H22" i="6"/>
  <c r="R22" i="6" s="1"/>
  <c r="R9" i="1" s="1"/>
  <c r="K27" i="6"/>
  <c r="F27" i="69"/>
  <c r="F28" i="12"/>
  <c r="C29" i="12" s="1"/>
  <c r="D28" i="12" s="1"/>
  <c r="F27" i="11"/>
  <c r="S26" i="6"/>
  <c r="H26" i="6"/>
  <c r="R26" i="6" s="1"/>
  <c r="AR6" i="1"/>
  <c r="T6" i="1"/>
  <c r="AQ6" i="1"/>
  <c r="J26" i="43"/>
  <c r="F26" i="43"/>
  <c r="N370" i="46"/>
  <c r="Z7" i="43"/>
  <c r="N94" i="46"/>
  <c r="E26" i="43"/>
  <c r="G26" i="43"/>
  <c r="H26" i="43"/>
  <c r="B116" i="43"/>
  <c r="D18" i="71"/>
  <c r="C17" i="71"/>
  <c r="F7" i="21"/>
  <c r="S7" i="21" s="1"/>
  <c r="J7" i="21"/>
  <c r="AC7" i="21" s="1"/>
  <c r="V48" i="21" s="1"/>
  <c r="I48" i="21" s="1"/>
  <c r="C23" i="67"/>
  <c r="C29" i="67" s="1"/>
  <c r="J59" i="67" s="1"/>
  <c r="J60" i="67" s="1"/>
  <c r="Q48" i="67" s="1"/>
  <c r="C19" i="15"/>
  <c r="C20" i="15" s="1"/>
  <c r="C26" i="15" s="1"/>
  <c r="C27" i="12"/>
  <c r="C25" i="12" s="1"/>
  <c r="C20" i="69"/>
  <c r="C24" i="68"/>
  <c r="J69" i="39"/>
  <c r="K67" i="39"/>
  <c r="U7" i="21"/>
  <c r="AB7" i="21"/>
  <c r="T48" i="21" s="1"/>
  <c r="G48" i="21" s="1"/>
  <c r="J63" i="40"/>
  <c r="I65" i="40"/>
  <c r="K48" i="35"/>
  <c r="L48" i="35" s="1"/>
  <c r="M48" i="35" s="1"/>
  <c r="N48" i="35" s="1"/>
  <c r="O48" i="35" s="1"/>
  <c r="H7" i="35" s="1"/>
  <c r="F27" i="68"/>
  <c r="M27" i="6" l="1"/>
  <c r="C28" i="69"/>
  <c r="C27" i="69" s="1"/>
  <c r="C30" i="12"/>
  <c r="C28" i="12" s="1"/>
  <c r="C32" i="12" s="1"/>
  <c r="B2" i="12" s="1"/>
  <c r="B3" i="12" s="1"/>
  <c r="C42" i="69"/>
  <c r="C39" i="69"/>
  <c r="C43" i="69" s="1"/>
  <c r="C29" i="68"/>
  <c r="D27" i="68" s="1"/>
  <c r="F45" i="68"/>
  <c r="C47" i="68"/>
  <c r="D45" i="68" s="1"/>
  <c r="S10" i="40"/>
  <c r="AA10" i="40"/>
  <c r="AC10" i="40"/>
  <c r="W10" i="40"/>
  <c r="C29" i="11"/>
  <c r="D27" i="11" s="1"/>
  <c r="C47" i="11"/>
  <c r="D45" i="11" s="1"/>
  <c r="C28" i="11"/>
  <c r="C27" i="11" s="1"/>
  <c r="F50" i="69"/>
  <c r="F50" i="11"/>
  <c r="F50" i="68"/>
  <c r="AB10" i="40"/>
  <c r="U10" i="40"/>
  <c r="AA10" i="39"/>
  <c r="S10" i="39"/>
  <c r="S21" i="6"/>
  <c r="H21" i="6"/>
  <c r="R21" i="6" s="1"/>
  <c r="R8" i="1" s="1"/>
  <c r="L16" i="1"/>
  <c r="C34" i="11"/>
  <c r="U10" i="39"/>
  <c r="AB10" i="39"/>
  <c r="E8" i="70"/>
  <c r="E2" i="70" s="1"/>
  <c r="AR8" i="1"/>
  <c r="T8" i="1"/>
  <c r="T16" i="1" s="1"/>
  <c r="AQ8" i="1"/>
  <c r="F45" i="69"/>
  <c r="C47" i="69"/>
  <c r="D45" i="69" s="1"/>
  <c r="C29" i="69"/>
  <c r="D27" i="69" s="1"/>
  <c r="W10" i="39"/>
  <c r="AC10" i="39"/>
  <c r="H19" i="6"/>
  <c r="S19" i="6"/>
  <c r="S27" i="6" s="1"/>
  <c r="I27" i="6"/>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26" i="43"/>
  <c r="C25" i="43" s="1"/>
  <c r="D17" i="71"/>
  <c r="C16" i="71"/>
  <c r="W7" i="21"/>
  <c r="AA7" i="21"/>
  <c r="R48" i="21" s="1"/>
  <c r="R49" i="21" s="1"/>
  <c r="J7" i="35"/>
  <c r="W7" i="35" s="1"/>
  <c r="Q49" i="67"/>
  <c r="J14" i="67"/>
  <c r="J13" i="67" s="1"/>
  <c r="J23" i="67" s="1"/>
  <c r="C36" i="67"/>
  <c r="C57" i="67"/>
  <c r="C64" i="67" s="1"/>
  <c r="C13" i="67"/>
  <c r="Q70" i="67" s="1"/>
  <c r="C61" i="67"/>
  <c r="C23" i="15"/>
  <c r="C29" i="15" s="1"/>
  <c r="C25" i="69"/>
  <c r="C22" i="69" s="1"/>
  <c r="L67" i="39"/>
  <c r="K69" i="39"/>
  <c r="J65" i="40"/>
  <c r="K63" i="40"/>
  <c r="I52" i="21"/>
  <c r="J52" i="21" s="1"/>
  <c r="U7" i="35"/>
  <c r="AB7" i="35"/>
  <c r="T38" i="35" s="1"/>
  <c r="G38" i="35" s="1"/>
  <c r="G52" i="21"/>
  <c r="H52" i="21" s="1"/>
  <c r="G53" i="21"/>
  <c r="H53" i="21" s="1"/>
  <c r="F7" i="35"/>
  <c r="C34" i="68"/>
  <c r="F35" i="67"/>
  <c r="M21" i="67"/>
  <c r="C41" i="69" l="1"/>
  <c r="C46" i="69"/>
  <c r="C45" i="69" s="1"/>
  <c r="C38" i="68"/>
  <c r="C35" i="68"/>
  <c r="H27" i="6"/>
  <c r="R19" i="6"/>
  <c r="C31" i="69"/>
  <c r="C35" i="11"/>
  <c r="C38" i="11"/>
  <c r="C31" i="11"/>
  <c r="C118" i="43"/>
  <c r="D116" i="43" s="1"/>
  <c r="C33" i="43"/>
  <c r="T16" i="71"/>
  <c r="D16" i="71"/>
  <c r="U16" i="71" s="1"/>
  <c r="C15" i="71"/>
  <c r="E48" i="21"/>
  <c r="AC7" i="35"/>
  <c r="V38" i="35" s="1"/>
  <c r="I38" i="35"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L69" i="39"/>
  <c r="M67" i="39"/>
  <c r="S7" i="35"/>
  <c r="AA7" i="35"/>
  <c r="R38" i="35" s="1"/>
  <c r="C49" i="21"/>
  <c r="C48" i="21"/>
  <c r="E52" i="21"/>
  <c r="F52" i="21" s="1"/>
  <c r="E53" i="21"/>
  <c r="F53" i="21" s="1"/>
  <c r="G42" i="35"/>
  <c r="H42" i="35" s="1"/>
  <c r="G43" i="35"/>
  <c r="H43" i="35" s="1"/>
  <c r="I53" i="21"/>
  <c r="J53" i="21" s="1"/>
  <c r="K65" i="40"/>
  <c r="L63" i="40"/>
  <c r="I42" i="35"/>
  <c r="J42" i="35" s="1"/>
  <c r="C49" i="69" l="1"/>
  <c r="C51" i="69" s="1"/>
  <c r="C52" i="69" s="1"/>
  <c r="C33" i="68"/>
  <c r="C39" i="68" s="1"/>
  <c r="C43" i="68" s="1"/>
  <c r="C33" i="11"/>
  <c r="C42" i="11" s="1"/>
  <c r="C39" i="11"/>
  <c r="C43" i="11" s="1"/>
  <c r="R27" i="6"/>
  <c r="R6" i="1"/>
  <c r="C34" i="43"/>
  <c r="E34" i="43" s="1"/>
  <c r="C31" i="43" s="1"/>
  <c r="E33" i="43"/>
  <c r="C14" i="71"/>
  <c r="D15" i="71"/>
  <c r="C58" i="67"/>
  <c r="C67" i="67" s="1"/>
  <c r="C68" i="67" s="1"/>
  <c r="C71" i="67" s="1"/>
  <c r="J16" i="67"/>
  <c r="J25" i="67" s="1"/>
  <c r="J26" i="67" s="1"/>
  <c r="J29" i="67" s="1"/>
  <c r="C30" i="67"/>
  <c r="C39" i="67" s="1"/>
  <c r="Q69" i="67" s="1"/>
  <c r="Q68" i="67" s="1"/>
  <c r="J22" i="15"/>
  <c r="C61" i="15"/>
  <c r="C64" i="15"/>
  <c r="C37" i="15"/>
  <c r="C56" i="15"/>
  <c r="C65" i="15" s="1"/>
  <c r="C75" i="15"/>
  <c r="M69" i="39"/>
  <c r="N67" i="39"/>
  <c r="R39" i="35"/>
  <c r="E38" i="35"/>
  <c r="M63" i="40"/>
  <c r="L65" i="40"/>
  <c r="M21" i="15"/>
  <c r="F35" i="15"/>
  <c r="D2" i="21"/>
  <c r="C30" i="43" l="1"/>
  <c r="B2" i="69"/>
  <c r="B3" i="69" s="1"/>
  <c r="C57" i="69"/>
  <c r="C56" i="69" s="1"/>
  <c r="F63" i="15"/>
  <c r="C62" i="15" s="1"/>
  <c r="C59" i="15" s="1"/>
  <c r="C58" i="15" s="1"/>
  <c r="C67" i="15" s="1"/>
  <c r="C68" i="15" s="1"/>
  <c r="C71" i="15" s="1"/>
  <c r="C34" i="15"/>
  <c r="C31" i="15" s="1"/>
  <c r="C30" i="15" s="1"/>
  <c r="C39" i="15" s="1"/>
  <c r="J20" i="15"/>
  <c r="J17" i="15" s="1"/>
  <c r="J16" i="15" s="1"/>
  <c r="J25" i="15" s="1"/>
  <c r="J26" i="15" s="1"/>
  <c r="J29" i="15" s="1"/>
  <c r="R16" i="1"/>
  <c r="C46" i="11"/>
  <c r="C45" i="11" s="1"/>
  <c r="C42" i="68"/>
  <c r="C41" i="68" s="1"/>
  <c r="C41" i="11"/>
  <c r="C49" i="11" s="1"/>
  <c r="C51" i="11" s="1"/>
  <c r="C52" i="11" s="1"/>
  <c r="B2" i="11" s="1"/>
  <c r="B3" i="11" s="1"/>
  <c r="C46" i="68"/>
  <c r="C45" i="68" s="1"/>
  <c r="B2" i="43"/>
  <c r="D14" i="71"/>
  <c r="C13" i="71"/>
  <c r="C80" i="67"/>
  <c r="C79" i="67" s="1"/>
  <c r="C40" i="67"/>
  <c r="C45" i="67" s="1"/>
  <c r="B2" i="21"/>
  <c r="B3" i="21" s="1"/>
  <c r="O67" i="39"/>
  <c r="O69" i="39" s="1"/>
  <c r="N69" i="39"/>
  <c r="F7" i="39"/>
  <c r="C39" i="35"/>
  <c r="C38" i="35"/>
  <c r="N63" i="40"/>
  <c r="M65" i="40"/>
  <c r="E43" i="35"/>
  <c r="F43" i="35" s="1"/>
  <c r="E42" i="35"/>
  <c r="F42" i="35" s="1"/>
  <c r="I43" i="35"/>
  <c r="J43" i="35" s="1"/>
  <c r="E6" i="76"/>
  <c r="B6" i="76"/>
  <c r="L51" i="67"/>
  <c r="D2" i="33"/>
  <c r="E2" i="76" l="1"/>
  <c r="Q69" i="15"/>
  <c r="Q68" i="15" s="1"/>
  <c r="H41" i="15"/>
  <c r="C49" i="68"/>
  <c r="C51" i="68" s="1"/>
  <c r="C56" i="11"/>
  <c r="C57" i="11" s="1"/>
  <c r="B2" i="76"/>
  <c r="B3" i="43"/>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4"/>
  <c r="L51" i="15"/>
  <c r="D2" i="36"/>
  <c r="B3" i="76" l="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12" i="1"/>
  <c r="AO8" i="1"/>
  <c r="AO9" i="1"/>
  <c r="AO11"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9" i="71"/>
  <c r="C8" i="71"/>
  <c r="C42" i="40"/>
  <c r="C6" i="68" s="1"/>
  <c r="C43" i="40"/>
  <c r="E47" i="40"/>
  <c r="F47" i="40" s="1"/>
  <c r="E46" i="40"/>
  <c r="F46" i="40" s="1"/>
  <c r="I47" i="40"/>
  <c r="J47" i="40" s="1"/>
  <c r="C7" i="68" l="1"/>
  <c r="C5" i="68"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5" i="68" s="1"/>
  <c r="D7" i="71"/>
  <c r="C6" i="71"/>
  <c r="C28" i="68" l="1"/>
  <c r="C27" i="68" s="1"/>
  <c r="C22" i="68"/>
  <c r="C31" i="68" s="1"/>
  <c r="C52" i="68" s="1"/>
  <c r="D6" i="71"/>
  <c r="C5" i="71"/>
  <c r="D5" i="71" s="1"/>
  <c r="M24" i="43" s="1"/>
  <c r="B2" i="68" l="1"/>
  <c r="C57" i="68"/>
  <c r="C56" i="68" s="1"/>
  <c r="B3" i="68"/>
  <c r="C19" i="9"/>
  <c r="D34" i="9"/>
  <c r="D35" i="9"/>
  <c r="C20" i="9"/>
  <c r="D22" i="9" l="1"/>
  <c r="C102" i="9"/>
  <c r="G19" i="9"/>
  <c r="G21" i="9" s="1"/>
  <c r="C21" i="9"/>
  <c r="C103" i="9"/>
  <c r="G20" i="9"/>
  <c r="C32" i="9" l="1"/>
  <c r="C35" i="9" l="1"/>
  <c r="H118" i="9"/>
  <c r="D14" i="74" s="1"/>
  <c r="G14" i="74" s="1"/>
  <c r="B6" i="74" s="1"/>
  <c r="D6" i="74" s="1"/>
  <c r="F14" i="74" l="1"/>
  <c r="B5" i="74"/>
  <c r="D5" i="74" s="1"/>
  <c r="C104" i="9"/>
  <c r="H101" i="9"/>
  <c r="H119" i="9"/>
  <c r="H5" i="52" s="1"/>
  <c r="H4" i="52"/>
  <c r="I118" i="9"/>
  <c r="E14" i="74" s="1"/>
  <c r="C34" i="9"/>
  <c r="D118" i="9" s="1"/>
  <c r="K116" i="9" s="1"/>
  <c r="F118" i="9"/>
  <c r="D119" i="9" l="1"/>
  <c r="D5" i="52" s="1"/>
  <c r="B49" i="72" s="1"/>
  <c r="D4" i="52"/>
  <c r="B47" i="72" s="1"/>
  <c r="D45" i="9"/>
  <c r="M48" i="9"/>
  <c r="D5" i="53"/>
  <c r="H107" i="9"/>
  <c r="F4" i="52"/>
  <c r="B51" i="72" s="1"/>
  <c r="F119" i="9"/>
  <c r="F5" i="52" s="1"/>
  <c r="B53" i="72" s="1"/>
  <c r="G118" i="9"/>
  <c r="G4" i="52" s="1"/>
  <c r="B52" i="72" s="1"/>
  <c r="H102" i="9"/>
  <c r="C105" i="9"/>
  <c r="I4" i="52"/>
  <c r="E118" i="9" l="1"/>
  <c r="E4" i="52" s="1"/>
  <c r="B48" i="72" s="1"/>
  <c r="C85" i="9"/>
  <c r="C78" i="9"/>
  <c r="C73" i="9" s="1"/>
  <c r="C93" i="9"/>
  <c r="C86" i="9" s="1"/>
  <c r="D52" i="9"/>
  <c r="C72" i="9"/>
  <c r="D53" i="9"/>
  <c r="C64" i="9"/>
  <c r="C63" i="9" s="1"/>
  <c r="C67" i="9" s="1"/>
  <c r="D55" i="9"/>
  <c r="M53" i="9" s="1"/>
  <c r="C5" i="74"/>
  <c r="D7" i="53"/>
  <c r="B21" i="72" s="1"/>
  <c r="D13" i="53"/>
  <c r="D122" i="9"/>
  <c r="H108" i="9"/>
  <c r="M49" i="9"/>
  <c r="B20" i="72"/>
  <c r="D6" i="53"/>
  <c r="B22" i="72" s="1"/>
  <c r="D8" i="52" l="1"/>
  <c r="D123" i="9"/>
  <c r="D9" i="52" s="1"/>
  <c r="D14" i="53"/>
  <c r="B32" i="72" s="1"/>
  <c r="B30" i="72"/>
  <c r="D59" i="9"/>
  <c r="M55" i="9" s="1"/>
  <c r="C68" i="9"/>
  <c r="D54" i="9" s="1"/>
  <c r="L65" i="9"/>
  <c r="M65" i="9" s="1"/>
  <c r="L68" i="9"/>
  <c r="M68" i="9" s="1"/>
  <c r="L67" i="9"/>
  <c r="M67" i="9" s="1"/>
  <c r="L63" i="9"/>
  <c r="M63" i="9" s="1"/>
  <c r="L64" i="9"/>
  <c r="M64" i="9" s="1"/>
  <c r="L66" i="9"/>
  <c r="M66" i="9" s="1"/>
  <c r="D15" i="53"/>
  <c r="B31" i="72" s="1"/>
  <c r="C6" i="74"/>
  <c r="C79" i="9"/>
  <c r="C95" i="9"/>
  <c r="M69" i="9" l="1"/>
  <c r="N69" i="9" s="1"/>
  <c r="C96" i="9"/>
  <c r="E96" i="9" s="1"/>
  <c r="E97" i="9" s="1"/>
  <c r="C80" i="9"/>
  <c r="E80" i="9" s="1"/>
  <c r="E81" i="9" s="1"/>
  <c r="C81" i="9" l="1"/>
  <c r="C97" i="9"/>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<sst xmlns="http://schemas.openxmlformats.org/spreadsheetml/2006/main" count="9766" uniqueCount="3872">
  <si>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</si>
  <si>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</si>
  <si>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</si>
  <si>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</si>
  <si>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</si>
  <si>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</si>
  <si>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</si>
  <si>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</si>
  <si>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</si>
  <si>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</si>
  <si>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</si>
  <si>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</si>
  <si>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</si>
  <si>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</si>
  <si>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</si>
  <si>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</si>
  <si>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</si>
  <si>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</si>
  <si>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</si>
  <si>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</si>
  <si>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</si>
  <si>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</si>
  <si>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</si>
  <si>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</si>
  <si>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</si>
  <si>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</si>
  <si>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</si>
  <si>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</si>
  <si>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</si>
  <si>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</si>
  <si>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</si>
  <si>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</si>
  <si>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</si>
  <si>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</si>
  <si>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</si>
  <si>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</si>
  <si>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</si>
  <si>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</si>
  <si>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</si>
  <si>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</si>
  <si>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</si>
  <si>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</si>
  <si>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</si>
  <si>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</si>
  <si>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</si>
  <si>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</si>
  <si>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</si>
  <si>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</si>
  <si>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</si>
  <si>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</si>
  <si>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</si>
  <si>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</si>
  <si>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</si>
  <si>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</si>
  <si>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</si>
  <si>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</si>
  <si>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</si>
  <si>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</si>
  <si>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</si>
  <si>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</si>
  <si>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</si>
  <si>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</si>
  <si>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</si>
  <si>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</si>
  <si>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</si>
  <si>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</si>
  <si>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</si>
  <si>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</si>
  <si>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</si>
  <si>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</si>
  <si>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</si>
  <si>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</si>
  <si>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</si>
  <si>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</si>
  <si>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</si>
  <si>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</si>
  <si>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</si>
  <si>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</si>
  <si>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</si>
  <si>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</si>
  <si>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</si>
  <si>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</si>
  <si>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</si>
  <si>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</si>
  <si>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</si>
  <si>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</si>
  <si>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</si>
  <si>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</si>
  <si>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</si>
  <si>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</si>
  <si>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</si>
  <si>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</si>
  <si>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</si>
  <si>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</si>
  <si>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</si>
  <si>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</si>
  <si>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</si>
  <si>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</si>
  <si>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</si>
  <si>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</si>
  <si>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</si>
  <si>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</si>
  <si>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</si>
  <si>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</si>
  <si>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</si>
  <si>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</si>
  <si>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</si>
  <si>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</si>
  <si>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</si>
  <si>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</si>
  <si>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</si>
  <si>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</si>
  <si>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</si>
  <si>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</si>
  <si>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</si>
  <si>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</si>
  <si>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</si>
  <si>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</si>
  <si>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</si>
  <si>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</si>
  <si>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</si>
  <si>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</si>
  <si>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</si>
  <si>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</si>
  <si>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</si>
  <si>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</si>
  <si>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</si>
  <si>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</si>
  <si>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</si>
  <si>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</si>
  <si>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</si>
  <si>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</si>
  <si>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</si>
  <si>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</si>
  <si>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</si>
  <si>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</si>
  <si>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</si>
  <si>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</si>
  <si>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</si>
  <si>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</si>
  <si>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</si>
  <si>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</si>
  <si>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</si>
  <si>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</si>
  <si>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</si>
  <si>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</si>
  <si>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</si>
  <si>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</si>
  <si>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</si>
  <si>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</si>
  <si>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</si>
  <si>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</si>
  <si>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</si>
  <si>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</si>
  <si>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</si>
  <si>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</si>
  <si>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</si>
  <si>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</si>
  <si>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</si>
  <si>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</si>
  <si>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</si>
  <si>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</si>
  <si>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</si>
  <si>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</si>
  <si>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</si>
  <si>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</si>
  <si>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</si>
  <si>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</si>
  <si>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</si>
  <si>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</si>
  <si>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</si>
  <si>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</si>
  <si>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</si>
  <si>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</si>
  <si>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</si>
  <si>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</si>
  <si>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</si>
  <si>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</si>
  <si>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</si>
  <si>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</si>
  <si>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</si>
  <si>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</si>
  <si>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</si>
  <si>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</si>
  <si>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</si>
  <si>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</si>
  <si>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</si>
  <si>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</si>
  <si>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</si>
  <si>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</si>
  <si>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</si>
  <si>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</si>
  <si>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</si>
  <si>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</si>
  <si>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</si>
  <si>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</si>
  <si>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</si>
  <si>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</si>
  <si>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</si>
  <si>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</si>
  <si>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</si>
  <si>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</si>
  <si>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</si>
  <si>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</si>
  <si>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</si>
  <si>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</si>
  <si>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</si>
  <si>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</si>
  <si>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</si>
  <si>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</si>
  <si>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</si>
  <si>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</si>
  <si>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</si>
  <si>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</si>
  <si>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</si>
  <si>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</si>
  <si>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</si>
  <si>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</si>
  <si>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</si>
  <si>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</si>
  <si>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</si>
  <si>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</si>
  <si>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</si>
  <si>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</si>
  <si>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</si>
  <si>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</si>
  <si>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</si>
  <si>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</si>
  <si>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</si>
  <si>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</si>
  <si>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</si>
  <si>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</si>
  <si>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</si>
  <si>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</si>
  <si>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</si>
  <si>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</si>
  <si>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</si>
  <si>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</si>
  <si>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</si>
  <si>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</si>
  <si>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</si>
  <si>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</si>
  <si>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</si>
  <si>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</si>
  <si>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</si>
  <si>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</si>
  <si>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</si>
  <si>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</si>
  <si>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</si>
  <si>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</si>
  <si>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</si>
  <si>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</si>
  <si>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</si>
  <si>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</si>
  <si>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</si>
  <si>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</si>
  <si>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</si>
  <si>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</si>
  <si>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</si>
  <si>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</si>
  <si>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</si>
  <si>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</si>
  <si>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</si>
  <si>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</si>
  <si>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</si>
  <si>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</si>
  <si>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</si>
  <si>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</si>
  <si>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</si>
  <si>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</si>
  <si>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</si>
  <si>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</si>
  <si>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</si>
  <si>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</si>
  <si>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</si>
  <si>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</si>
  <si>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</si>
  <si>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</si>
  <si>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</si>
  <si>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</si>
  <si>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</si>
  <si>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</si>
  <si>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</si>
  <si>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</si>
  <si>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</si>
  <si>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</si>
  <si>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</si>
  <si>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</si>
  <si>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</si>
  <si>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</si>
  <si>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</si>
  <si>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</si>
  <si>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</si>
  <si>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</si>
  <si>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</si>
  <si>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</si>
  <si>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</si>
  <si>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</si>
  <si>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</si>
  <si>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</si>
  <si>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</si>
  <si>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</si>
  <si>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</si>
  <si>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</si>
  <si>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</si>
  <si>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</si>
  <si>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</si>
  <si>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</si>
  <si>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</si>
  <si>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</si>
  <si>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</si>
  <si>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</si>
  <si>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</si>
  <si>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</si>
  <si>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</si>
  <si>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</si>
  <si>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</si>
  <si>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</si>
  <si>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</si>
  <si>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</si>
  <si>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</si>
  <si>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</si>
  <si>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</si>
  <si>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</si>
  <si>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</si>
  <si>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</si>
  <si>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</si>
  <si>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</si>
  <si>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</si>
  <si>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</si>
  <si>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</si>
  <si>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</si>
  <si>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</si>
  <si>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</si>
  <si>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</si>
  <si>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</si>
  <si>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</si>
  <si>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</si>
  <si>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</si>
  <si>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</si>
  <si>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</si>
  <si>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</si>
  <si>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</si>
  <si>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</si>
  <si>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</si>
  <si>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</si>
  <si>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</si>
  <si>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</si>
  <si>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</si>
  <si>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</si>
  <si>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</si>
  <si>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</si>
  <si>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</si>
  <si>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</si>
  <si>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</si>
  <si>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</si>
  <si>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</si>
  <si>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</si>
  <si>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</si>
  <si>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</si>
  <si>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</si>
  <si>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</si>
  <si>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</si>
  <si>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</si>
  <si>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</si>
  <si>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</si>
  <si>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</si>
  <si>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</si>
  <si>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</si>
  <si>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</si>
  <si>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</si>
  <si>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</si>
  <si>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</si>
  <si>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</si>
  <si>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</si>
  <si>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</si>
  <si>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</si>
  <si>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</si>
  <si>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</si>
  <si>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</si>
  <si>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</si>
  <si>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</si>
  <si>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</si>
  <si>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</si>
  <si>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</si>
  <si>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</si>
  <si>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</si>
  <si>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</si>
  <si>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</si>
  <si>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</si>
  <si>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</si>
  <si>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</si>
  <si>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</si>
  <si>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</si>
  <si>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</si>
  <si>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</si>
  <si>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</si>
  <si>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</si>
  <si>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</si>
  <si>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</si>
  <si>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</si>
  <si>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</si>
  <si>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</si>
  <si>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</si>
  <si>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</si>
  <si>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</si>
  <si>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</si>
  <si>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</si>
  <si>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</si>
  <si>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</si>
  <si>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</si>
  <si>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</si>
  <si>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</si>
  <si>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</si>
  <si>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</si>
  <si>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</si>
  <si>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</si>
  <si>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</si>
  <si>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</si>
  <si>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</si>
  <si>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</si>
  <si>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</si>
  <si>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</si>
  <si>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</si>
  <si>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</si>
  <si>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</si>
  <si>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</si>
  <si>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</si>
  <si>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</si>
  <si>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</si>
  <si>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</si>
  <si>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</si>
  <si>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</si>
  <si>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</si>
  <si>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</si>
  <si>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</si>
  <si>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</si>
  <si>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</si>
  <si>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</si>
  <si>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</si>
  <si>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</si>
  <si>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</si>
  <si>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</si>
  <si>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</si>
  <si>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</si>
  <si>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</si>
  <si>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</si>
  <si>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</si>
  <si>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</si>
  <si>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</si>
  <si>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</si>
  <si>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</si>
  <si>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</si>
  <si>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</si>
  <si>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</si>
  <si>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</si>
  <si>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</si>
  <si>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</si>
  <si>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</si>
  <si>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</si>
  <si>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</si>
  <si>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</si>
  <si>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</si>
  <si>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</si>
  <si>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</si>
  <si>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</si>
  <si>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</si>
  <si>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</si>
  <si>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</si>
  <si>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</si>
  <si>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</si>
  <si>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</si>
  <si>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</si>
  <si>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</si>
  <si>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</si>
  <si>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</si>
  <si>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</si>
  <si>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</si>
  <si>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</si>
  <si>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</si>
  <si>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</si>
  <si>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</si>
  <si>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</si>
  <si>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</si>
  <si>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</si>
  <si>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</si>
  <si>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</si>
  <si>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</si>
  <si>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</si>
  <si>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</si>
  <si>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</si>
  <si>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</si>
  <si>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</si>
  <si>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</si>
  <si>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</si>
  <si>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</si>
  <si>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</si>
  <si>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</si>
  <si>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</si>
  <si>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</si>
  <si>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</si>
  <si>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</si>
  <si>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</si>
  <si>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</si>
  <si>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</si>
  <si>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</si>
  <si>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</si>
  <si>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</si>
  <si>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</si>
  <si>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</si>
  <si>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</si>
  <si>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</si>
  <si>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</si>
  <si>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</si>
  <si>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</si>
  <si>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</si>
  <si>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</si>
  <si>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</si>
  <si>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</si>
  <si>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</si>
  <si>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</si>
  <si>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</si>
  <si>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</si>
  <si>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</si>
  <si>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</si>
  <si>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</si>
  <si>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</si>
  <si>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</si>
  <si>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</si>
  <si>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</si>
  <si>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</si>
  <si>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</si>
  <si>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</si>
  <si>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</si>
  <si>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</si>
  <si>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</si>
  <si>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</si>
  <si>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</si>
  <si>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</si>
  <si>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</si>
  <si>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</si>
  <si>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</si>
  <si>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</si>
  <si>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</si>
  <si>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</si>
  <si>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</si>
  <si>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</si>
  <si>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</si>
  <si>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</si>
  <si>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</si>
  <si>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</si>
  <si>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</si>
  <si>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</si>
  <si>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</si>
  <si>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</si>
  <si>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</si>
  <si>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</si>
  <si>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</si>
  <si>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</si>
  <si>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</si>
  <si>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</si>
  <si>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</si>
  <si>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</si>
  <si>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</si>
  <si>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</si>
  <si>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</si>
  <si>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</si>
  <si>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</si>
  <si>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</si>
  <si>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</si>
  <si>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</si>
  <si>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</si>
  <si>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</si>
  <si>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</si>
  <si>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</si>
  <si>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</si>
  <si>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</si>
  <si>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</si>
  <si>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</si>
  <si>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</si>
  <si>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</si>
  <si>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</si>
  <si>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</si>
  <si>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</si>
  <si>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</si>
  <si>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</si>
  <si>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</si>
  <si>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</si>
  <si>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</si>
  <si>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</si>
  <si>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</si>
  <si>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</si>
  <si>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</si>
  <si>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</si>
  <si>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</si>
  <si>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</si>
  <si>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</si>
  <si>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</si>
  <si>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</si>
  <si>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</si>
  <si>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</si>
  <si>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</si>
  <si>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</si>
  <si>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</si>
  <si>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</si>
  <si>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</si>
  <si>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</si>
  <si>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</si>
  <si>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</si>
  <si>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</si>
  <si>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</si>
  <si>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</si>
  <si>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</si>
  <si>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</si>
  <si>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</si>
  <si>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</si>
  <si>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</si>
  <si>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</si>
  <si>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</si>
  <si>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</si>
  <si>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</si>
  <si>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</si>
  <si>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</si>
  <si>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</si>
  <si>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</si>
  <si>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</si>
  <si>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</si>
  <si>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</si>
  <si>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</si>
  <si>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</si>
  <si>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</si>
  <si>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</si>
  <si>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</si>
  <si>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</si>
  <si>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</si>
  <si>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</si>
  <si>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</si>
  <si>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</si>
  <si>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</si>
  <si>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</si>
  <si>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</si>
  <si>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</si>
  <si>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</si>
  <si>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</si>
  <si>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</si>
  <si>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</si>
  <si>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</si>
  <si>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</si>
  <si>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</si>
  <si>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</si>
  <si>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</si>
  <si>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</si>
  <si>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</si>
  <si>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</si>
  <si>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</si>
  <si>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</si>
  <si>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</si>
  <si>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</si>
  <si>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</si>
  <si>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</si>
  <si>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</si>
  <si>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</si>
  <si>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</si>
  <si>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</si>
  <si>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</si>
  <si>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</si>
  <si>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</si>
  <si>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</si>
  <si>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</si>
  <si>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</si>
  <si>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</si>
  <si>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</si>
  <si>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</si>
  <si>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</si>
  <si>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</si>
  <si>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</si>
  <si>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</si>
  <si>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</si>
  <si>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</si>
  <si>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</si>
  <si>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</si>
  <si>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</si>
  <si>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</si>
  <si>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</si>
  <si>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</si>
  <si>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</si>
  <si>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</si>
  <si>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</si>
  <si>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</si>
  <si>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</si>
  <si>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</si>
  <si>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</si>
  <si>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</si>
  <si>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</si>
  <si>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</si>
  <si>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</si>
  <si>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</si>
  <si>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</si>
  <si>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</si>
  <si>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</si>
  <si>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</si>
  <si>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</si>
  <si>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</si>
  <si>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</si>
  <si>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</si>
  <si>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</si>
  <si>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</si>
  <si>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</si>
  <si>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</si>
  <si>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</si>
  <si>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</si>
  <si>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</si>
  <si>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</si>
  <si>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</si>
  <si>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</si>
  <si>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</si>
  <si>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</si>
  <si>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</si>
  <si>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</si>
  <si>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</si>
  <si>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</si>
  <si>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</si>
  <si>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</si>
  <si>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</si>
  <si>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</si>
  <si>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</si>
  <si>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</si>
  <si>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</si>
  <si>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</si>
  <si>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</si>
  <si>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</si>
  <si>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</si>
  <si>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</si>
  <si>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</si>
  <si>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</si>
  <si>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</si>
  <si>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</si>
  <si>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</si>
  <si>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</si>
  <si>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</si>
  <si>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</si>
  <si>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</si>
  <si>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</si>
  <si>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</si>
  <si>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</si>
  <si>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</si>
  <si>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</si>
  <si>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</si>
  <si>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</si>
  <si>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</si>
  <si>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</si>
  <si>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</si>
  <si>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</si>
  <si>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</si>
  <si>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</si>
  <si>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</si>
  <si>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</si>
  <si>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</si>
  <si>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</si>
  <si>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</si>
  <si>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</si>
  <si>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</si>
  <si>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</si>
  <si>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</si>
  <si>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</si>
  <si>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</si>
  <si>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</si>
  <si>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</si>
  <si>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</si>
  <si>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</si>
  <si>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</si>
  <si>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</si>
  <si>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</si>
  <si>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</si>
  <si>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</si>
  <si>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</si>
  <si>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</si>
  <si>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</si>
  <si>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</si>
  <si>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</si>
  <si>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</si>
  <si>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</si>
  <si>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</si>
  <si>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</si>
  <si>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</si>
  <si>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</si>
  <si>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</si>
  <si>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</si>
  <si>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</si>
  <si>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</si>
  <si>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</si>
  <si>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</si>
  <si>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</si>
  <si>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</si>
  <si>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</si>
  <si>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</si>
  <si>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</si>
  <si>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</si>
  <si>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</si>
  <si>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</si>
  <si>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</si>
  <si>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</si>
  <si>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</si>
  <si>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</si>
  <si>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</si>
  <si>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</si>
  <si>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</si>
  <si>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</si>
  <si>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</si>
  <si>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</si>
  <si>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</si>
  <si>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</si>
  <si>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</si>
  <si>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</si>
  <si>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</si>
  <si>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</si>
  <si>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</si>
  <si>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</si>
  <si>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</si>
  <si>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</si>
  <si>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</si>
  <si>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</si>
  <si>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</si>
  <si>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</si>
  <si>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</si>
  <si>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</si>
  <si>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</si>
  <si>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</si>
  <si>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</si>
  <si>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</si>
  <si>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</si>
  <si>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</si>
  <si>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</si>
  <si>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</si>
  <si>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</si>
  <si>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</si>
  <si>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</si>
  <si>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</si>
  <si>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</si>
  <si>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</si>
  <si>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</si>
  <si>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</si>
  <si>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</si>
  <si>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</si>
  <si>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</si>
  <si>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</si>
  <si>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</si>
  <si>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</si>
  <si>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</si>
  <si>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</si>
  <si>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</si>
  <si>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</si>
  <si>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</si>
  <si>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</si>
  <si>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</si>
  <si>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</si>
  <si>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</si>
  <si>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</si>
  <si>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</si>
  <si>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</si>
  <si>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</si>
  <si>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</si>
  <si>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</si>
  <si>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</si>
  <si>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</si>
  <si>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</si>
  <si>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</si>
  <si>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</si>
  <si>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</si>
  <si>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</si>
  <si>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</si>
  <si>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</si>
  <si>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</si>
  <si>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</si>
  <si>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</si>
  <si>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</si>
  <si>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</si>
  <si>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</si>
  <si>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</si>
  <si>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</si>
  <si>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</si>
  <si>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</si>
  <si>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</si>
  <si>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</si>
  <si>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</si>
  <si>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</si>
  <si>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</si>
  <si>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</si>
  <si>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</si>
  <si>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</si>
  <si>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</si>
  <si>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</si>
  <si>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</si>
  <si>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</si>
  <si>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</si>
  <si>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</si>
  <si>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</si>
  <si>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</si>
  <si>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</si>
  <si>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</si>
  <si>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</si>
  <si>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</si>
  <si>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</si>
  <si>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</si>
  <si>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</si>
  <si>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</si>
  <si>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</si>
  <si>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</si>
  <si>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</si>
  <si>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</si>
  <si>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</si>
  <si>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</si>
  <si>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</si>
  <si>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</si>
  <si>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</si>
  <si>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</si>
  <si>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</si>
  <si>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</si>
  <si>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</si>
  <si>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</si>
  <si>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</si>
  <si>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</si>
  <si>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</si>
  <si>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</si>
  <si>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</si>
  <si>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</si>
  <si>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</si>
  <si>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</si>
  <si>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</si>
  <si>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</si>
  <si>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</si>
  <si>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</si>
  <si>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</si>
  <si>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</si>
  <si>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</si>
  <si>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</si>
  <si>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</si>
  <si>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</si>
  <si>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</si>
  <si>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</si>
  <si>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</si>
  <si>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</si>
  <si>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</si>
  <si>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</si>
  <si>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</si>
  <si>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</si>
  <si>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</si>
  <si>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</si>
  <si>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</si>
  <si>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</si>
  <si>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</si>
  <si>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</si>
  <si>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</si>
  <si>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</si>
  <si>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</si>
  <si>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</si>
  <si>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</si>
  <si>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</si>
  <si>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</si>
  <si>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</si>
  <si>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</si>
  <si>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</si>
  <si>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</si>
  <si>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</si>
  <si>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</si>
  <si>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</si>
  <si>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</si>
  <si>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</si>
  <si>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</si>
  <si>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</si>
  <si>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</si>
  <si>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</si>
  <si>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</si>
  <si>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</si>
  <si>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</si>
  <si>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</si>
  <si>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</si>
  <si>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</si>
  <si>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</si>
  <si>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</si>
  <si>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</si>
  <si>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</si>
  <si>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</si>
  <si>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</si>
  <si>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</si>
  <si>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</si>
  <si>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</si>
  <si>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</si>
  <si>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</si>
  <si>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</si>
  <si>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</si>
  <si>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</si>
  <si>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</si>
  <si>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</si>
  <si>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</si>
  <si>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</si>
  <si>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</si>
  <si>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</si>
  <si>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</si>
  <si>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</si>
  <si>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</si>
  <si>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</si>
  <si>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</si>
  <si>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</si>
  <si>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</si>
  <si>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</si>
  <si>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</si>
  <si>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</si>
  <si>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</si>
  <si>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</si>
  <si>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</si>
  <si>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</si>
  <si>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</si>
  <si>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</si>
  <si>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</si>
  <si>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</si>
  <si>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</si>
  <si>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</si>
  <si>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</si>
  <si>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</si>
  <si>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</si>
  <si>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</si>
  <si>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</si>
  <si>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</si>
  <si>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</si>
  <si>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</si>
  <si>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</si>
  <si>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</si>
  <si>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</si>
  <si>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</si>
  <si>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</si>
  <si>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</si>
  <si>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</si>
  <si>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</si>
  <si>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</si>
  <si>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</si>
  <si>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</si>
  <si>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</si>
  <si>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</si>
  <si>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</si>
  <si>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</si>
  <si>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</si>
  <si>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</si>
  <si>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</si>
  <si>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</si>
  <si>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</si>
  <si>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</si>
  <si>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</si>
  <si>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</si>
  <si>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</si>
  <si>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</si>
  <si>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</si>
  <si>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</si>
  <si>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</si>
  <si>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</si>
  <si>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</si>
  <si>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</si>
  <si>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</si>
  <si>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</si>
  <si>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</si>
  <si>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</si>
  <si>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</si>
  <si>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</si>
  <si>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</si>
  <si>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</si>
  <si>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</si>
  <si>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</si>
  <si>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</si>
  <si>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</si>
  <si>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</si>
  <si>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</si>
  <si>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</si>
  <si>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</si>
  <si>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</si>
  <si>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</si>
  <si>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</si>
  <si>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</si>
  <si>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</si>
  <si>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</si>
  <si>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</si>
  <si>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</si>
  <si>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</si>
  <si>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</si>
  <si>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</si>
  <si>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</si>
  <si>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</si>
  <si>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</si>
  <si>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</si>
  <si>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</si>
  <si>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</si>
  <si>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</si>
  <si>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</si>
  <si>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</si>
  <si>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</si>
  <si>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</si>
  <si>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</si>
  <si>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</si>
  <si>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</si>
  <si>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</si>
  <si>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</si>
  <si>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</si>
  <si>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</si>
  <si>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</si>
  <si>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</si>
  <si>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</si>
  <si>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</si>
  <si>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</si>
  <si>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</si>
  <si>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</si>
  <si>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</si>
  <si>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</si>
  <si>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</si>
  <si>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</si>
  <si>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</si>
  <si>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</si>
  <si>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</si>
  <si>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</si>
  <si>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</si>
  <si>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</si>
  <si>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</si>
  <si>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</si>
  <si>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</si>
  <si>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</si>
  <si>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</si>
  <si>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</si>
  <si>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</si>
  <si>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</si>
  <si>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</si>
  <si>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</si>
  <si>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</si>
  <si>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</si>
  <si>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</si>
  <si>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</si>
  <si>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</si>
  <si>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</si>
  <si>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</si>
  <si>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</si>
  <si>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</si>
  <si>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</si>
  <si>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</si>
  <si>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</si>
  <si>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</si>
  <si>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</si>
  <si>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</si>
  <si>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</si>
  <si>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</si>
  <si>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</si>
  <si>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</si>
  <si>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</si>
  <si>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</si>
  <si>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</si>
  <si>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</si>
  <si>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</si>
  <si>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</si>
  <si>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</si>
  <si>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</si>
  <si>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</si>
  <si>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</si>
  <si>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</si>
  <si>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</si>
  <si>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</si>
  <si>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</si>
  <si>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</si>
  <si>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</si>
  <si>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</si>
  <si>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</si>
  <si>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</si>
  <si>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</si>
  <si>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</si>
  <si>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</si>
  <si>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</si>
  <si>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</si>
  <si>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</si>
  <si>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</si>
  <si>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</si>
  <si>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</si>
  <si>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</si>
  <si>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</si>
  <si>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</si>
  <si>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</si>
  <si>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</si>
  <si>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</si>
  <si>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</si>
  <si>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</si>
  <si>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</si>
  <si>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</si>
  <si>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</si>
  <si>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</si>
  <si>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</si>
  <si>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</si>
  <si>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</si>
  <si>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</si>
  <si>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</si>
  <si>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</si>
  <si>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</si>
  <si>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</si>
  <si>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</si>
  <si>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</si>
  <si>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</si>
  <si>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</si>
  <si>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</si>
  <si>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</si>
  <si>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</si>
  <si>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</si>
  <si>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</si>
  <si>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</si>
  <si>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</si>
  <si>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</si>
  <si>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</si>
  <si>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</si>
  <si>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</si>
  <si>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</si>
  <si>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</si>
  <si>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</si>
  <si>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</si>
  <si>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</si>
  <si>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</si>
  <si>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</si>
  <si>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</si>
  <si>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</si>
  <si>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</si>
  <si>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</si>
  <si>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</si>
  <si>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</si>
  <si>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</si>
  <si>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</si>
  <si>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</si>
  <si>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</si>
  <si>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</si>
  <si>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</si>
  <si>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</si>
  <si>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</si>
  <si>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</si>
  <si>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</si>
  <si>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</si>
  <si>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</si>
  <si>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</si>
  <si>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</si>
  <si>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</si>
  <si>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</si>
  <si>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</si>
  <si>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</si>
  <si>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</si>
  <si>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</si>
  <si>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</si>
  <si>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</si>
  <si>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</si>
  <si>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</si>
  <si>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</si>
  <si>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</si>
  <si>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</si>
  <si>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</si>
  <si>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</si>
  <si>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</si>
  <si>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</si>
  <si>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</si>
  <si>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</si>
  <si>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</si>
  <si>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</si>
  <si>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</si>
  <si>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</si>
  <si>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</si>
  <si>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</si>
  <si>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</si>
  <si>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</si>
  <si>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</si>
  <si>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</si>
  <si>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</si>
  <si>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</si>
  <si>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</si>
  <si>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</si>
  <si>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</si>
  <si>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</si>
  <si>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</si>
  <si>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</si>
  <si>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</si>
  <si>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</si>
  <si>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</si>
  <si>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</si>
  <si>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</si>
  <si>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</si>
  <si>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</si>
  <si>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</si>
  <si>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</si>
  <si>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</si>
  <si>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</si>
  <si>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</si>
  <si>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</si>
  <si>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</si>
  <si>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</si>
  <si>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</si>
  <si>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</si>
  <si>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</si>
  <si>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</si>
  <si>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</si>
  <si>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</si>
  <si>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</si>
  <si>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</si>
  <si>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</si>
  <si>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</si>
  <si>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</si>
  <si>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</si>
  <si>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</si>
  <si>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</si>
  <si>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</si>
  <si>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</si>
  <si>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</si>
  <si>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</si>
  <si>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</si>
  <si>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</si>
  <si>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</si>
  <si>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</si>
  <si>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</si>
  <si>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</si>
  <si>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</si>
  <si>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</si>
  <si>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</si>
  <si>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</si>
  <si>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</si>
  <si>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</si>
  <si>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</si>
  <si>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</si>
  <si>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</si>
  <si>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</si>
  <si>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</si>
  <si>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</si>
  <si>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</si>
  <si>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</si>
  <si>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</si>
  <si>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</si>
  <si>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</si>
  <si>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</si>
  <si>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</si>
  <si>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</si>
  <si>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</si>
  <si>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</si>
  <si>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</si>
  <si>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</si>
  <si>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</si>
  <si>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</si>
  <si>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</si>
  <si>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</si>
  <si>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</si>
  <si>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</si>
  <si>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</si>
  <si>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</si>
  <si>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</si>
  <si>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</si>
  <si>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</si>
  <si>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</si>
  <si>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</si>
  <si>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</si>
  <si>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</si>
  <si>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</si>
  <si>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</si>
  <si>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</si>
  <si>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</si>
  <si>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</si>
  <si>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</si>
  <si>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</si>
  <si>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</si>
  <si>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</si>
  <si>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</si>
  <si>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</si>
  <si>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</si>
  <si>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</si>
  <si>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</si>
  <si>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</si>
  <si>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</si>
  <si>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</si>
  <si>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</si>
  <si>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</si>
  <si>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</si>
  <si>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</si>
  <si>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</si>
  <si>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</si>
  <si>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</si>
  <si>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</si>
  <si>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</si>
  <si>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</si>
  <si>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</si>
  <si>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</si>
  <si>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</si>
  <si>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</si>
  <si>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</si>
  <si>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</si>
  <si>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</si>
  <si>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</si>
  <si>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</si>
  <si>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</si>
  <si>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</si>
  <si>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</si>
  <si>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</si>
  <si>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</si>
  <si>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</si>
  <si>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</si>
  <si>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</si>
  <si>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</si>
  <si>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</si>
  <si>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</si>
  <si>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</si>
  <si>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</si>
  <si>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</si>
  <si>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</si>
  <si>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</si>
  <si>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</si>
  <si>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</si>
  <si>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</si>
  <si>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</si>
  <si>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</si>
  <si>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</si>
  <si>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</si>
  <si>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</si>
  <si>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</si>
  <si>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</si>
  <si>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</si>
  <si>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</si>
  <si>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</si>
  <si>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</si>
  <si>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</si>
  <si>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</si>
  <si>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</si>
  <si>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</si>
  <si>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</si>
  <si>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</si>
  <si>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</si>
  <si>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</si>
  <si>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</si>
  <si>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</si>
  <si>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</si>
  <si>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</si>
  <si>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</si>
  <si>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</si>
  <si>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</si>
  <si>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</si>
  <si>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</si>
  <si>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</si>
  <si>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</si>
  <si>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</si>
  <si>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</si>
  <si>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</si>
  <si>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</si>
  <si>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</si>
  <si>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</si>
  <si>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</si>
  <si>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</si>
  <si>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</si>
  <si>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</si>
  <si>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</si>
  <si>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</si>
  <si>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</si>
  <si>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</si>
  <si>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</si>
  <si>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</si>
  <si>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</si>
  <si>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</si>
  <si>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</si>
  <si>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</si>
  <si>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</si>
  <si>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</si>
  <si>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</si>
  <si>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</si>
  <si>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</si>
  <si>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</si>
  <si>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</si>
  <si>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</si>
  <si>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</si>
  <si>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</si>
  <si>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</si>
  <si>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</si>
  <si>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</si>
  <si>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</si>
  <si>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</si>
  <si>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</si>
  <si>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</si>
  <si>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</si>
  <si>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</si>
  <si>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</si>
  <si>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</si>
  <si>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</si>
  <si>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</si>
  <si>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</si>
  <si>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</si>
  <si>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</si>
  <si>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</si>
  <si>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</si>
  <si>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</si>
  <si>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</si>
  <si>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</si>
  <si>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</si>
  <si>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</si>
  <si>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</si>
  <si>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</si>
  <si>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</si>
  <si>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</si>
  <si>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</si>
  <si>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</si>
  <si>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</si>
  <si>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</si>
  <si>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</si>
  <si>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</si>
  <si>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</si>
  <si>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</si>
  <si>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</si>
  <si>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</si>
  <si>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</si>
  <si>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</si>
  <si>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</si>
  <si>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</si>
  <si>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</si>
  <si>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</si>
  <si>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</si>
  <si>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</si>
  <si>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</si>
  <si>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</si>
  <si>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</si>
  <si>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</si>
  <si>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</si>
  <si>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</si>
  <si>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</si>
  <si>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</si>
  <si>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</si>
  <si>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</si>
  <si>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</si>
  <si>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</si>
  <si>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</si>
  <si>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</si>
  <si>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</si>
  <si>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</si>
  <si>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</si>
  <si>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</si>
  <si>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</si>
  <si>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</si>
  <si>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</si>
  <si>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</si>
  <si>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</si>
  <si>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</si>
  <si>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</si>
  <si>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</si>
  <si>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</si>
  <si>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</si>
  <si>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</si>
  <si>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</si>
  <si>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</si>
  <si>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</si>
  <si>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</si>
  <si>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</si>
  <si>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</si>
  <si>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</si>
  <si>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</si>
  <si>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</si>
  <si>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</si>
  <si>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</si>
  <si>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</si>
  <si>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</si>
  <si>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</si>
  <si>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</si>
  <si>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</si>
  <si>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</si>
  <si>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</si>
  <si>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</si>
  <si>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</si>
  <si>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</si>
  <si>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</si>
  <si>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</si>
  <si>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</si>
  <si>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</si>
  <si>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</si>
  <si>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</si>
  <si>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</si>
  <si>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</si>
  <si>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</si>
  <si>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</si>
  <si>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</si>
  <si>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</si>
  <si>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</si>
  <si>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</si>
  <si>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</si>
  <si>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</si>
  <si>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</si>
  <si>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</si>
  <si>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</si>
  <si>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</si>
  <si>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</si>
  <si>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</si>
  <si>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</si>
  <si>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</si>
  <si>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</si>
  <si>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</si>
  <si>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</si>
  <si>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</si>
  <si>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</si>
  <si>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</si>
  <si>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</si>
  <si>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</si>
  <si>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</si>
  <si>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</si>
  <si>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</si>
  <si>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</si>
  <si>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</si>
  <si>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</si>
  <si>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</si>
  <si>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</si>
  <si>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</si>
  <si>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</si>
  <si>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</si>
  <si>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</si>
  <si>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</si>
  <si>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</si>
  <si>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</si>
  <si>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</si>
  <si>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</si>
  <si>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</si>
  <si>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</si>
  <si>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</si>
  <si>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</si>
  <si>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</si>
  <si>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</si>
  <si>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</si>
  <si>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</si>
  <si>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</si>
  <si>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</si>
  <si>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</si>
  <si>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</si>
  <si>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</si>
  <si>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</si>
  <si>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</si>
  <si>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</si>
  <si>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</si>
  <si>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</si>
  <si>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</si>
  <si>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</si>
  <si>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</si>
  <si>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</si>
  <si>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</si>
  <si>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</si>
  <si>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</si>
  <si>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</si>
  <si>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</si>
  <si>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</si>
  <si>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</si>
  <si>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</si>
  <si>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</si>
  <si>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</si>
  <si>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</si>
  <si>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</si>
  <si>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</si>
  <si>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</si>
  <si>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</si>
  <si>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</si>
  <si>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</si>
  <si>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</si>
  <si>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</si>
  <si>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</si>
  <si>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</si>
  <si>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</si>
  <si>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</si>
  <si>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</si>
  <si>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</si>
  <si>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</si>
  <si>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</si>
  <si>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</si>
  <si>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</si>
  <si>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</si>
  <si>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</si>
  <si>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</si>
  <si>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</si>
  <si>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</si>
  <si>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</si>
  <si>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</si>
  <si>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</si>
  <si>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</si>
  <si>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</si>
  <si>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</si>
  <si>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</si>
  <si>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</si>
  <si>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</si>
  <si>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</si>
  <si>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</si>
  <si>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</si>
  <si>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</si>
  <si>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</si>
  <si>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</si>
  <si>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</si>
  <si>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</si>
  <si>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</si>
  <si>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</si>
  <si>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</si>
  <si>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</si>
  <si>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</si>
  <si>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</si>
  <si>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</si>
  <si>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</si>
  <si>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</si>
  <si>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</si>
  <si>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</si>
  <si>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</si>
  <si>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</si>
  <si>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</si>
  <si>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</si>
  <si>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</si>
  <si>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</si>
  <si>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</si>
  <si>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</si>
  <si>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</si>
  <si>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</si>
  <si>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</si>
  <si>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</si>
  <si>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</si>
  <si>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</si>
  <si>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</si>
  <si>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</si>
  <si>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</si>
  <si>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</si>
  <si>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</si>
  <si>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</si>
  <si>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</si>
  <si>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</si>
  <si>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</si>
  <si>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</si>
  <si>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</si>
  <si>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</si>
  <si>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</si>
  <si>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</si>
  <si>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</si>
  <si>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</si>
  <si>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</si>
  <si>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</si>
  <si>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</si>
  <si>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</si>
  <si>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</si>
  <si>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</si>
  <si>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</si>
  <si>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</si>
  <si>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</si>
  <si>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</si>
  <si>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</si>
  <si>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</si>
  <si>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</si>
  <si>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</si>
  <si>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</si>
  <si>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</si>
  <si>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</si>
  <si>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</si>
  <si>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</si>
  <si>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</si>
  <si>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</si>
  <si>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</si>
  <si>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</si>
  <si>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</si>
  <si>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</si>
  <si>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</si>
  <si>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</si>
  <si>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</si>
  <si>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</si>
  <si>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</si>
  <si>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</si>
  <si>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</si>
  <si>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</si>
  <si>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</si>
  <si>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</si>
  <si>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</si>
  <si>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</si>
  <si>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</si>
  <si>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</si>
  <si>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</si>
  <si>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</si>
  <si>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</si>
  <si>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</si>
  <si>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</si>
  <si>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</si>
  <si>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</si>
  <si>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</si>
  <si>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</si>
  <si>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</si>
  <si>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</si>
  <si>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</si>
  <si>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</si>
  <si>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</si>
  <si>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</si>
  <si>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</si>
  <si>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</si>
  <si>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</si>
  <si>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</si>
  <si>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</si>
  <si>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</si>
  <si>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</si>
  <si>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</si>
  <si>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</si>
  <si>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</si>
  <si>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</si>
  <si>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</si>
  <si>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</si>
  <si>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</si>
  <si>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</si>
  <si>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</si>
  <si>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</si>
  <si>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</si>
  <si>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</si>
  <si>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</si>
  <si>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</si>
  <si>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</si>
  <si>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</si>
  <si>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</si>
  <si>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</si>
  <si>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</si>
  <si>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</si>
  <si>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</si>
  <si>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</si>
  <si>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</si>
  <si>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</si>
  <si>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</si>
  <si>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</si>
  <si>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</si>
  <si>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</si>
  <si>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</si>
  <si>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</si>
  <si>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</si>
  <si>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</si>
  <si>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</si>
  <si>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</si>
  <si>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</si>
  <si>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</si>
  <si>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</si>
  <si>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</si>
  <si>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</si>
  <si>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</si>
  <si>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</si>
  <si>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</si>
  <si>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</si>
  <si>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</si>
  <si>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</si>
  <si>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</si>
  <si>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</si>
  <si>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</si>
  <si>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</si>
  <si>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</si>
  <si>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</si>
  <si>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</si>
  <si>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</si>
  <si>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</si>
  <si>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</si>
  <si>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</si>
  <si>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</si>
  <si>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</si>
  <si>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</si>
  <si>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</si>
  <si>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</si>
  <si>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</si>
  <si>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</si>
  <si>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</si>
  <si>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</si>
  <si>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</si>
  <si>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</si>
  <si>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</si>
  <si>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</si>
  <si>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</si>
  <si>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</si>
  <si>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</si>
  <si>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</si>
  <si>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</si>
  <si>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</si>
  <si>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</si>
  <si>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</si>
  <si>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</si>
  <si>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</si>
  <si>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</si>
  <si>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</si>
  <si>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</si>
  <si>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</si>
  <si>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</si>
  <si>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</si>
  <si>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</si>
  <si>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</si>
  <si>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</si>
  <si>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</si>
  <si>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</si>
  <si>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</si>
  <si>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</si>
  <si>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</si>
  <si>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</si>
  <si>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</si>
  <si>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</si>
  <si>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</si>
  <si>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</si>
  <si>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</si>
  <si>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</si>
  <si>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</si>
  <si>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</si>
  <si>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</si>
  <si>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</si>
  <si>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</si>
  <si>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</si>
  <si>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</si>
  <si>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</si>
  <si>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</si>
  <si>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</si>
  <si>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</si>
  <si>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</si>
  <si>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</si>
  <si>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</si>
  <si>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</si>
  <si>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</si>
  <si>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</si>
  <si>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</si>
  <si>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</si>
  <si>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</si>
  <si>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</si>
  <si>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</si>
  <si>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</si>
  <si>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</si>
  <si>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</si>
  <si>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</si>
  <si>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</si>
  <si>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</si>
  <si>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</si>
  <si>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</si>
  <si>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</si>
  <si>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</si>
  <si>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</si>
  <si>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</si>
  <si>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</si>
  <si>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</si>
  <si>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</si>
  <si>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</si>
  <si>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</si>
  <si>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</si>
  <si>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</si>
  <si>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</si>
  <si>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</si>
  <si>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</si>
  <si>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</si>
  <si>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</si>
  <si>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</si>
  <si>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</si>
  <si>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</si>
  <si>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</si>
  <si>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</si>
  <si>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</si>
  <si>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</si>
  <si>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</si>
  <si>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</si>
  <si>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</si>
  <si>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</si>
  <si>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</si>
  <si>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</si>
  <si>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</si>
  <si>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</si>
  <si>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</si>
  <si>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</si>
  <si>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</si>
  <si>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</si>
  <si>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</si>
  <si>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</si>
  <si>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</si>
  <si>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</si>
  <si>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</si>
  <si>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</si>
  <si>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</si>
  <si>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</si>
  <si>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</si>
  <si>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</si>
  <si>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</si>
  <si>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</si>
  <si>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</si>
  <si>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</si>
  <si>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</si>
  <si>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</si>
  <si>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</si>
  <si>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</si>
  <si>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</si>
  <si>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</si>
  <si>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</si>
  <si>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</si>
  <si>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</si>
  <si>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</si>
  <si>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</si>
  <si>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</si>
  <si>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</si>
  <si>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</si>
  <si>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</si>
  <si>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</si>
  <si>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</si>
  <si>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</si>
  <si>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</si>
  <si>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</si>
  <si>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</si>
  <si>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</si>
  <si>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</si>
  <si>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</si>
  <si>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</si>
  <si>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</si>
  <si>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</si>
  <si>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</si>
  <si>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</si>
  <si>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</si>
  <si>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</si>
  <si>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</si>
  <si>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</si>
  <si>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</si>
  <si>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</si>
  <si>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</si>
  <si>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</si>
  <si>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</si>
  <si>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</si>
  <si>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</si>
  <si>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</si>
  <si>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</si>
  <si>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</si>
  <si>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</si>
  <si>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</si>
  <si>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</si>
  <si>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</si>
  <si>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</si>
  <si>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</si>
  <si>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</si>
  <si>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</si>
  <si>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</si>
  <si>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</si>
  <si>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</si>
  <si>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</si>
  <si>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</si>
  <si>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</si>
  <si>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</si>
  <si>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</si>
  <si>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</si>
  <si>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</si>
  <si>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</si>
  <si>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</si>
  <si>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</si>
  <si>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</si>
  <si>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</si>
  <si>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</si>
  <si>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</si>
  <si>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</si>
  <si>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</si>
  <si>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</si>
  <si>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</si>
  <si>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</si>
  <si>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</si>
  <si>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</si>
  <si>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</si>
  <si>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</si>
  <si>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</si>
  <si>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</si>
  <si>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</si>
  <si>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</si>
  <si>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</si>
  <si>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</si>
  <si>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</si>
  <si>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</si>
  <si>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</si>
  <si>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</si>
  <si>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</si>
  <si>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</si>
  <si>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</si>
  <si>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</si>
  <si>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</si>
  <si>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</si>
  <si>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</si>
  <si>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</si>
  <si>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</si>
  <si>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</si>
  <si>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</si>
  <si>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</si>
  <si>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</si>
  <si>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</si>
  <si>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</si>
  <si>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</si>
  <si>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</si>
  <si>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</si>
  <si>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</si>
  <si>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</si>
  <si>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</si>
  <si>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</si>
  <si>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</si>
  <si>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</si>
  <si>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</si>
  <si>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</si>
  <si>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</si>
  <si>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</si>
  <si>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</si>
  <si>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</si>
  <si>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</si>
  <si>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</si>
  <si>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</si>
  <si>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</si>
  <si>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</si>
  <si>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</si>
  <si>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</si>
  <si>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</si>
  <si>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</si>
  <si>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</si>
  <si>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</si>
  <si>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</si>
  <si>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</si>
  <si>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</si>
  <si>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</si>
  <si>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</si>
  <si>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</si>
  <si>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</si>
  <si>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</si>
  <si>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</si>
  <si>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</si>
  <si>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</si>
  <si>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</si>
  <si>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</si>
  <si>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</si>
  <si>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</si>
  <si>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</si>
  <si>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</si>
  <si>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</si>
  <si>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</si>
  <si>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</si>
  <si>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</si>
  <si>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</si>
  <si>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</si>
  <si>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</si>
  <si>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</si>
  <si>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</si>
  <si>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</si>
  <si>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</si>
  <si>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</si>
  <si>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</si>
  <si>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</si>
  <si>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</si>
  <si>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</si>
  <si>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</si>
  <si>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</si>
  <si>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</si>
  <si>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</si>
  <si>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</si>
  <si>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</si>
  <si>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</si>
  <si>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</si>
  <si>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</si>
  <si>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</si>
  <si>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</si>
  <si>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</si>
  <si>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</si>
  <si>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</si>
  <si>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</si>
  <si>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</si>
  <si>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</si>
  <si>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</si>
  <si>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</si>
  <si>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</si>
  <si>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</si>
  <si>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</si>
  <si>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</si>
  <si>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</si>
  <si>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</si>
  <si>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</si>
  <si>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</si>
  <si>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</si>
  <si>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</si>
  <si>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</si>
  <si>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</si>
  <si>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</si>
  <si>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</si>
  <si>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</si>
  <si>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</si>
  <si>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</si>
  <si>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</si>
  <si>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</si>
  <si>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</si>
  <si>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</si>
  <si>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</si>
  <si>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</si>
  <si>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</si>
  <si>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</si>
  <si>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</si>
  <si>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</si>
  <si>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</si>
  <si>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</si>
  <si>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</si>
  <si>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</si>
  <si>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</si>
  <si>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</si>
  <si>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</si>
  <si>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</si>
  <si>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</si>
  <si>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</si>
  <si>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</si>
  <si>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</si>
  <si>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</si>
  <si>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</si>
  <si>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</si>
  <si>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</si>
  <si>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</si>
  <si>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</si>
  <si>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</si>
  <si>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</si>
  <si>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</si>
  <si>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</si>
  <si>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</si>
  <si>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</si>
  <si>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</si>
  <si>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</si>
  <si>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</si>
  <si>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</si>
  <si>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</si>
  <si>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</si>
  <si>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</si>
  <si>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</si>
  <si>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</si>
  <si>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</si>
  <si>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</si>
  <si>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</si>
  <si>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</si>
  <si>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</si>
  <si>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</si>
  <si>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</si>
  <si>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</si>
  <si>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</si>
  <si>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</si>
  <si>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</si>
  <si>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</si>
  <si>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</si>
  <si>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</si>
  <si>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</si>
  <si>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</si>
  <si>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</si>
  <si>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</si>
  <si>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</si>
  <si>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</si>
  <si>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</si>
  <si>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</si>
  <si>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</si>
  <si>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</si>
  <si>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</si>
  <si>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</si>
  <si>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</si>
  <si>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</si>
  <si>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</si>
  <si>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</si>
  <si>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</si>
  <si>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</si>
  <si>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</si>
  <si>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</si>
  <si>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</si>
  <si>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</si>
  <si>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</si>
  <si>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</si>
  <si>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</si>
  <si>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</si>
  <si>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</si>
  <si>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</si>
  <si>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</si>
  <si>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</si>
  <si>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</si>
  <si>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</si>
  <si>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</si>
  <si>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</si>
  <si>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</si>
  <si>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</si>
  <si>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</si>
  <si>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</si>
  <si>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</si>
  <si>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</si>
  <si>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</si>
  <si>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</si>
  <si>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</si>
  <si>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</si>
  <si>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</si>
  <si>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</si>
  <si>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</si>
  <si>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</si>
  <si>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</si>
  <si>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</si>
  <si>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</si>
  <si>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</si>
  <si>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</si>
  <si>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</si>
  <si>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</si>
  <si>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</si>
  <si>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</si>
  <si>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</si>
  <si>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</si>
  <si>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</si>
  <si>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</si>
  <si>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</si>
  <si>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</si>
  <si>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</si>
  <si>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</si>
  <si>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</si>
  <si>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</si>
  <si>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</si>
  <si>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</si>
  <si>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</si>
  <si>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</si>
  <si>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</si>
  <si>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</si>
  <si>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</si>
  <si>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</si>
  <si>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</si>
  <si>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</si>
  <si>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</si>
  <si>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</si>
  <si>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</si>
  <si>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</si>
  <si>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</si>
  <si>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</si>
  <si>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</si>
  <si>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</si>
  <si>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</si>
  <si>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</si>
  <si>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</si>
  <si>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</si>
  <si>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</si>
  <si>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</si>
  <si>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</si>
  <si>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</si>
  <si>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</si>
  <si>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</si>
  <si>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</si>
  <si>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</si>
  <si>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</si>
  <si>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</si>
  <si>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</si>
  <si>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</si>
  <si>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</si>
  <si>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</si>
  <si>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</si>
  <si>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</si>
  <si>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</si>
  <si>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</si>
  <si>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</si>
  <si>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</si>
  <si>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</si>
  <si>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</si>
  <si>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</si>
  <si>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</si>
  <si>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</si>
  <si>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</si>
  <si>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</si>
  <si>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</si>
  <si>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</si>
  <si>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</si>
  <si>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</si>
  <si>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</si>
  <si>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</si>
  <si>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</si>
  <si>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</si>
  <si>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</si>
  <si>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</si>
  <si>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</si>
  <si>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</si>
  <si>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</si>
  <si>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</si>
  <si>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</si>
  <si>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</si>
  <si>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</si>
  <si>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</si>
  <si>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</si>
  <si>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</si>
  <si>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</si>
  <si>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</si>
  <si>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</si>
  <si>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</si>
  <si>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</si>
  <si>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</si>
  <si>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</si>
  <si>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</si>
  <si>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</si>
  <si>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</si>
  <si>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</si>
  <si>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</si>
  <si>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</si>
  <si>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</si>
  <si>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</si>
  <si>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</si>
  <si>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</si>
  <si>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</si>
  <si>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</si>
  <si>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</si>
  <si>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</si>
  <si>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</si>
  <si>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</si>
  <si>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</si>
  <si>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</si>
  <si>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</si>
  <si>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</si>
  <si>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</si>
  <si>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</si>
  <si>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</si>
  <si>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</si>
  <si>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</si>
  <si>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</si>
  <si>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</si>
  <si>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</si>
  <si>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</si>
  <si>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</si>
  <si>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</si>
  <si>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</si>
  <si>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</si>
  <si>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</si>
  <si>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</si>
  <si>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</si>
  <si>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</si>
  <si>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</si>
  <si>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</si>
  <si>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</si>
  <si>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</si>
  <si>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</si>
  <si>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</si>
  <si>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</si>
  <si>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</si>
  <si>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</si>
  <si>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</si>
  <si>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</si>
  <si>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</si>
  <si>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</si>
  <si>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</si>
  <si>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</si>
  <si>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</si>
  <si>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</si>
  <si>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</si>
  <si>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</si>
  <si>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</si>
  <si>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</si>
  <si>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</si>
  <si>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</si>
  <si>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</si>
  <si>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</si>
  <si>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</si>
  <si>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</si>
  <si>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</si>
  <si>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</si>
  <si>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</si>
  <si>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</si>
  <si>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</si>
  <si>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</si>
  <si>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</si>
  <si>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</si>
  <si>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</si>
  <si>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</si>
  <si>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</si>
  <si>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</si>
  <si>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</si>
  <si>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</si>
  <si>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</si>
  <si>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</si>
  <si>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</si>
  <si>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</si>
  <si>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</si>
  <si>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</si>
  <si>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</si>
  <si>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</si>
  <si>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</si>
  <si>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</si>
  <si>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</si>
  <si>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</si>
  <si>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</si>
  <si>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</si>
  <si>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</si>
  <si>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</si>
  <si>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</si>
  <si>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</si>
  <si>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</si>
  <si>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</si>
  <si>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</si>
  <si>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</si>
  <si>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</si>
  <si>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</si>
  <si>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</si>
  <si>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</si>
  <si>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</si>
  <si>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</si>
  <si>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</si>
  <si>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</si>
  <si>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</si>
  <si>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</si>
  <si>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</si>
  <si>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</si>
  <si>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</si>
  <si>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</si>
  <si>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</si>
  <si>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</si>
  <si>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</si>
  <si>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</si>
  <si>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</si>
  <si>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</si>
  <si>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</si>
  <si>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</si>
  <si>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</si>
  <si>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</si>
  <si>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</si>
  <si>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</si>
  <si>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</si>
  <si>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</si>
  <si>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</si>
  <si>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</si>
  <si>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</si>
  <si>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</si>
  <si>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</si>
  <si>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</si>
  <si>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</si>
  <si>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</si>
  <si>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</si>
  <si>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</si>
  <si>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</si>
  <si>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</si>
  <si>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</si>
  <si>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</si>
  <si>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</si>
  <si>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</si>
  <si>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</si>
  <si>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</si>
  <si>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</si>
  <si>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</si>
  <si>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</si>
  <si>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</si>
  <si>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</si>
  <si>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</si>
  <si>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</si>
  <si>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</si>
  <si>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</si>
  <si>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</si>
  <si>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</si>
  <si>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</si>
  <si>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</si>
  <si>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</si>
  <si>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</si>
  <si>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</si>
  <si>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</si>
  <si>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</si>
  <si>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</si>
  <si>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</si>
  <si>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</si>
  <si>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</si>
  <si>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</si>
  <si>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</si>
  <si>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</si>
  <si>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</si>
  <si>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</si>
  <si>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</si>
  <si>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</si>
  <si>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</si>
  <si>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</si>
  <si>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</si>
  <si>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</si>
  <si>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</si>
  <si>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</si>
  <si>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</si>
  <si>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</si>
  <si>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</si>
  <si>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</si>
  <si>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</si>
  <si>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</si>
  <si>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</si>
  <si>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</si>
  <si>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</si>
  <si>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</si>
  <si>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</si>
  <si>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</si>
  <si>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</si>
  <si>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</si>
  <si>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</si>
  <si>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</si>
  <si>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</si>
  <si>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</si>
  <si>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</si>
  <si>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</si>
  <si>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</si>
  <si>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</si>
  <si>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</si>
  <si>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</si>
  <si>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</si>
  <si>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</si>
  <si>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</si>
  <si>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</si>
  <si>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</si>
  <si>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</si>
  <si>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</si>
  <si>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</si>
  <si>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</si>
  <si>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</si>
  <si>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</si>
  <si>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</si>
  <si>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</si>
  <si>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</si>
  <si>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</si>
  <si>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</si>
  <si>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</si>
  <si>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</si>
  <si>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</si>
  <si>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</si>
  <si>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</si>
  <si>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</si>
  <si>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</si>
  <si>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</si>
  <si>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</si>
  <si>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</si>
  <si>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</si>
  <si>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</si>
  <si>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</si>
  <si>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</si>
  <si>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</si>
  <si>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</si>
  <si>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</si>
  <si>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</si>
  <si>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</si>
  <si>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</si>
  <si>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</si>
  <si>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</si>
  <si>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</si>
  <si>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</si>
  <si>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</si>
  <si>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</si>
  <si>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</si>
  <si>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</si>
  <si>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</si>
  <si>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</si>
  <si>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</si>
  <si>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</si>
  <si>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</si>
  <si>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</si>
  <si>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</si>
  <si>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</si>
  <si>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</si>
  <si>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</si>
  <si>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</si>
  <si>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</si>
  <si>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</si>
  <si>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</si>
  <si>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</si>
  <si>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</si>
  <si>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</si>
  <si>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</si>
  <si>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</si>
  <si>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</si>
  <si>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</si>
  <si>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</si>
  <si>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</si>
  <si>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</si>
  <si>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</si>
  <si>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</si>
  <si>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</si>
  <si>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</si>
  <si>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</si>
  <si>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</si>
  <si>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</si>
  <si>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</si>
  <si>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</si>
  <si>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</si>
  <si>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</si>
  <si>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</si>
  <si>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</si>
  <si>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</si>
  <si>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</si>
  <si>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</si>
  <si>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</si>
  <si>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</si>
  <si>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</si>
  <si>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</si>
  <si>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</si>
  <si>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</si>
  <si>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</si>
  <si>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</si>
  <si>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</si>
  <si>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</si>
  <si>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</si>
  <si>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</si>
  <si>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</si>
  <si>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</si>
  <si>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</si>
  <si>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</si>
  <si>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</si>
  <si>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</si>
  <si>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</si>
  <si>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</si>
  <si>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</si>
  <si>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</si>
  <si>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</si>
  <si>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</si>
  <si>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</si>
  <si>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</si>
  <si>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</si>
  <si>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</si>
  <si>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</si>
  <si>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</si>
  <si>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</si>
  <si>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</si>
  <si>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</si>
  <si>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</si>
  <si>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</si>
  <si>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</si>
  <si>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</si>
  <si>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</si>
  <si>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</si>
  <si>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</si>
  <si>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</si>
  <si>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</si>
  <si>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</si>
  <si>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</si>
  <si>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</si>
  <si>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</si>
  <si>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</si>
  <si>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</si>
  <si>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</si>
  <si>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</si>
  <si>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</si>
  <si>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</si>
  <si>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</si>
  <si>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</si>
  <si>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</si>
  <si>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</si>
  <si>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</si>
  <si>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</si>
  <si>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</si>
  <si>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</si>
  <si>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</si>
  <si>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</si>
  <si>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</si>
  <si>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</si>
  <si>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</si>
  <si>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</si>
  <si>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</si>
  <si>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</si>
  <si>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</si>
  <si>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</si>
  <si>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</si>
  <si>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</si>
  <si>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</si>
  <si>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</si>
  <si>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</si>
  <si>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</si>
  <si>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</si>
  <si>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</si>
  <si>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</si>
  <si>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</si>
  <si>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</si>
  <si>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</si>
  <si>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</si>
  <si>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</si>
  <si>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</si>
  <si>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</si>
  <si>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</si>
  <si>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</si>
  <si>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</si>
  <si>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</si>
  <si>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</si>
  <si>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</si>
  <si>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</si>
  <si>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</si>
  <si>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</si>
  <si>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</si>
  <si>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</si>
  <si>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</si>
  <si>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</si>
  <si>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</si>
  <si>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</si>
  <si>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</si>
  <si>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</si>
  <si>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</si>
  <si>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</si>
  <si>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</si>
  <si>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</si>
  <si>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</si>
  <si>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</si>
  <si>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</si>
  <si>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</si>
  <si>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</si>
  <si>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</si>
  <si>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</si>
  <si>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</si>
  <si>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</si>
  <si>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</si>
  <si>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</si>
  <si>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</si>
  <si>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</si>
  <si>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</si>
  <si>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</si>
  <si>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</si>
  <si>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</si>
  <si>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</si>
  <si>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</si>
  <si>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</si>
  <si>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</si>
  <si>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</si>
  <si>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</si>
  <si>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</si>
  <si>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</si>
  <si>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</si>
  <si>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</si>
  <si>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</si>
  <si>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</si>
  <si>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</si>
  <si>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</si>
  <si>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</si>
  <si>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</si>
  <si>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</si>
  <si>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</si>
  <si>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</si>
  <si>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</si>
  <si>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</si>
  <si>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</si>
  <si>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</si>
  <si>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</si>
  <si>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</si>
  <si>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</si>
  <si>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</si>
  <si>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</si>
  <si>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</si>
  <si>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</si>
  <si>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</si>
  <si>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</si>
  <si>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</si>
  <si>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</si>
  <si>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</si>
  <si>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</si>
  <si>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</si>
  <si>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</si>
  <si>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</si>
  <si>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</si>
  <si>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</si>
  <si>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</si>
  <si>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</si>
  <si>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</si>
  <si>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</si>
  <si>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</si>
  <si>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</si>
  <si>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</si>
  <si>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</si>
  <si>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</si>
  <si>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</si>
  <si>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</si>
  <si>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</si>
  <si>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</si>
  <si>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</si>
  <si>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</si>
  <si>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</si>
  <si>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</si>
  <si>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</si>
  <si>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</si>
  <si>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</si>
  <si>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</si>
  <si>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</si>
  <si>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</si>
  <si>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</si>
  <si>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</si>
  <si>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</si>
  <si>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</si>
  <si>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</si>
  <si>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</si>
  <si>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</si>
  <si>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</si>
  <si>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</si>
  <si>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</si>
  <si>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</si>
  <si>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</si>
  <si>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</si>
  <si>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</si>
  <si>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</si>
  <si>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</si>
  <si>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</si>
  <si>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</si>
  <si>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</si>
  <si>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</si>
  <si>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</si>
  <si>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</si>
  <si>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</si>
  <si>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</si>
  <si>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</si>
  <si>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</si>
  <si>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</si>
  <si>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</si>
  <si>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</si>
  <si>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</si>
  <si>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</si>
  <si>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</si>
  <si>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</si>
  <si>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</si>
  <si>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</si>
  <si>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</si>
  <si>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</si>
  <si>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</si>
  <si>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</si>
  <si>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</si>
  <si>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</si>
  <si>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</si>
  <si>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</si>
  <si>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</si>
  <si>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</si>
  <si>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</si>
  <si>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</si>
  <si>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</si>
  <si>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</si>
  <si>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</si>
  <si>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</si>
  <si>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</si>
  <si>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</si>
  <si>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</si>
  <si>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</si>
  <si>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</si>
  <si>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</si>
  <si>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</si>
  <si>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</si>
  <si>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</si>
  <si>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</si>
  <si>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</si>
  <si>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</si>
  <si>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</si>
  <si>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</si>
  <si>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</si>
  <si>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</si>
  <si>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</si>
  <si>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</si>
  <si>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</si>
  <si>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</si>
  <si>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</si>
  <si>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</si>
  <si>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</si>
  <si>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</si>
  <si>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</si>
  <si>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</si>
  <si>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</si>
  <si>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</si>
  <si>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</si>
  <si>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</si>
  <si>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</si>
  <si>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</si>
  <si>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</si>
  <si>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</si>
  <si>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</si>
  <si>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</si>
  <si>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</si>
  <si>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</si>
  <si>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</si>
  <si>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</si>
  <si>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</si>
  <si>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</si>
  <si>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</si>
  <si>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</si>
  <si>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</si>
  <si>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</si>
  <si>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</si>
  <si>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</si>
  <si>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</si>
  <si>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</si>
  <si>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</si>
  <si>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</si>
  <si>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</si>
  <si>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</si>
  <si>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</si>
  <si>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</si>
  <si>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</si>
  <si>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</si>
  <si>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</si>
  <si>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</si>
  <si>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</si>
  <si>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</si>
  <si>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</si>
  <si>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</si>
  <si>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</si>
  <si>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</si>
  <si>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</si>
  <si>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</si>
  <si>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</si>
  <si>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</si>
  <si>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</si>
  <si>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</si>
  <si>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</si>
  <si>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</si>
  <si>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</si>
  <si>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</si>
  <si>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</si>
  <si>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</si>
  <si>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</si>
  <si>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</si>
  <si>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</si>
  <si>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</si>
  <si>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</si>
  <si>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</si>
  <si>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</si>
  <si>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</si>
  <si>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</si>
  <si>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</si>
  <si>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</si>
  <si>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</si>
  <si>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</si>
  <si>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</si>
  <si>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</si>
  <si>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</si>
  <si>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</si>
  <si>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</si>
  <si>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</si>
  <si>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</si>
  <si>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</si>
  <si>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</si>
  <si>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</si>
  <si>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</si>
  <si>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</si>
  <si>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</si>
  <si>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</si>
  <si>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</si>
  <si>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</si>
  <si>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</si>
  <si>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</si>
  <si>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</si>
  <si>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</si>
  <si>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</si>
  <si>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</si>
  <si>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</si>
  <si>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</si>
  <si>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</si>
  <si>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</si>
  <si>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</si>
  <si>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</si>
  <si>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</si>
  <si>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</si>
  <si>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</si>
  <si>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</si>
  <si>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</si>
  <si>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</si>
  <si>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</si>
  <si>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</si>
  <si>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</si>
  <si>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</si>
  <si>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</si>
  <si>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</si>
  <si>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</si>
  <si>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</si>
  <si>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</si>
  <si>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</si>
  <si>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</si>
  <si>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</si>
  <si>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</si>
  <si>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</si>
  <si>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</si>
  <si>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</si>
  <si>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</si>
  <si>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</si>
  <si>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</si>
  <si>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</si>
  <si>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</si>
  <si>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</si>
  <si>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</si>
  <si>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</si>
  <si>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</si>
  <si>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</si>
  <si>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</si>
  <si>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</si>
  <si>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</si>
  <si>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</si>
  <si>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</si>
  <si>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</si>
  <si>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</si>
  <si>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</si>
  <si>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</si>
  <si>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</si>
  <si>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</si>
  <si>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</si>
  <si>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</si>
  <si>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</si>
  <si>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</si>
  <si>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</si>
  <si>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</si>
  <si>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</si>
  <si>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</si>
  <si>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</si>
  <si>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</si>
  <si>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</si>
  <si>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</si>
  <si>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</si>
  <si>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</si>
  <si>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</si>
  <si>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</si>
  <si>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</si>
  <si>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</si>
  <si>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</si>
  <si>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</si>
  <si>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</si>
  <si>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</si>
  <si>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</si>
  <si>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</si>
  <si>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</si>
  <si>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</si>
  <si>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</si>
  <si>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</si>
  <si>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</si>
  <si>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</si>
  <si>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</si>
  <si>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</si>
  <si>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</si>
  <si>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</si>
  <si>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</si>
  <si>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</si>
  <si>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</si>
  <si>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</si>
  <si>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</si>
  <si>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</si>
  <si>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</si>
  <si>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</si>
  <si>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</si>
  <si>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</si>
  <si>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</si>
  <si>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</si>
  <si>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</si>
  <si>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</si>
  <si>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</si>
  <si>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</si>
  <si>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</si>
  <si>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</si>
  <si>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</si>
  <si>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</si>
  <si>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</si>
  <si>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</si>
  <si>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</si>
  <si>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</si>
  <si>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</si>
  <si>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</si>
  <si>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</si>
  <si>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</si>
  <si>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</si>
  <si>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</si>
  <si>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</si>
  <si>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</si>
  <si>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</si>
  <si>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</si>
  <si>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</si>
  <si>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</si>
  <si>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</si>
  <si>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</si>
  <si>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</si>
  <si>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</si>
  <si>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</si>
  <si>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</si>
  <si>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</si>
  <si>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</si>
  <si>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</si>
  <si>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</si>
  <si>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</si>
  <si>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</si>
  <si>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</si>
  <si>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</si>
  <si>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</si>
  <si>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</si>
  <si>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</si>
  <si>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</si>
  <si>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</si>
  <si>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</si>
  <si>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</si>
  <si>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</si>
  <si>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</si>
  <si>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</si>
  <si>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</si>
  <si>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</si>
  <si>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</si>
  <si>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</si>
  <si>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</si>
  <si>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</si>
  <si>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</si>
  <si>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</si>
  <si>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</si>
  <si>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</si>
  <si>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</si>
  <si>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</si>
  <si>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</si>
  <si>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</si>
  <si>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</si>
  <si>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</si>
  <si>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</si>
  <si>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</si>
  <si>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</si>
  <si>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</si>
  <si>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</si>
  <si>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</si>
  <si>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</si>
  <si>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</si>
  <si>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</si>
  <si>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</si>
  <si>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</si>
  <si>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</si>
  <si>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</si>
  <si>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</si>
  <si>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</si>
  <si>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</si>
  <si>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</si>
  <si>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</si>
  <si>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</si>
  <si>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</si>
  <si>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</si>
  <si>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</si>
  <si>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</si>
  <si>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</si>
  <si>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</si>
  <si>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</si>
  <si>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</si>
  <si>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</si>
  <si>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</si>
  <si>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</si>
  <si>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</si>
  <si>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</si>
  <si>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</si>
  <si>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</si>
  <si>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</si>
  <si>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</si>
  <si>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</si>
  <si>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</si>
  <si>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</si>
  <si>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</si>
  <si>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</si>
  <si>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</si>
  <si>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</si>
  <si>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</si>
  <si>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</si>
  <si>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</si>
  <si>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</si>
  <si>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</si>
  <si>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</si>
  <si>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</si>
  <si>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</si>
  <si>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</si>
  <si>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</si>
  <si>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</si>
  <si>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</si>
  <si>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</si>
  <si>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</si>
  <si>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</si>
  <si>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</si>
  <si>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</si>
  <si>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</si>
  <si>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</si>
  <si>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</si>
  <si>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</si>
  <si>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</si>
  <si>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</si>
  <si>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</si>
  <si>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</si>
  <si>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</si>
  <si>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</si>
  <si>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</si>
  <si>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</si>
  <si>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</si>
  <si>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</si>
  <si>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</si>
  <si>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</si>
  <si>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</si>
  <si>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</si>
  <si>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</si>
  <si>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</si>
  <si>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</si>
  <si>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</si>
  <si>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</si>
  <si>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</si>
  <si>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</si>
  <si>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</si>
  <si>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</si>
  <si>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</si>
  <si>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</si>
  <si>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</si>
  <si>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</si>
  <si>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</si>
  <si>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</si>
  <si>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</si>
  <si>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</si>
  <si>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</si>
  <si>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</si>
  <si>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</si>
  <si>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</si>
  <si>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</si>
  <si>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</si>
  <si>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</si>
  <si>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</si>
  <si>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</si>
  <si>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</si>
  <si>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</si>
  <si>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</si>
  <si>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</si>
  <si>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</si>
  <si>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</si>
  <si>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</si>
  <si>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</si>
  <si>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</si>
  <si>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</si>
  <si>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</si>
  <si>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</si>
  <si>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</si>
  <si>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</si>
  <si>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</si>
  <si>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</si>
  <si>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</si>
  <si>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</si>
  <si>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</si>
  <si>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</si>
  <si>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</si>
  <si>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</si>
  <si>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</si>
  <si>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</si>
  <si>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</si>
  <si>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</si>
  <si>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</si>
  <si>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</si>
  <si>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</si>
  <si>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</si>
  <si>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</si>
  <si>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</si>
  <si>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</si>
  <si>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</si>
  <si>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</si>
  <si>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</si>
  <si>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</si>
  <si>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</si>
  <si>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</si>
  <si>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</si>
  <si>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</si>
  <si>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</si>
  <si>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</si>
  <si>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</si>
  <si>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</si>
  <si>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</si>
  <si>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</si>
  <si>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</si>
  <si>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</si>
  <si>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</si>
  <si>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</si>
  <si>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</si>
  <si>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</si>
  <si>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</si>
  <si>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</si>
  <si>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</si>
  <si>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</si>
  <si>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</si>
  <si>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</si>
  <si>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</si>
  <si>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</si>
  <si>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</si>
  <si>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</si>
  <si>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</si>
  <si>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</si>
  <si>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</si>
  <si>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</si>
  <si>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</si>
  <si>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</si>
  <si>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</si>
  <si>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</si>
  <si>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</si>
  <si>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</si>
  <si>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</si>
  <si>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</si>
  <si>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</si>
  <si>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</si>
  <si>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</si>
  <si>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</si>
  <si>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</si>
  <si>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</si>
  <si>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</si>
  <si>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</si>
  <si>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</si>
  <si>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</si>
  <si>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</si>
  <si>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</si>
  <si>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</si>
  <si>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</si>
  <si>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</si>
  <si>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</si>
  <si>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</si>
  <si>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</si>
  <si>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</si>
  <si>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</si>
  <si>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</si>
  <si>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</si>
  <si>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</si>
  <si>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</si>
  <si>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</si>
  <si>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</si>
  <si>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</si>
  <si>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</si>
  <si>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</si>
  <si>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</si>
  <si>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</si>
  <si>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</si>
  <si>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</si>
  <si>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</si>
  <si>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</si>
  <si>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</si>
  <si>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</si>
  <si>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</si>
  <si>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</si>
  <si>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</si>
  <si>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</si>
  <si>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</si>
  <si>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</si>
  <si>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</si>
  <si>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</si>
  <si>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</si>
  <si>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</si>
  <si>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</si>
  <si>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</si>
  <si>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</si>
  <si>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</si>
  <si>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</si>
  <si>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</si>
  <si>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</si>
  <si>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</si>
  <si>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</si>
  <si>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</si>
  <si>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</si>
  <si>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</si>
  <si>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</si>
  <si>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</si>
  <si>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</si>
  <si>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</si>
  <si>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</si>
  <si>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</si>
  <si>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</si>
  <si>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</si>
  <si>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</si>
  <si>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</si>
  <si>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</si>
  <si>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</si>
  <si>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</si>
  <si>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</si>
  <si>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</si>
  <si>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</si>
  <si>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抵押</t>
  </si>
  <si>
    <t>房地产抵押价值</t>
  </si>
  <si>
    <t>北京市</t>
  </si>
  <si>
    <t>企业</t>
  </si>
  <si>
    <t>土地证</t>
    <phoneticPr fontId="135" type="noConversion"/>
  </si>
  <si>
    <t>证号</t>
    <phoneticPr fontId="135" type="noConversion"/>
  </si>
  <si>
    <t>产权人</t>
    <phoneticPr fontId="135" type="noConversion"/>
  </si>
  <si>
    <t>座落</t>
    <phoneticPr fontId="135" type="noConversion"/>
  </si>
  <si>
    <t>地类用途</t>
    <phoneticPr fontId="135" type="noConversion"/>
  </si>
  <si>
    <t>使用权类型</t>
    <phoneticPr fontId="135" type="noConversion"/>
  </si>
  <si>
    <t>终止日期</t>
    <phoneticPr fontId="135" type="noConversion"/>
  </si>
  <si>
    <t>使用权面积</t>
    <phoneticPr fontId="135" type="noConversion"/>
  </si>
  <si>
    <r>
      <t>京平国用（2</t>
    </r>
    <r>
      <rPr>
        <sz val="11"/>
        <color theme="1"/>
        <rFont val="宋体"/>
        <family val="3"/>
        <charset val="134"/>
        <scheme val="minor"/>
      </rPr>
      <t>010出）第00006号</t>
    </r>
    <phoneticPr fontId="135" type="noConversion"/>
  </si>
  <si>
    <t>北京市老才臣食品有限公司</t>
    <phoneticPr fontId="135" type="noConversion"/>
  </si>
  <si>
    <r>
      <t>北京市平谷区平谷大街甲1</t>
    </r>
    <r>
      <rPr>
        <sz val="11"/>
        <color theme="1"/>
        <rFont val="宋体"/>
        <family val="3"/>
        <charset val="134"/>
        <scheme val="minor"/>
      </rPr>
      <t>6号</t>
    </r>
    <phoneticPr fontId="135" type="noConversion"/>
  </si>
  <si>
    <t>出让</t>
    <phoneticPr fontId="135" type="noConversion"/>
  </si>
  <si>
    <t>京平国用（2015出）第00023号</t>
    <phoneticPr fontId="135" type="noConversion"/>
  </si>
  <si>
    <r>
      <t>平谷区平谷大街甲1</t>
    </r>
    <r>
      <rPr>
        <sz val="11"/>
        <color theme="1"/>
        <rFont val="宋体"/>
        <family val="3"/>
        <charset val="134"/>
        <scheme val="minor"/>
      </rPr>
      <t>6号</t>
    </r>
    <phoneticPr fontId="135" type="noConversion"/>
  </si>
  <si>
    <t>京平国用（2015出）第00022号</t>
    <phoneticPr fontId="135" type="noConversion"/>
  </si>
  <si>
    <t>京平国用（2015出）第00024号</t>
    <phoneticPr fontId="135" type="noConversion"/>
  </si>
  <si>
    <t>房产证</t>
    <phoneticPr fontId="135" type="noConversion"/>
  </si>
  <si>
    <t>产别</t>
    <phoneticPr fontId="135" type="noConversion"/>
  </si>
  <si>
    <t>港澳台产</t>
    <phoneticPr fontId="135" type="noConversion"/>
  </si>
  <si>
    <t>钢混</t>
  </si>
  <si>
    <t>钢混</t>
    <phoneticPr fontId="135" type="noConversion"/>
  </si>
  <si>
    <t>混合</t>
    <phoneticPr fontId="135" type="noConversion"/>
  </si>
  <si>
    <t>坐落</t>
    <phoneticPr fontId="135" type="noConversion"/>
  </si>
  <si>
    <t>幢号</t>
    <phoneticPr fontId="135" type="noConversion"/>
  </si>
  <si>
    <t>结构</t>
    <phoneticPr fontId="135" type="noConversion"/>
  </si>
  <si>
    <t>房屋总层数</t>
    <phoneticPr fontId="135" type="noConversion"/>
  </si>
  <si>
    <t>建筑面积</t>
    <phoneticPr fontId="135" type="noConversion"/>
  </si>
  <si>
    <t>建成年份</t>
    <phoneticPr fontId="135" type="noConversion"/>
  </si>
  <si>
    <t>京房权证平港澳台字第00180号</t>
    <phoneticPr fontId="135" type="noConversion"/>
  </si>
  <si>
    <r>
      <t>X京房权证平字第</t>
    </r>
    <r>
      <rPr>
        <sz val="11"/>
        <color theme="1"/>
        <rFont val="宋体"/>
        <family val="3"/>
        <charset val="134"/>
        <scheme val="minor"/>
      </rPr>
      <t>013679号</t>
    </r>
    <phoneticPr fontId="135" type="noConversion"/>
  </si>
  <si>
    <t>平谷区平谷大街甲16号4幢</t>
    <phoneticPr fontId="135" type="noConversion"/>
  </si>
  <si>
    <t>车间</t>
    <phoneticPr fontId="135" type="noConversion"/>
  </si>
  <si>
    <t>4幢</t>
    <phoneticPr fontId="135" type="noConversion"/>
  </si>
  <si>
    <t>测图日期</t>
    <phoneticPr fontId="135" type="noConversion"/>
  </si>
  <si>
    <t>库房</t>
    <phoneticPr fontId="135" type="noConversion"/>
  </si>
  <si>
    <t>X京房权证平字第013736号</t>
    <phoneticPr fontId="135" type="noConversion"/>
  </si>
  <si>
    <t>平谷区平谷大街甲16号5幢</t>
    <phoneticPr fontId="135" type="noConversion"/>
  </si>
  <si>
    <t>5幢</t>
    <phoneticPr fontId="135" type="noConversion"/>
  </si>
  <si>
    <t>X京房权证平字第013738号</t>
    <phoneticPr fontId="135" type="noConversion"/>
  </si>
  <si>
    <t>平谷区平谷大街甲16号6幢</t>
    <phoneticPr fontId="135" type="noConversion"/>
  </si>
  <si>
    <t>6幢</t>
    <phoneticPr fontId="135" type="noConversion"/>
  </si>
  <si>
    <t>7幢</t>
    <phoneticPr fontId="135" type="noConversion"/>
  </si>
  <si>
    <t>X京房权证平字第013739号</t>
    <phoneticPr fontId="135" type="noConversion"/>
  </si>
  <si>
    <t>平谷区平谷大街甲16号7幢</t>
    <phoneticPr fontId="135" type="noConversion"/>
  </si>
  <si>
    <t>8幢</t>
    <phoneticPr fontId="135" type="noConversion"/>
  </si>
  <si>
    <t>X京房权证平字第013740号</t>
    <phoneticPr fontId="135" type="noConversion"/>
  </si>
  <si>
    <t>平谷区平谷大街甲16号8幢</t>
    <phoneticPr fontId="135" type="noConversion"/>
  </si>
  <si>
    <t>X京房权证平字第013753号</t>
    <phoneticPr fontId="135" type="noConversion"/>
  </si>
  <si>
    <t>平谷区平谷大街甲16号9幢</t>
    <phoneticPr fontId="135" type="noConversion"/>
  </si>
  <si>
    <t>9幢</t>
    <phoneticPr fontId="135" type="noConversion"/>
  </si>
  <si>
    <t>食堂</t>
    <phoneticPr fontId="135" type="noConversion"/>
  </si>
  <si>
    <t>10幢</t>
    <phoneticPr fontId="135" type="noConversion"/>
  </si>
  <si>
    <t>X京房权证平字第013741号</t>
    <phoneticPr fontId="135" type="noConversion"/>
  </si>
  <si>
    <t>平谷区平谷大街甲16号10幢</t>
    <phoneticPr fontId="135" type="noConversion"/>
  </si>
  <si>
    <t>Ⅸ-兴谷开发区A</t>
  </si>
  <si>
    <t>自定义容积率</t>
  </si>
  <si>
    <t>不临65条商业街</t>
  </si>
  <si>
    <t>与级别开发程度一致</t>
  </si>
  <si>
    <t>按公示增长率计算</t>
  </si>
  <si>
    <t>中心城区</t>
  </si>
  <si>
    <t>土地分摊面积</t>
    <phoneticPr fontId="135" type="noConversion"/>
  </si>
  <si>
    <t>未办理产权证分摊土地面积</t>
    <phoneticPr fontId="135" type="noConversion"/>
  </si>
  <si>
    <t>未办理产权证建筑面积</t>
    <phoneticPr fontId="135" type="noConversion"/>
  </si>
  <si>
    <t>序号</t>
    <phoneticPr fontId="135" type="noConversion"/>
  </si>
  <si>
    <t>是</t>
  </si>
  <si>
    <r>
      <rPr>
        <sz val="10"/>
        <color theme="9" tint="-0.249977111117893"/>
        <rFont val="宋体"/>
        <family val="3"/>
        <charset val="134"/>
      </rPr>
      <t>平谷区平谷大街甲</t>
    </r>
    <r>
      <rPr>
        <sz val="10"/>
        <color theme="9" tint="-0.249977111117893"/>
        <rFont val="Arial"/>
        <family val="2"/>
      </rPr>
      <t>16</t>
    </r>
    <r>
      <rPr>
        <sz val="10"/>
        <color theme="9" tint="-0.249977111117893"/>
        <rFont val="宋体"/>
        <family val="3"/>
        <charset val="134"/>
      </rPr>
      <t>号</t>
    </r>
    <phoneticPr fontId="7" type="noConversion"/>
  </si>
  <si>
    <t>北京市老才臣食品有限公司</t>
    <phoneticPr fontId="7" type="noConversion"/>
  </si>
  <si>
    <t>取了较短的</t>
    <phoneticPr fontId="7" type="noConversion"/>
  </si>
  <si>
    <t>工业项目</t>
  </si>
  <si>
    <t>现房</t>
  </si>
  <si>
    <r>
      <t>1</t>
    </r>
    <r>
      <rPr>
        <sz val="10"/>
        <color indexed="8"/>
        <rFont val="宋体"/>
        <family val="3"/>
        <charset val="134"/>
      </rPr>
      <t>幢</t>
    </r>
    <phoneticPr fontId="4" type="noConversion"/>
  </si>
  <si>
    <r>
      <t>2</t>
    </r>
    <r>
      <rPr>
        <sz val="10"/>
        <color indexed="8"/>
        <rFont val="宋体"/>
        <family val="3"/>
        <charset val="134"/>
      </rPr>
      <t>幢</t>
    </r>
    <phoneticPr fontId="4" type="noConversion"/>
  </si>
  <si>
    <r>
      <t>3</t>
    </r>
    <r>
      <rPr>
        <sz val="10"/>
        <color indexed="8"/>
        <rFont val="宋体"/>
        <family val="3"/>
        <charset val="134"/>
      </rPr>
      <t>幢</t>
    </r>
    <phoneticPr fontId="4" type="noConversion"/>
  </si>
  <si>
    <r>
      <t>4</t>
    </r>
    <r>
      <rPr>
        <sz val="10"/>
        <color indexed="8"/>
        <rFont val="宋体"/>
        <family val="3"/>
        <charset val="134"/>
      </rPr>
      <t>幢</t>
    </r>
    <phoneticPr fontId="4" type="noConversion"/>
  </si>
  <si>
    <r>
      <t>5</t>
    </r>
    <r>
      <rPr>
        <sz val="10"/>
        <color indexed="8"/>
        <rFont val="宋体"/>
        <family val="3"/>
        <charset val="134"/>
      </rPr>
      <t>幢</t>
    </r>
    <phoneticPr fontId="4" type="noConversion"/>
  </si>
  <si>
    <r>
      <t>6</t>
    </r>
    <r>
      <rPr>
        <sz val="11"/>
        <color indexed="8"/>
        <rFont val="宋体"/>
        <family val="3"/>
        <charset val="134"/>
      </rPr>
      <t>幢</t>
    </r>
    <phoneticPr fontId="4" type="noConversion"/>
  </si>
  <si>
    <r>
      <t>7</t>
    </r>
    <r>
      <rPr>
        <sz val="11"/>
        <color indexed="8"/>
        <rFont val="宋体"/>
        <family val="3"/>
        <charset val="134"/>
      </rPr>
      <t>幢</t>
    </r>
    <phoneticPr fontId="4" type="noConversion"/>
  </si>
  <si>
    <r>
      <t>8</t>
    </r>
    <r>
      <rPr>
        <sz val="11"/>
        <color indexed="8"/>
        <rFont val="宋体"/>
        <family val="3"/>
        <charset val="134"/>
      </rPr>
      <t>幢</t>
    </r>
    <phoneticPr fontId="4" type="noConversion"/>
  </si>
  <si>
    <r>
      <t>9</t>
    </r>
    <r>
      <rPr>
        <sz val="11"/>
        <color indexed="8"/>
        <rFont val="宋体"/>
        <family val="3"/>
        <charset val="134"/>
      </rPr>
      <t>幢</t>
    </r>
    <phoneticPr fontId="4" type="noConversion"/>
  </si>
  <si>
    <r>
      <t>10</t>
    </r>
    <r>
      <rPr>
        <sz val="11"/>
        <color indexed="8"/>
        <rFont val="宋体"/>
        <family val="3"/>
        <charset val="134"/>
      </rPr>
      <t>幢</t>
    </r>
    <phoneticPr fontId="4" type="noConversion"/>
  </si>
  <si>
    <t>地上</t>
  </si>
  <si>
    <t>工业</t>
    <phoneticPr fontId="8" type="noConversion"/>
  </si>
  <si>
    <t>成新度</t>
  </si>
  <si>
    <t>成新</t>
    <phoneticPr fontId="135" type="noConversion"/>
  </si>
  <si>
    <t>生产用房计算</t>
    <phoneticPr fontId="135" type="noConversion"/>
  </si>
  <si>
    <t>建安</t>
    <phoneticPr fontId="135" type="noConversion"/>
  </si>
  <si>
    <t>综合成新</t>
    <phoneticPr fontId="135" type="noConversion"/>
  </si>
  <si>
    <t>综合建安</t>
    <phoneticPr fontId="135" type="noConversion"/>
  </si>
  <si>
    <t>滨河街道</t>
    <phoneticPr fontId="4" type="noConversion"/>
  </si>
  <si>
    <t>建筑物日租金</t>
  </si>
  <si>
    <t>土地日租金</t>
  </si>
  <si>
    <t>合计日租金</t>
  </si>
  <si>
    <t>占地面积</t>
    <phoneticPr fontId="135" type="noConversion"/>
  </si>
  <si>
    <t>空地面积</t>
    <phoneticPr fontId="135" type="noConversion"/>
  </si>
  <si>
    <t>建筑物面积</t>
    <phoneticPr fontId="4" type="noConversion"/>
  </si>
  <si>
    <t>空地面积</t>
    <phoneticPr fontId="4" type="noConversion"/>
  </si>
  <si>
    <t>收益法</t>
  </si>
  <si>
    <t>押一</t>
  </si>
  <si>
    <t>非生产用房</t>
  </si>
  <si>
    <t>否</t>
  </si>
  <si>
    <t>较好</t>
  </si>
  <si>
    <t>一般</t>
  </si>
  <si>
    <t>未包含在土地购买价格中</t>
  </si>
  <si>
    <t>已包含在土地取得成本中</t>
  </si>
  <si>
    <t>全部缴纳</t>
  </si>
  <si>
    <t>成本法</t>
  </si>
  <si>
    <t>地块名称</t>
  </si>
  <si>
    <t>城市</t>
  </si>
  <si>
    <t>区县</t>
  </si>
  <si>
    <t>板块</t>
  </si>
  <si>
    <t>公告编号</t>
  </si>
  <si>
    <t>地块编号</t>
  </si>
  <si>
    <t>土地位置</t>
  </si>
  <si>
    <t>建设用地面积(㎡)</t>
  </si>
  <si>
    <t>规划建筑面积(㎡)</t>
  </si>
  <si>
    <t>建设用地分类</t>
  </si>
  <si>
    <t>出让年限(年)</t>
  </si>
  <si>
    <t>容积率上限</t>
  </si>
  <si>
    <t>成交时间</t>
  </si>
  <si>
    <t>成交总价(万元)</t>
  </si>
  <si>
    <t>成交土地单价(元/㎡)</t>
  </si>
  <si>
    <t>成交每亩价(万元/亩)</t>
  </si>
  <si>
    <t>成交楼面价(元/㎡)</t>
  </si>
  <si>
    <t>推出保障房面积(㎡)</t>
  </si>
  <si>
    <t>成交保障房面积(㎡)</t>
  </si>
  <si>
    <t>推出自住房面积(㎡)</t>
  </si>
  <si>
    <t>成交自住房面积(㎡)</t>
  </si>
  <si>
    <t>用地性质</t>
  </si>
  <si>
    <t>详细规划</t>
  </si>
  <si>
    <t>容积率</t>
  </si>
  <si>
    <t>商业比例(%)</t>
  </si>
  <si>
    <t>建筑密度</t>
  </si>
  <si>
    <t>限制高度</t>
  </si>
  <si>
    <t>出让方式</t>
  </si>
  <si>
    <t>集中供地</t>
  </si>
  <si>
    <t>推出特殊政策</t>
  </si>
  <si>
    <t>成交特殊政策</t>
  </si>
  <si>
    <t>特殊用地类型</t>
  </si>
  <si>
    <t>保障房类型</t>
  </si>
  <si>
    <t>公告时间</t>
  </si>
  <si>
    <t>交易状态</t>
  </si>
  <si>
    <t>开工进度</t>
  </si>
  <si>
    <t>受让单位</t>
  </si>
  <si>
    <t>拿地企业</t>
  </si>
  <si>
    <t>企业性质</t>
  </si>
  <si>
    <t>是否城投企业</t>
  </si>
  <si>
    <t>起始价(万元)</t>
  </si>
  <si>
    <t>保证金(万元)</t>
  </si>
  <si>
    <t>保证金截止时间</t>
  </si>
  <si>
    <t>成交楼面价(除保障房)(元/㎡)</t>
  </si>
  <si>
    <t>溢价率(%)</t>
  </si>
  <si>
    <t>限地价(万元)</t>
  </si>
  <si>
    <t>触达限地价</t>
  </si>
  <si>
    <t>政府指导价(元/㎡)</t>
  </si>
  <si>
    <t>限售价(元/㎡)</t>
  </si>
  <si>
    <t>楼面价上限(元/㎡)</t>
  </si>
  <si>
    <t>溢价率上限(%)</t>
  </si>
  <si>
    <t>房地价差(元/㎡)</t>
  </si>
  <si>
    <t>基准地价</t>
  </si>
  <si>
    <t>项目名称</t>
  </si>
  <si>
    <t>关联拟出让土地</t>
  </si>
  <si>
    <t>拟出让土地名称</t>
  </si>
  <si>
    <t>政府收购情况</t>
  </si>
  <si>
    <t>未来科学城科研成果转化基地(原小汤山镇工业区)土地一级开发(一期)CP04-0201-0003地块M1一类工业用地</t>
  </si>
  <si>
    <t>昌平区</t>
  </si>
  <si>
    <t>北石槽</t>
  </si>
  <si>
    <t>京规自挂(昌)工业[2025]007号</t>
  </si>
  <si>
    <t>昌平区小汤山镇</t>
  </si>
  <si>
    <t>M1一类工业用地</t>
  </si>
  <si>
    <t>20年</t>
  </si>
  <si>
    <t>2025-08-04</t>
  </si>
  <si>
    <t/>
  </si>
  <si>
    <t>1.20</t>
  </si>
  <si>
    <t>挂牌</t>
  </si>
  <si>
    <t>2025-07-01</t>
  </si>
  <si>
    <t>已成交</t>
  </si>
  <si>
    <t>已开工</t>
  </si>
  <si>
    <t>北京京城里合成生物食品有限公司</t>
  </si>
  <si>
    <t>里合成</t>
  </si>
  <si>
    <t>民营企业</t>
  </si>
  <si>
    <t>2025-08-04 15:00</t>
  </si>
  <si>
    <t>950元/㎡(九级工业用途2021-01-01)</t>
  </si>
  <si>
    <t>政府未收购</t>
  </si>
  <si>
    <t>北七家工业园区土地一级开发(一期)CP01-1502-0002-3地块M1一类工业用地</t>
  </si>
  <si>
    <t>未来科学城</t>
  </si>
  <si>
    <t>京规自挂(昌)工业[2025]006号</t>
  </si>
  <si>
    <t>昌平区北七家镇</t>
  </si>
  <si>
    <t>30年</t>
  </si>
  <si>
    <t>2</t>
  </si>
  <si>
    <t>北京大清西格科技有限公司</t>
  </si>
  <si>
    <t>1720元/㎡(七级工业用途2021-01-01)</t>
  </si>
  <si>
    <t>北七家工业园区土地一级开发(一期)CP01-1502-0002-2地块M1一类工业用地</t>
  </si>
  <si>
    <t>京规自挂(昌)工业[2025]005号</t>
  </si>
  <si>
    <t>北京科健科技有限公司</t>
  </si>
  <si>
    <t>北七家工业园区土地一级开发(一期)CP01-1502-0002-1地块M1一类工业用地</t>
  </si>
  <si>
    <t>京规自挂(昌)工业[2025]004号</t>
  </si>
  <si>
    <t>北京大清生物技术股份有限公司</t>
  </si>
  <si>
    <t>昌平区CP00-0904-0005地块M1 一类工业用地</t>
  </si>
  <si>
    <t>城南镇北</t>
  </si>
  <si>
    <t>京规自挂(昌)工业 〔2025〕002 号</t>
  </si>
  <si>
    <t>京规自挂(昌)工业〔2025〕002号</t>
  </si>
  <si>
    <t>昌平区城北街道</t>
  </si>
  <si>
    <t>2025-06-04</t>
  </si>
  <si>
    <t>M1 一类工业用地</t>
  </si>
  <si>
    <t>≤1.0</t>
  </si>
  <si>
    <t>2025-04-30</t>
  </si>
  <si>
    <t>北京诺华制药有限公司</t>
  </si>
  <si>
    <t>2025-06-03 15:00</t>
  </si>
  <si>
    <t>崔村镇工业园工业前期开发项目(一期)CP06-0101-0002地块M1一类工业用地</t>
  </si>
  <si>
    <t>崔村镇</t>
  </si>
  <si>
    <t>京规自挂(昌)工业[2025]003号</t>
  </si>
  <si>
    <t>昌平区崔村镇</t>
  </si>
  <si>
    <t>2025-07-08</t>
  </si>
  <si>
    <t>≤1.5</t>
  </si>
  <si>
    <t>福星东联(北京)科技股份有限公司</t>
  </si>
  <si>
    <t>福星东联（北京）科技股份有限公司</t>
  </si>
  <si>
    <t>730元/㎡(十级工业用途2021-01-01)</t>
  </si>
  <si>
    <t>昌平新城东区(南邵组团)1201街区CP00-1201-0036地块M1一类工业用地</t>
  </si>
  <si>
    <t>南邵镇</t>
  </si>
  <si>
    <t>京规自挂(昌)工业[2025]001号</t>
  </si>
  <si>
    <t>昌平区南邵镇</t>
  </si>
  <si>
    <t>2025-03-03</t>
  </si>
  <si>
    <t>36米</t>
  </si>
  <si>
    <t>2025-01-27</t>
  </si>
  <si>
    <t>北京佰仁医疗科技股份有限公司</t>
  </si>
  <si>
    <t>1260元/㎡(八级工业用途2021-01-01)</t>
  </si>
  <si>
    <t>怀柔科学城HR00-0213-6039地块M1一类工业用地国有建设用地</t>
  </si>
  <si>
    <t>怀柔区</t>
  </si>
  <si>
    <t>北房镇</t>
  </si>
  <si>
    <t>京规自挂(怀)工业[2025]001号</t>
  </si>
  <si>
    <t>怀柔科学城0213街区</t>
  </si>
  <si>
    <t>2025-02-28</t>
  </si>
  <si>
    <t>≤1.75</t>
  </si>
  <si>
    <t>2025-01-24</t>
  </si>
  <si>
    <t>中机机科(北京)智能技术有限公司</t>
  </si>
  <si>
    <t>北京机科汇众智能技术股份有限公司,中国通用技术集团,中国机械科学研究总院集团有限公司</t>
  </si>
  <si>
    <t>中央国有企业，中央国有企业，民营企业</t>
  </si>
  <si>
    <t>2025-02-28 15:00</t>
  </si>
  <si>
    <t>怀柔科学城HR00-0213-6002地块M1一类工业用地</t>
  </si>
  <si>
    <t>京规自挂(怀)工业[2024]002号</t>
  </si>
  <si>
    <t>2024-12-30</t>
  </si>
  <si>
    <t>≤1.35</t>
  </si>
  <si>
    <t>2024-11-26</t>
  </si>
  <si>
    <t>北京新泉志和汽车饰件系统有限公司</t>
  </si>
  <si>
    <t>2024-12-30 15:00</t>
  </si>
  <si>
    <t>昌平新城东区(南邵组团)1201街区CP00-1201-0034地块M1一类工业用地</t>
  </si>
  <si>
    <t>京规自挂(昌)工业[2024]004号</t>
  </si>
  <si>
    <t>2024-12-17</t>
  </si>
  <si>
    <t>2024-11-13</t>
  </si>
  <si>
    <t>北京吴裕泰茶业股份有限公司</t>
  </si>
  <si>
    <t>2024-12-17 15:00</t>
  </si>
  <si>
    <t>昌平区CP00-0904-0006地块M1一类工业用地</t>
  </si>
  <si>
    <t>京规自挂(昌)工业[2024]005号</t>
  </si>
  <si>
    <t>1</t>
  </si>
  <si>
    <t>30米</t>
  </si>
  <si>
    <t>昌平新城东区(南邵组团)1201街区CP00-1201-0037地块M1一类工业用地</t>
  </si>
  <si>
    <t>京规自挂(昌)工业[2024]003号</t>
  </si>
  <si>
    <t>2024-11-05</t>
  </si>
  <si>
    <t>≤2.0</t>
  </si>
  <si>
    <t>2024-09-30</t>
  </si>
  <si>
    <t>北京易加三维科技有限公司</t>
  </si>
  <si>
    <t>2024-11-04 15:00</t>
  </si>
  <si>
    <t>怀柔科学城HR00-0213-6038地块M1一类工业用地国有建设用地</t>
  </si>
  <si>
    <t>京规自挂(怀)工业[2024]001号</t>
  </si>
  <si>
    <t>2024-10-22</t>
  </si>
  <si>
    <t>≤1.9</t>
  </si>
  <si>
    <t>2024-09-19</t>
  </si>
  <si>
    <t>北京机科易普软件技术有限公司</t>
  </si>
  <si>
    <t>中央国有企业</t>
  </si>
  <si>
    <t>2024-10-21 17:00</t>
  </si>
  <si>
    <t>中关村平谷农业科技园区(一期)土地一级开发 项目PG04-0102-6002工业研发用地</t>
  </si>
  <si>
    <t>平谷区</t>
  </si>
  <si>
    <t>峪口</t>
  </si>
  <si>
    <t>京规自挂(平)工业[2024]004号</t>
  </si>
  <si>
    <t>平谷区峪口镇PG04-0102街区</t>
  </si>
  <si>
    <t>M工业用地</t>
  </si>
  <si>
    <t>2024-04-26</t>
  </si>
  <si>
    <t>工业研发用地</t>
  </si>
  <si>
    <t>2024-03-26</t>
  </si>
  <si>
    <t>北京市平谷区联扶实业管理有限公司</t>
  </si>
  <si>
    <t>地方国有企业</t>
  </si>
  <si>
    <t>2024-04-29 15:00</t>
  </si>
  <si>
    <t>570元/㎡(十一级工业用途2021-01-01)</t>
  </si>
  <si>
    <t>中关村平谷农业科技园区(一期)土地一级开发 项目PG04-0102-6004、6006地块工业研发用地</t>
  </si>
  <si>
    <t>京规自挂(平)工业[2024]005号</t>
  </si>
  <si>
    <t>峪口镇PG04-0102街区</t>
  </si>
  <si>
    <t>中关村平谷农业科技园区(一期)土地一级开发项目PG04-0102-6001地块工业研发用地</t>
  </si>
  <si>
    <t>京规自挂(平)工业[2024]003号</t>
  </si>
  <si>
    <t>30</t>
  </si>
  <si>
    <t>1.50</t>
  </si>
  <si>
    <t>未来科学城科研成果转化基地(原小汤山镇工业区)(一期)项目CP04-0201-0010地块M1一类工业用地</t>
  </si>
  <si>
    <t>京规自挂(昌)工业[2024]002号</t>
  </si>
  <si>
    <t>20</t>
  </si>
  <si>
    <t>2024-03-28</t>
  </si>
  <si>
    <t>2024-02-23</t>
  </si>
  <si>
    <t>北京昌发展美丽健康产业科技有限公司</t>
  </si>
  <si>
    <t>昌平区首钢一线材收储地块开发项目CP01-0402-0001、0002地块M1一类工业用地</t>
  </si>
  <si>
    <t>上庄镇</t>
  </si>
  <si>
    <t>京规自挂(昌)工业[2024]001号</t>
  </si>
  <si>
    <t>昌平区沙河镇</t>
  </si>
  <si>
    <t>北京未来星智科技产业发展有限公司</t>
  </si>
  <si>
    <t>城投企业</t>
  </si>
  <si>
    <t>夏各庄新城土地一级开发项目二号地块PG11-0101-0011地块W1物流用地</t>
  </si>
  <si>
    <t>夏各庄镇</t>
  </si>
  <si>
    <t>京规自挂(平)工业[2024]002号</t>
  </si>
  <si>
    <t>夏各庄镇集中建设区东部</t>
  </si>
  <si>
    <t>W1一类物流仓储用地</t>
  </si>
  <si>
    <t>50年</t>
  </si>
  <si>
    <t>2024-03-08</t>
  </si>
  <si>
    <t>W1物流用地</t>
  </si>
  <si>
    <t>2024-02-06</t>
  </si>
  <si>
    <t>北京极睿能源有限公司</t>
  </si>
  <si>
    <t>2024-03-08 15:00</t>
  </si>
  <si>
    <t>京平公转铁综合物流枢纽产业园土地整理(二期)F2地块项目PG05-0003-A008地块W1物流用地</t>
  </si>
  <si>
    <t>马坊</t>
  </si>
  <si>
    <t>京规自挂(平)工业[2024]001号</t>
  </si>
  <si>
    <t>平谷区马坊镇</t>
  </si>
  <si>
    <t>2024-02-19</t>
  </si>
  <si>
    <t>1.80</t>
  </si>
  <si>
    <t>2024-01-12</t>
  </si>
  <si>
    <t>北京首发绿色物流有限公司</t>
  </si>
  <si>
    <t>北京首发投资控股</t>
  </si>
  <si>
    <t>2024-02-19 15:00</t>
  </si>
  <si>
    <t>昌平区北七家工业园区土地一级开发(一期)项目CP01-1502-0007地块M1一类工业用地</t>
  </si>
  <si>
    <t>京规自挂(昌)工业[2023]005号</t>
  </si>
  <si>
    <t>M1一类工业用地、B41加油加气站用地</t>
  </si>
  <si>
    <t>2024-01-18</t>
  </si>
  <si>
    <t>2023-12-15</t>
  </si>
  <si>
    <t>北京恒泰万博石油技术股份有限公司</t>
  </si>
  <si>
    <t>京平公转铁综合物流枢纽产业园土地整理(一期)一级开发项目北场区PG05-0001-B007地块W1物流用地项目</t>
  </si>
  <si>
    <t>京规自挂(平)工业[2023]008号</t>
  </si>
  <si>
    <t>京平公转铁综合物流枢纽产业园</t>
  </si>
  <si>
    <t>2023-12-04</t>
  </si>
  <si>
    <t>2023-10-31</t>
  </si>
  <si>
    <t>北京绿都京谷铁路运输有限公司</t>
  </si>
  <si>
    <t>2023-12-01 00:00</t>
  </si>
  <si>
    <t>中关村科技园区昌平园东区六期土地一级开发 项目CP00-1201-0006地块M1一类工业用地</t>
  </si>
  <si>
    <t>京规自挂(昌)工业[2023]004号</t>
  </si>
  <si>
    <t>2023-09-04</t>
  </si>
  <si>
    <t>2023-07-31</t>
  </si>
  <si>
    <t>已竣工</t>
  </si>
  <si>
    <t>谱尼生物医药(北京)有限公司</t>
  </si>
  <si>
    <t>谱尼生物医药（北京）有限公司</t>
  </si>
  <si>
    <t>中关村科技园区昌平园东区六期土地一级开发 项目CP00-1201-0004地块M1一类工业用地</t>
  </si>
  <si>
    <t>京规自挂(昌)工业[2023]003号</t>
  </si>
  <si>
    <t>京平公转铁综合物流枢纽产业园土地整理(一期)一级开发项目中场区PG05-0001-H001地块W1物流用地</t>
  </si>
  <si>
    <t>京规自挂(平)工业 [2023]007号</t>
  </si>
  <si>
    <t>京规自挂(平)工业[2023]007号</t>
  </si>
  <si>
    <t>2023-08-22</t>
  </si>
  <si>
    <t>≤1.3</t>
  </si>
  <si>
    <t>2023-07-19</t>
  </si>
  <si>
    <t>格悦旺马(北京)仓储服务有限公司</t>
  </si>
  <si>
    <t>格悦旺马（北京）仓储服务有限公司</t>
  </si>
  <si>
    <t>2023-08-21 00:00</t>
  </si>
  <si>
    <t>京平公转铁综合物流枢纽产业园土地整理(二期)C地块项目PG05-0001-G002地块W1物流用地</t>
  </si>
  <si>
    <t>京规自挂(平)工业 [2023]006号</t>
  </si>
  <si>
    <t>京规自挂(平)工业[2023]006号</t>
  </si>
  <si>
    <t>平谷区马坊镇01街区</t>
  </si>
  <si>
    <t>2023-07-10</t>
  </si>
  <si>
    <t>≤1.2</t>
  </si>
  <si>
    <t>2023-06-06</t>
  </si>
  <si>
    <t>北京康安利泽供应链管理有限公司</t>
  </si>
  <si>
    <t>2023-07-10 15:00</t>
  </si>
  <si>
    <t>京平公转铁综合物流枢纽产业园土地整理(二期)C地块项目PG05-0001-G001地块W1物流用地</t>
  </si>
  <si>
    <t>京规自挂(平)工业 [2023]005号</t>
  </si>
  <si>
    <t>京规自挂(平)工业[2023]005号</t>
  </si>
  <si>
    <t>2023-07-06</t>
  </si>
  <si>
    <t>2023-06-01</t>
  </si>
  <si>
    <t>2023-07-06 15:00</t>
  </si>
  <si>
    <t>平谷新城0105街区PG00-0105-0009地块(平谷区兴谷智慧产业赋能中心项目)M1工业用地</t>
  </si>
  <si>
    <t>王辛庄镇</t>
  </si>
  <si>
    <t>京规自挂(平)工业 [2023]004号</t>
  </si>
  <si>
    <t>京规自挂(平)工业[2023]004号</t>
  </si>
  <si>
    <t>中关村平谷园(兴谷园)</t>
  </si>
  <si>
    <t>M1工业用地</t>
  </si>
  <si>
    <t>北京兴谷源亚科技发展有限公司</t>
  </si>
  <si>
    <t>北京市昌平区北七家工业园区土地一级开发(一期) 项目CP01-1502-0009、0011地块M1一类工业用地</t>
  </si>
  <si>
    <t>京规自挂(昌)工业[2023]002号</t>
  </si>
  <si>
    <t>2023-05-14</t>
  </si>
  <si>
    <t>2023-04-14</t>
  </si>
  <si>
    <t>北京未来星科低碳科技产业发展有限公司</t>
  </si>
  <si>
    <t>京平公转铁综合物流枢纽产业园土地整理(一期)一级开发项目中场区PG05-0001-H006地块W1物流用地</t>
  </si>
  <si>
    <t>京规自挂(平)工业 [2023]003号</t>
  </si>
  <si>
    <t>京规自挂(平)工业[2023]003号</t>
  </si>
  <si>
    <t>2023-03-23</t>
  </si>
  <si>
    <t>≤1.8</t>
  </si>
  <si>
    <t>2023-02-17</t>
  </si>
  <si>
    <t>旺马车配(北京)供应链管理有限公司</t>
  </si>
  <si>
    <t>旺马车配（北京）供应链管理有限公司</t>
  </si>
  <si>
    <t>2023-03-23 15:00</t>
  </si>
  <si>
    <t>京平公转铁综合物流枢纽产业园土地整理(二期)A地块项目PG05-0003-J002地块W1物流用地国有建设用地</t>
  </si>
  <si>
    <t>京规自挂(平)工业[2023]002号</t>
  </si>
  <si>
    <t>平谷区马坊镇03街区</t>
  </si>
  <si>
    <t>2023-03-14</t>
  </si>
  <si>
    <t>≤2.5</t>
  </si>
  <si>
    <t>2023-02-08</t>
  </si>
  <si>
    <t>北京新平琪荷供应链有限公司</t>
  </si>
  <si>
    <t>2023-03-14 15:00</t>
  </si>
  <si>
    <t>北京市昌平区朱辛庄新区二期土地一级开发项目CP01-0801-0031、0034地块M1一类工业用地</t>
  </si>
  <si>
    <t>朱辛庄</t>
  </si>
  <si>
    <t>京规自挂(昌)工业[2023]001号</t>
  </si>
  <si>
    <t>昌平区史各庄街道</t>
  </si>
  <si>
    <t>2023-02-23</t>
  </si>
  <si>
    <t>2023-01-20</t>
  </si>
  <si>
    <t>北京紫光数字科技有限公司</t>
  </si>
  <si>
    <t>京平公转铁综合物流枢纽产业园土地整理(二期)B地块项目PG05-0003-K002地块W1物流用地国有建设用地</t>
  </si>
  <si>
    <t>京规自挂(平)工业[2023]001号</t>
  </si>
  <si>
    <t>2023-02-22</t>
  </si>
  <si>
    <t>2023-01-19</t>
  </si>
  <si>
    <t>东谷(北京)仓储服务有限公司</t>
  </si>
  <si>
    <t>东谷（北京）仓储服务有限公司</t>
  </si>
  <si>
    <t>2023-02-22 15:00</t>
  </si>
  <si>
    <t>平谷区夏各庄新城2号地土地一级开发项目 PG11-0101-0019地块W1物流用地 国有建设用地使用权出让挂牌文件</t>
  </si>
  <si>
    <t>京规自挂(平)工业[2022]006 号</t>
  </si>
  <si>
    <t>京规自挂(平)工业[2022]006号</t>
  </si>
  <si>
    <t>夏各庄新城2号地</t>
  </si>
  <si>
    <t>2022-12-15</t>
  </si>
  <si>
    <t>1.90</t>
  </si>
  <si>
    <t>2022-11-11</t>
  </si>
  <si>
    <t>北京贝岭供应链管理有限公司</t>
  </si>
  <si>
    <t>2022-12-15 15:00</t>
  </si>
  <si>
    <t>北京市昌平区中关村科技园昌平园东区二期CP00-1201-0001地块M1一类工业用地</t>
  </si>
  <si>
    <t>京规自挂(昌)工业[2022]003号</t>
  </si>
  <si>
    <t>2022-11-03</t>
  </si>
  <si>
    <t>2022-09-30</t>
  </si>
  <si>
    <t>爱美客技术发展股份有限公司</t>
  </si>
  <si>
    <t>客技术</t>
  </si>
  <si>
    <t>2022-11-03 15:00</t>
  </si>
  <si>
    <t>京平公转铁综合物流枢纽产业园土地整理(一期)一级开发项目中场区PG05-0001-H011地块W1类 物流用地</t>
  </si>
  <si>
    <t>滨河</t>
  </si>
  <si>
    <t>京规自挂(平)工业[2022]005号</t>
  </si>
  <si>
    <t>2022-11-01</t>
  </si>
  <si>
    <t>W1类物流用地</t>
  </si>
  <si>
    <t>2022-09-28</t>
  </si>
  <si>
    <t>北京万兴裕腾仓储服务有限责任公司</t>
  </si>
  <si>
    <t>国通信托,西藏信托,中国供销集团,珠海汉萃管理咨询合伙企业（有限合伙）</t>
  </si>
  <si>
    <t>民营企业，民营企业，中央国有企业，民营企业</t>
  </si>
  <si>
    <t>信托，信托，--，--</t>
  </si>
  <si>
    <t>2022-11-01 15:00</t>
  </si>
  <si>
    <t>年期修正系数</t>
    <phoneticPr fontId="135" type="noConversion"/>
  </si>
  <si>
    <t>年期修正</t>
    <phoneticPr fontId="135" type="noConversion"/>
  </si>
  <si>
    <t>容积率修正系数</t>
    <phoneticPr fontId="135" type="noConversion"/>
  </si>
  <si>
    <t>十级</t>
    <phoneticPr fontId="135" type="noConversion"/>
  </si>
  <si>
    <t>八级</t>
    <phoneticPr fontId="135" type="noConversion"/>
  </si>
  <si>
    <t>九级</t>
    <phoneticPr fontId="135" type="noConversion"/>
  </si>
  <si>
    <t>容积率修正</t>
    <phoneticPr fontId="135" type="noConversion"/>
  </si>
  <si>
    <t>七级</t>
    <phoneticPr fontId="135" type="noConversion"/>
  </si>
  <si>
    <t>正常</t>
  </si>
  <si>
    <t>工业</t>
    <phoneticPr fontId="3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</si>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</sst>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53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96" fillId="0" borderId="0" xfId="0" applyFont="1" applyAlignment="1">
      <alignment vertical="center" wrapText="1"/>
    </xf>
    <xf numFmtId="0" fontId="0" fillId="0" borderId="0" xfId="0" applyAlignment="1">
      <alignment vertical="center" wrapText="1"/>
    </xf>
    <xf numFmtId="0" fontId="96" fillId="0" borderId="1" xfId="0" applyFont="1" applyBorder="1">
      <alignment vertical="center"/>
    </xf>
    <xf numFmtId="0" fontId="96" fillId="0" borderId="1" xfId="0" applyFont="1" applyBorder="1" applyAlignment="1">
      <alignment vertical="center" wrapText="1"/>
    </xf>
    <xf numFmtId="14" fontId="0" fillId="0" borderId="1" xfId="0" applyNumberFormat="1" applyBorder="1" applyAlignment="1">
      <alignment vertical="center" wrapText="1"/>
    </xf>
    <xf numFmtId="0" fontId="0" fillId="0" borderId="1" xfId="0" applyBorder="1" applyAlignment="1">
      <alignment vertical="center" wrapText="1"/>
    </xf>
    <xf numFmtId="14" fontId="0" fillId="0" borderId="1" xfId="0" applyNumberFormat="1" applyBorder="1">
      <alignment vertical="center"/>
    </xf>
    <xf numFmtId="0" fontId="0" fillId="0" borderId="1" xfId="0" applyBorder="1">
      <alignment vertical="center"/>
    </xf>
    <xf numFmtId="0" fontId="96" fillId="0" borderId="1" xfId="0" applyFont="1" applyBorder="1" applyAlignment="1">
      <alignment horizontal="center" vertical="center" wrapText="1"/>
    </xf>
    <xf numFmtId="0" fontId="0" fillId="0" borderId="1" xfId="0" applyBorder="1" applyAlignment="1">
      <alignment horizontal="left" vertical="center"/>
    </xf>
    <xf numFmtId="0" fontId="96" fillId="0" borderId="1" xfId="0" applyFont="1" applyBorder="1" applyAlignment="1">
      <alignment horizontal="left" vertical="center" wrapText="1"/>
    </xf>
    <xf numFmtId="0" fontId="0" fillId="0" borderId="1" xfId="0" applyBorder="1" applyAlignment="1">
      <alignment horizontal="left" vertical="center" wrapText="1"/>
    </xf>
    <xf numFmtId="0" fontId="96" fillId="0" borderId="1" xfId="0" applyFont="1" applyBorder="1" applyAlignment="1">
      <alignment horizontal="left" vertical="center" wrapText="1"/>
    </xf>
    <xf numFmtId="49" fontId="273"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183" fontId="78" fillId="0" borderId="1" xfId="0" applyNumberFormat="1" applyFont="1" applyBorder="1" applyAlignment="1" applyProtection="1">
      <alignment horizontal="center" vertical="center" shrinkToFit="1"/>
      <protection locked="0"/>
    </xf>
    <xf numFmtId="0" fontId="96" fillId="5" borderId="0" xfId="0" applyFont="1" applyFill="1">
      <alignment vertical="center"/>
    </xf>
    <xf numFmtId="0" fontId="96" fillId="0" borderId="0" xfId="0" applyFont="1" applyFill="1" applyBorder="1">
      <alignment vertical="center"/>
    </xf>
    <xf numFmtId="0" fontId="0" fillId="5" borderId="0" xfId="0" applyFill="1" applyAlignment="1">
      <alignment vertical="center" wrapText="1"/>
    </xf>
    <xf numFmtId="179" fontId="129" fillId="12" borderId="0" xfId="0" applyNumberFormat="1" applyFont="1" applyFill="1" applyProtection="1">
      <alignment vertical="center"/>
      <protection locked="0"/>
    </xf>
    <xf numFmtId="0" fontId="0" fillId="0" borderId="0" xfId="0" applyFill="1" applyAlignment="1"/>
    <xf numFmtId="0" fontId="96" fillId="5" borderId="1" xfId="0" applyFont="1" applyFill="1" applyBorder="1" applyAlignment="1">
      <alignment vertical="center" wrapText="1"/>
    </xf>
    <xf numFmtId="0" fontId="96" fillId="0" borderId="1" xfId="0" applyFont="1" applyFill="1" applyBorder="1">
      <alignment vertical="center"/>
    </xf>
    <xf numFmtId="0" fontId="0" fillId="0" borderId="5" xfId="0" applyBorder="1" applyAlignment="1">
      <alignment horizontal="left" vertical="center" wrapText="1"/>
    </xf>
    <xf numFmtId="0" fontId="0" fillId="0" borderId="5" xfId="0" applyBorder="1" applyAlignment="1">
      <alignment horizontal="left" vertical="center" wrapText="1"/>
    </xf>
    <xf numFmtId="0" fontId="78" fillId="12" borderId="0" xfId="0" applyFont="1" applyFill="1" applyProtection="1">
      <alignment vertical="center"/>
      <protection locked="0"/>
    </xf>
    <xf numFmtId="0" fontId="0" fillId="0" borderId="5" xfId="0" applyBorder="1" applyAlignment="1">
      <alignment horizontal="left" vertical="center"/>
    </xf>
    <xf numFmtId="0" fontId="0" fillId="5" borderId="0" xfId="0" applyFill="1" applyAlignment="1"/>
    <xf numFmtId="0" fontId="95" fillId="0" borderId="9" xfId="0" applyFont="1" applyBorder="1" applyAlignment="1" applyProtection="1">
      <alignment horizontal="center" vertical="center" wrapText="1"/>
      <protection locked="0"/>
    </xf>
    <xf numFmtId="0" fontId="0" fillId="5" borderId="1" xfId="0" applyFill="1" applyBorder="1">
      <alignment vertical="center"/>
    </xf>
    <xf numFmtId="0" fontId="0" fillId="0" borderId="0" xfId="0" applyFont="1" applyAlignment="1"/>
    <xf numFmtId="0" fontId="48" fillId="12" borderId="0" xfId="10" applyFont="1" applyFill="1" applyProtection="1">
      <alignment vertical="center"/>
      <protection locked="0"/>
    </xf>
    <xf numFmtId="0" fontId="78" fillId="12" borderId="0" xfId="10" applyFont="1" applyFill="1" applyProtection="1">
      <alignment vertical="center"/>
      <protection locked="0"/>
    </xf>
    <xf numFmtId="0" fontId="101" fillId="6" borderId="24" xfId="0" applyFont="1" applyFill="1" applyBorder="1" applyAlignment="1">
      <alignment horizontal="center" vertical="center" wrapText="1"/>
    </xf>
  </cellXfs>
  <cellStyles count="21">
    <cellStyle name="百分比" xfId="17" builtinId="5"/>
    <cellStyle name="百分比 2" xfId="14" xr:uid="{00000000-0005-0000-0000-000001000000}"/>
    <cellStyle name="百分比 3" xfId="20" xr:uid="{CA29084F-5761-4DFA-84E1-E8B971D2A139}"/>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A3B412EF-F25A-41C2-91A6-579850D49669}"/>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266700</xdr:colOff>
      <xdr:row>30</xdr:row>
      <xdr:rowOff>85736</xdr:rowOff>
    </xdr:from>
    <xdr:to>
      <xdr:col>36</xdr:col>
      <xdr:colOff>289475</xdr:colOff>
      <xdr:row>57</xdr:row>
      <xdr:rowOff>21027</xdr:rowOff>
    </xdr:to>
    <xdr:pic>
      <xdr:nvPicPr>
        <xdr:cNvPr id="5" name="图片 4">
          <a:extLst>
            <a:ext uri="{FF2B5EF4-FFF2-40B4-BE49-F238E27FC236}">
              <a16:creationId xmlns:a16="http://schemas.microsoft.com/office/drawing/2014/main" id="{06ECE5B7-EDA0-9ADF-1ECB-E31B586F14FD}"/>
            </a:ext>
          </a:extLst>
        </xdr:cNvPr>
        <xdr:cNvPicPr>
          <a:picLocks noChangeAspect="1"/>
        </xdr:cNvPicPr>
      </xdr:nvPicPr>
      <xdr:blipFill>
        <a:blip xmlns:r="http://schemas.openxmlformats.org/officeDocument/2006/relationships" r:embed="rId1"/>
        <a:stretch>
          <a:fillRect/>
        </a:stretch>
      </xdr:blipFill>
      <xdr:spPr>
        <a:xfrm>
          <a:off x="12896850" y="7553336"/>
          <a:ext cx="10385975" cy="4735891"/>
        </a:xfrm>
        <a:prstGeom prst="rect">
          <a:avLst/>
        </a:prstGeom>
      </xdr:spPr>
    </xdr:pic>
    <xdr:clientData/>
  </xdr:twoCellAnchor>
  <xdr:twoCellAnchor editAs="oneCell">
    <xdr:from>
      <xdr:col>19</xdr:col>
      <xdr:colOff>107950</xdr:colOff>
      <xdr:row>0</xdr:row>
      <xdr:rowOff>0</xdr:rowOff>
    </xdr:from>
    <xdr:to>
      <xdr:col>27</xdr:col>
      <xdr:colOff>77707</xdr:colOff>
      <xdr:row>14</xdr:row>
      <xdr:rowOff>160721</xdr:rowOff>
    </xdr:to>
    <xdr:pic>
      <xdr:nvPicPr>
        <xdr:cNvPr id="6" name="图片 5">
          <a:extLst>
            <a:ext uri="{FF2B5EF4-FFF2-40B4-BE49-F238E27FC236}">
              <a16:creationId xmlns:a16="http://schemas.microsoft.com/office/drawing/2014/main" id="{CD6190FA-AF61-1C24-5FEE-8FF8189A0E0B}"/>
            </a:ext>
          </a:extLst>
        </xdr:cNvPr>
        <xdr:cNvPicPr>
          <a:picLocks noChangeAspect="1"/>
        </xdr:cNvPicPr>
      </xdr:nvPicPr>
      <xdr:blipFill>
        <a:blip xmlns:r="http://schemas.openxmlformats.org/officeDocument/2006/relationships" r:embed="rId2"/>
        <a:stretch>
          <a:fillRect/>
        </a:stretch>
      </xdr:blipFill>
      <xdr:spPr>
        <a:xfrm>
          <a:off x="12738100" y="0"/>
          <a:ext cx="4846557" cy="3538921"/>
        </a:xfrm>
        <a:prstGeom prst="rect">
          <a:avLst/>
        </a:prstGeom>
      </xdr:spPr>
    </xdr:pic>
    <xdr:clientData/>
  </xdr:twoCellAnchor>
  <xdr:twoCellAnchor editAs="oneCell">
    <xdr:from>
      <xdr:col>19</xdr:col>
      <xdr:colOff>209550</xdr:colOff>
      <xdr:row>14</xdr:row>
      <xdr:rowOff>125680</xdr:rowOff>
    </xdr:from>
    <xdr:to>
      <xdr:col>27</xdr:col>
      <xdr:colOff>223911</xdr:colOff>
      <xdr:row>30</xdr:row>
      <xdr:rowOff>65427</xdr:rowOff>
    </xdr:to>
    <xdr:pic>
      <xdr:nvPicPr>
        <xdr:cNvPr id="7" name="图片 6">
          <a:extLst>
            <a:ext uri="{FF2B5EF4-FFF2-40B4-BE49-F238E27FC236}">
              <a16:creationId xmlns:a16="http://schemas.microsoft.com/office/drawing/2014/main" id="{C1AF446E-E5E6-5962-A5BD-27F085F8F11C}"/>
            </a:ext>
          </a:extLst>
        </xdr:cNvPr>
        <xdr:cNvPicPr>
          <a:picLocks noChangeAspect="1"/>
        </xdr:cNvPicPr>
      </xdr:nvPicPr>
      <xdr:blipFill>
        <a:blip xmlns:r="http://schemas.openxmlformats.org/officeDocument/2006/relationships" r:embed="rId3"/>
        <a:stretch>
          <a:fillRect/>
        </a:stretch>
      </xdr:blipFill>
      <xdr:spPr>
        <a:xfrm>
          <a:off x="12839700" y="3503880"/>
          <a:ext cx="4891161" cy="4029147"/>
        </a:xfrm>
        <a:prstGeom prst="rect">
          <a:avLst/>
        </a:prstGeom>
      </xdr:spPr>
    </xdr:pic>
    <xdr:clientData/>
  </xdr:twoCellAnchor>
  <xdr:twoCellAnchor editAs="oneCell">
    <xdr:from>
      <xdr:col>27</xdr:col>
      <xdr:colOff>167082</xdr:colOff>
      <xdr:row>1</xdr:row>
      <xdr:rowOff>177799</xdr:rowOff>
    </xdr:from>
    <xdr:to>
      <xdr:col>35</xdr:col>
      <xdr:colOff>516193</xdr:colOff>
      <xdr:row>16</xdr:row>
      <xdr:rowOff>348254</xdr:rowOff>
    </xdr:to>
    <xdr:pic>
      <xdr:nvPicPr>
        <xdr:cNvPr id="8" name="图片 7">
          <a:extLst>
            <a:ext uri="{FF2B5EF4-FFF2-40B4-BE49-F238E27FC236}">
              <a16:creationId xmlns:a16="http://schemas.microsoft.com/office/drawing/2014/main" id="{838D32AA-27A5-FBCF-B3B9-2E11AB00F20A}"/>
            </a:ext>
          </a:extLst>
        </xdr:cNvPr>
        <xdr:cNvPicPr>
          <a:picLocks noChangeAspect="1"/>
        </xdr:cNvPicPr>
      </xdr:nvPicPr>
      <xdr:blipFill>
        <a:blip xmlns:r="http://schemas.openxmlformats.org/officeDocument/2006/relationships" r:embed="rId4"/>
        <a:stretch>
          <a:fillRect/>
        </a:stretch>
      </xdr:blipFill>
      <xdr:spPr>
        <a:xfrm>
          <a:off x="18321732" y="355599"/>
          <a:ext cx="5225911" cy="39042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179657</xdr:colOff>
      <xdr:row>45</xdr:row>
      <xdr:rowOff>141857</xdr:rowOff>
    </xdr:to>
    <xdr:pic>
      <xdr:nvPicPr>
        <xdr:cNvPr id="2" name="图片 1">
          <a:extLst>
            <a:ext uri="{FF2B5EF4-FFF2-40B4-BE49-F238E27FC236}">
              <a16:creationId xmlns:a16="http://schemas.microsoft.com/office/drawing/2014/main" id="{7849BE4D-1203-75A9-711F-35CC4589D7AA}"/>
            </a:ext>
          </a:extLst>
        </xdr:cNvPr>
        <xdr:cNvPicPr>
          <a:picLocks noChangeAspect="1"/>
        </xdr:cNvPicPr>
      </xdr:nvPicPr>
      <xdr:blipFill>
        <a:blip xmlns:r="http://schemas.openxmlformats.org/officeDocument/2006/relationships" r:embed="rId1"/>
        <a:stretch>
          <a:fillRect/>
        </a:stretch>
      </xdr:blipFill>
      <xdr:spPr>
        <a:xfrm>
          <a:off x="0" y="0"/>
          <a:ext cx="10542857" cy="8142857"/>
        </a:xfrm>
        <a:prstGeom prst="rect">
          <a:avLst/>
        </a:prstGeom>
      </xdr:spPr>
    </xdr:pic>
    <xdr:clientData/>
  </xdr:twoCellAnchor>
  <xdr:twoCellAnchor editAs="oneCell">
    <xdr:from>
      <xdr:col>0</xdr:col>
      <xdr:colOff>0</xdr:colOff>
      <xdr:row>46</xdr:row>
      <xdr:rowOff>0</xdr:rowOff>
    </xdr:from>
    <xdr:to>
      <xdr:col>15</xdr:col>
      <xdr:colOff>513143</xdr:colOff>
      <xdr:row>92</xdr:row>
      <xdr:rowOff>21200</xdr:rowOff>
    </xdr:to>
    <xdr:pic>
      <xdr:nvPicPr>
        <xdr:cNvPr id="3" name="图片 2">
          <a:extLst>
            <a:ext uri="{FF2B5EF4-FFF2-40B4-BE49-F238E27FC236}">
              <a16:creationId xmlns:a16="http://schemas.microsoft.com/office/drawing/2014/main" id="{9C590036-86C4-7C5A-24EE-28BE6D55B6B4}"/>
            </a:ext>
          </a:extLst>
        </xdr:cNvPr>
        <xdr:cNvPicPr>
          <a:picLocks noChangeAspect="1"/>
        </xdr:cNvPicPr>
      </xdr:nvPicPr>
      <xdr:blipFill>
        <a:blip xmlns:r="http://schemas.openxmlformats.org/officeDocument/2006/relationships" r:embed="rId2"/>
        <a:stretch>
          <a:fillRect/>
        </a:stretch>
      </xdr:blipFill>
      <xdr:spPr>
        <a:xfrm>
          <a:off x="0" y="8178800"/>
          <a:ext cx="9657143" cy="8200000"/>
        </a:xfrm>
        <a:prstGeom prst="rect">
          <a:avLst/>
        </a:prstGeom>
      </xdr:spPr>
    </xdr:pic>
    <xdr:clientData/>
  </xdr:twoCellAnchor>
  <xdr:twoCellAnchor editAs="oneCell">
    <xdr:from>
      <xdr:col>0</xdr:col>
      <xdr:colOff>0</xdr:colOff>
      <xdr:row>93</xdr:row>
      <xdr:rowOff>0</xdr:rowOff>
    </xdr:from>
    <xdr:to>
      <xdr:col>17</xdr:col>
      <xdr:colOff>122514</xdr:colOff>
      <xdr:row>103</xdr:row>
      <xdr:rowOff>107714</xdr:rowOff>
    </xdr:to>
    <xdr:pic>
      <xdr:nvPicPr>
        <xdr:cNvPr id="4" name="图片 3">
          <a:extLst>
            <a:ext uri="{FF2B5EF4-FFF2-40B4-BE49-F238E27FC236}">
              <a16:creationId xmlns:a16="http://schemas.microsoft.com/office/drawing/2014/main" id="{6638CDD4-45C1-1F17-3636-192D143ABD96}"/>
            </a:ext>
          </a:extLst>
        </xdr:cNvPr>
        <xdr:cNvPicPr>
          <a:picLocks noChangeAspect="1"/>
        </xdr:cNvPicPr>
      </xdr:nvPicPr>
      <xdr:blipFill>
        <a:blip xmlns:r="http://schemas.openxmlformats.org/officeDocument/2006/relationships" r:embed="rId3"/>
        <a:stretch>
          <a:fillRect/>
        </a:stretch>
      </xdr:blipFill>
      <xdr:spPr>
        <a:xfrm>
          <a:off x="0" y="16535400"/>
          <a:ext cx="10485714" cy="18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北京市平谷区平谷大街甲16号房地产抵押价值预评估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受贵公司委托，我公司对北京市平谷区平谷大街甲16号房地产抵押价值进行了预评估。</v>
      </c>
    </row>
    <row r="7" spans="1:2">
      <c r="A7" s="1119" t="s">
        <v>566</v>
      </c>
      <c r="B7" s="1120" t="str">
        <f>'预评函-1'!A7</f>
        <v>估价对象为北京市平谷区平谷大街甲16号房地产，为北京市老才臣食品有限公司所有。根据《国有土地使用证》[]，估价对象（分摊）出让国有建设用地使用权面积为27183.86平方米，建筑面积为16450.85平方米。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平谷区平谷大街甲16号房地产,属北京市老才臣食品有限公司开发建设的工业项目，该项目尚在开发建设中。根据《国有土地使用证》[]，估价对象（分摊）出让国有建设用地使用权面积为27183.86平方米，规划建筑面积为16450.85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平谷区平谷大街甲16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2025年10月17日</v>
      </c>
    </row>
    <row r="13" spans="1:2">
      <c r="A13" s="1119" t="s">
        <v>529</v>
      </c>
      <c r="B13" s="1120" t="str">
        <f>'预评函-1'!A18</f>
        <v>本次估价的“房地产价值”是指在正常市场情况下，在价值时点2025年10月17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本次评估采用的主估价方法为成本法和收益法。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7762</v>
      </c>
    </row>
    <row r="21" spans="1:2">
      <c r="A21" s="1119" t="s">
        <v>537</v>
      </c>
      <c r="B21" s="1120">
        <f ca="1">'预评函-2'!D7</f>
        <v>4718</v>
      </c>
    </row>
    <row r="22" spans="1:2">
      <c r="A22" s="1119" t="s">
        <v>538</v>
      </c>
      <c r="B22" s="1120" t="str">
        <f ca="1">'预评函-2'!D6</f>
        <v>柒仟柒佰陆拾贰万元整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7762</v>
      </c>
    </row>
    <row r="31" spans="1:2">
      <c r="A31" s="1119" t="s">
        <v>576</v>
      </c>
      <c r="B31" s="1120">
        <f ca="1">'预评函-2'!D15</f>
        <v>4718</v>
      </c>
    </row>
    <row r="32" spans="1:2">
      <c r="A32" s="1119" t="s">
        <v>543</v>
      </c>
      <c r="B32" s="1120" t="str">
        <f ca="1">'预评函-2'!D14</f>
        <v>柒仟柒佰陆拾贰万元整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北京市平谷区平谷大街甲16号房地产</v>
      </c>
    </row>
    <row r="42" spans="1:2" ht="30">
      <c r="A42" s="1119" t="s">
        <v>590</v>
      </c>
      <c r="B42" s="1120" t="str">
        <f>'预评函-3'!B2</f>
        <v>建筑面积</v>
      </c>
    </row>
    <row r="43" spans="1:2">
      <c r="A43" s="1119" t="s">
        <v>591</v>
      </c>
      <c r="B43" s="1120">
        <f>'预评函-3'!B4</f>
        <v>16450.849999999999</v>
      </c>
    </row>
    <row r="44" spans="1:2" ht="30">
      <c r="A44" s="1119" t="s">
        <v>575</v>
      </c>
      <c r="B44" s="1120" t="str">
        <f>'预评函-3'!C2</f>
        <v>(分摊)土地面积</v>
      </c>
    </row>
    <row r="45" spans="1:2">
      <c r="A45" s="1119" t="s">
        <v>547</v>
      </c>
      <c r="B45" s="1120">
        <f>'预评函-3'!C4</f>
        <v>27183.86</v>
      </c>
    </row>
    <row r="46" spans="1:2">
      <c r="A46" s="1119" t="s">
        <v>573</v>
      </c>
      <c r="B46" s="1120" t="str">
        <f>'预评函-3'!D2</f>
        <v>出让国有建设用地使用权价值</v>
      </c>
    </row>
    <row r="47" spans="1:2">
      <c r="A47" s="1119" t="s">
        <v>548</v>
      </c>
      <c r="B47" s="1120">
        <f ca="1">'预评函-3'!D4</f>
        <v>5115</v>
      </c>
    </row>
    <row r="48" spans="1:2">
      <c r="A48" s="1119" t="s">
        <v>549</v>
      </c>
      <c r="B48" s="1120">
        <f ca="1">'预评函-3'!E4</f>
        <v>3109</v>
      </c>
    </row>
    <row r="49" spans="1:2">
      <c r="A49" s="1119" t="s">
        <v>550</v>
      </c>
      <c r="B49" s="1120" t="str">
        <f ca="1">'预评函-3'!D5</f>
        <v>伍仟壹佰壹拾伍万元整</v>
      </c>
    </row>
    <row r="50" spans="1:2">
      <c r="A50" s="1119" t="s">
        <v>574</v>
      </c>
      <c r="B50" s="1120" t="str">
        <f>'预评函-3'!F2</f>
        <v>在建建筑物价值</v>
      </c>
    </row>
    <row r="51" spans="1:2">
      <c r="A51" s="1119" t="s">
        <v>551</v>
      </c>
      <c r="B51" s="1120">
        <f ca="1">'预评函-3'!F4</f>
        <v>2647</v>
      </c>
    </row>
    <row r="52" spans="1:2">
      <c r="A52" s="1119" t="s">
        <v>552</v>
      </c>
      <c r="B52" s="1120">
        <f ca="1">'预评函-3'!G4</f>
        <v>1609</v>
      </c>
    </row>
    <row r="53" spans="1:2">
      <c r="A53" s="1119" t="s">
        <v>580</v>
      </c>
      <c r="B53" s="1120" t="str">
        <f ca="1">'预评函-3'!F5</f>
        <v>贰仟陆佰肆拾柒万元整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平谷大街甲16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1447" t="s">
        <v>385</v>
      </c>
      <c r="C54" s="1445" t="s">
        <v>583</v>
      </c>
    </row>
    <row r="55" spans="1:4">
      <c r="A55" s="3208"/>
      <c r="B55" s="1447" t="s">
        <v>386</v>
      </c>
      <c r="C55" s="1445" t="s">
        <v>584</v>
      </c>
    </row>
    <row r="56" spans="1:4">
      <c r="A56" s="3208"/>
      <c r="B56" s="1447" t="s">
        <v>387</v>
      </c>
      <c r="C56" s="1445" t="s">
        <v>588</v>
      </c>
    </row>
    <row r="57" spans="1:4">
      <c r="A57" s="320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B13" sqref="B13"/>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9" t="s">
        <v>2580</v>
      </c>
      <c r="J2" s="3209"/>
      <c r="K2" s="3209"/>
      <c r="L2" s="3209"/>
      <c r="M2" s="3209"/>
      <c r="N2" s="3209"/>
      <c r="O2" s="3209"/>
      <c r="P2" s="3209"/>
      <c r="Q2" s="3209"/>
      <c r="R2" s="3209"/>
    </row>
    <row r="3" spans="1:18">
      <c r="A3" s="2761" t="s">
        <v>2501</v>
      </c>
      <c r="B3" s="2762">
        <f>项目基本情况!D3</f>
        <v>45947</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1.17</v>
      </c>
      <c r="D5" s="2766">
        <f>IF(ISERROR(ROUND(POWER(1+E5,A5-C5)*(POWER(1+E5,C5)-1)/(POWER(1+E5,A5)-1),3)),0,ROUND(POWER(1+E5,A5-C5)*(POWER(1+E5,C5)-1)/(POWER(1+E5,A5)-1),4))</f>
        <v>5.67E-2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11.18</v>
      </c>
      <c r="D6" s="2766">
        <f>IF(ISERROR(ROUND(POWER(1+E6,A6-C6)*(POWER(1+E6,C6)-1)/(POWER(1+E6,A6)-1),3)),0,ROUND(POWER(1+E6,A6-C6)*(POWER(1+E6,C6)-1)/(POWER(1+E6,A6)-1),4))</f>
        <v>0.41310000000000002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31.19</v>
      </c>
      <c r="D7" s="2766">
        <f>IF(ISERROR(ROUND(POWER(1+E7,A7-C7)*(POWER(1+E7,C7)-1)/(POWER(1+E7,A7)-1),3)),0,ROUND(POWER(1+E7,A7-C7)*(POWER(1+E7,C7)-1)/(POWER(1+E7,A7)-1),4))</f>
        <v>0.75419999999999998</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50</v>
      </c>
      <c r="C11" s="2764" t="s">
        <v>2510</v>
      </c>
      <c r="D11" s="2769">
        <v>4.4999999999999998E-2</v>
      </c>
      <c r="E11" s="2764" t="s">
        <v>2511</v>
      </c>
      <c r="F11" s="2770">
        <f>ROUND(1-(1/(POWER(1+D11,B11))),4)</f>
        <v>0.88929999999999998</v>
      </c>
    </row>
    <row r="12" spans="1:18">
      <c r="A12" s="2761" t="s">
        <v>2512</v>
      </c>
      <c r="B12" s="2769">
        <v>20</v>
      </c>
      <c r="C12" s="2764" t="s">
        <v>2513</v>
      </c>
      <c r="D12" s="2769">
        <v>4.4999999999999998E-2</v>
      </c>
      <c r="E12" s="2764" t="s">
        <v>2514</v>
      </c>
      <c r="F12" s="2770">
        <f>ROUND(1-(1/(POWER(1+D12,B12))),4)</f>
        <v>0.58540000000000003</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3291.35</v>
      </c>
      <c r="C15" s="2764">
        <f>ROUND(F12/F11,4)</f>
        <v>0.6583</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7307.03</v>
      </c>
      <c r="C18" s="2772">
        <f>ROUND(F11/F12,4)</f>
        <v>1.5190999999999999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topLeftCell="A4" zoomScaleNormal="100" zoomScaleSheetLayoutView="100" workbookViewId="0">
      <selection activeCell="F10" sqref="F10"/>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7" t="str">
        <f>IF(B10="北京市","北京市",C10)&amp;F10&amp;IF(结果表!G1="在建","出让国有建设用地使用权及在建建筑物",IF(结果表!G1="土地","出让国有建设用地使用权",))&amp;B9&amp;"预评估"</f>
        <v>北京市平谷区平谷大街甲16号房地产抵押价值预评估</v>
      </c>
      <c r="C1" s="3218"/>
      <c r="D1" s="3218"/>
      <c r="E1" s="3218"/>
      <c r="F1" s="3218"/>
      <c r="G1" s="3218"/>
      <c r="H1" s="3218"/>
      <c r="I1" s="3219"/>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北京市平谷区平谷大街甲16号房地产抵押价值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北京市平谷区平谷大街甲16号房地产</v>
      </c>
      <c r="T2" s="1618"/>
      <c r="U2" s="1618"/>
      <c r="V2" s="1618"/>
      <c r="W2" s="1618"/>
      <c r="X2" s="1618"/>
      <c r="Y2" s="1618"/>
      <c r="Z2" s="1618"/>
      <c r="AA2" s="1618"/>
      <c r="AB2" s="1618"/>
    </row>
    <row r="3" spans="1:30" ht="13">
      <c r="A3" s="294" t="s">
        <v>2170</v>
      </c>
      <c r="B3" s="2185"/>
      <c r="C3" s="2186" t="s">
        <v>2171</v>
      </c>
      <c r="D3" s="2185">
        <v>45947</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3417</v>
      </c>
      <c r="C8" s="2201"/>
      <c r="D8" s="3220" t="s">
        <v>2177</v>
      </c>
      <c r="E8" s="2202" t="s">
        <v>3418</v>
      </c>
      <c r="F8" s="2203"/>
      <c r="G8" s="2441"/>
      <c r="H8" s="2441"/>
      <c r="I8" s="2441"/>
      <c r="J8" s="2244"/>
      <c r="K8" s="2399"/>
      <c r="L8" s="2398"/>
      <c r="M8" s="2398"/>
      <c r="N8" s="2244"/>
      <c r="O8" s="1670"/>
      <c r="P8" s="2244"/>
      <c r="Q8" s="2244"/>
      <c r="R8" s="2244"/>
    </row>
    <row r="9" spans="1:30" ht="13.5" thickBot="1">
      <c r="A9" s="2204" t="s">
        <v>2178</v>
      </c>
      <c r="B9" s="2205" t="s">
        <v>3418</v>
      </c>
      <c r="C9" s="2206"/>
      <c r="D9" s="3221"/>
      <c r="E9" s="2205"/>
      <c r="F9" s="2207"/>
      <c r="G9" s="2442"/>
      <c r="H9" s="2442"/>
      <c r="I9" s="2442"/>
      <c r="J9" s="2244"/>
      <c r="K9" s="2401"/>
      <c r="L9" s="2398"/>
      <c r="M9" s="2398"/>
      <c r="N9" s="2244"/>
      <c r="O9" s="1670"/>
      <c r="P9" s="2244"/>
      <c r="Q9" s="2244"/>
      <c r="R9" s="2244"/>
    </row>
    <row r="10" spans="1:30" ht="13.5" thickTop="1">
      <c r="A10" s="2208" t="s">
        <v>2179</v>
      </c>
      <c r="B10" s="2209" t="s">
        <v>3419</v>
      </c>
      <c r="C10" s="2210"/>
      <c r="D10" s="2193"/>
      <c r="E10" s="2211" t="s">
        <v>2180</v>
      </c>
      <c r="F10" s="3518" t="s">
        <v>3486</v>
      </c>
      <c r="G10" s="2443"/>
      <c r="H10" s="2444"/>
      <c r="I10" s="2445"/>
      <c r="J10" s="2244"/>
      <c r="K10" s="2401"/>
      <c r="L10" s="2398"/>
      <c r="M10" s="2398"/>
      <c r="N10" s="2244"/>
      <c r="O10" s="1670"/>
      <c r="P10" s="2244"/>
      <c r="Q10" s="2244"/>
      <c r="R10" s="2244"/>
    </row>
    <row r="11" spans="1:30" ht="39">
      <c r="A11" s="2212" t="s">
        <v>2181</v>
      </c>
      <c r="B11" s="2213" t="s">
        <v>3420</v>
      </c>
      <c r="C11" s="3519" t="s">
        <v>3487</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c r="E13" s="803"/>
      <c r="F13" s="803"/>
      <c r="G13" s="803"/>
      <c r="H13" s="803">
        <f>信息!G4</f>
        <v>55753</v>
      </c>
      <c r="I13" s="3520" t="s">
        <v>3488</v>
      </c>
      <c r="J13" s="2801"/>
      <c r="K13" s="2398"/>
      <c r="L13" s="2398"/>
      <c r="M13" s="2244"/>
      <c r="N13" s="1670"/>
      <c r="O13" s="2244"/>
      <c r="P13" s="2244"/>
      <c r="Q13" s="2244"/>
      <c r="AD13" s="1618"/>
    </row>
    <row r="14" spans="1:30" ht="13">
      <c r="A14" s="1018"/>
      <c r="B14" s="2217" t="s">
        <v>2191</v>
      </c>
      <c r="C14" s="2218"/>
      <c r="D14" s="2218"/>
      <c r="E14" s="2218"/>
      <c r="F14" s="2218"/>
      <c r="G14" s="2218"/>
      <c r="H14" s="2218">
        <v>50</v>
      </c>
      <c r="I14" s="2218"/>
      <c r="J14" s="2802"/>
      <c r="K14" s="2398"/>
      <c r="L14" s="2398"/>
      <c r="M14" s="2244"/>
      <c r="N14" s="1670"/>
      <c r="O14" s="2244"/>
      <c r="P14" s="2244"/>
      <c r="Q14" s="2244"/>
      <c r="AD14" s="1618"/>
    </row>
    <row r="15" spans="1:30" ht="13">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26.86</v>
      </c>
      <c r="I15" s="2220" t="e">
        <f>IF(A13="出让",IF(I13="","",ROUNDDOWN(MIN((I13-$D$3)/365,I14),2)),I14)</f>
        <v>#VALUE!</v>
      </c>
      <c r="J15" s="2803"/>
      <c r="K15" s="1670"/>
      <c r="L15" s="1670"/>
      <c r="M15" s="2244"/>
      <c r="N15" s="1670"/>
      <c r="O15" s="2244"/>
      <c r="P15" s="2244"/>
      <c r="Q15" s="2244"/>
      <c r="AD15" s="1618"/>
    </row>
    <row r="16" spans="1:30" ht="13">
      <c r="A16" s="2211" t="s">
        <v>2193</v>
      </c>
      <c r="B16" s="3227"/>
      <c r="C16" s="3228"/>
      <c r="D16" s="3229"/>
      <c r="E16" s="2221" t="s">
        <v>2194</v>
      </c>
      <c r="F16" s="3230"/>
      <c r="G16" s="3231"/>
      <c r="H16" s="3231"/>
      <c r="I16" s="3232"/>
      <c r="J16" s="2244"/>
      <c r="K16" s="2402"/>
      <c r="L16" s="1670"/>
      <c r="M16" s="1670"/>
      <c r="N16" s="2244"/>
      <c r="O16" s="1670"/>
      <c r="P16" s="2244"/>
      <c r="Q16" s="2244"/>
      <c r="R16" s="2244"/>
    </row>
    <row r="17" spans="1:28" ht="13">
      <c r="A17" s="305" t="s">
        <v>2195</v>
      </c>
      <c r="B17" s="294" t="s">
        <v>2196</v>
      </c>
      <c r="C17" s="8">
        <f>'数据-汇总表'!E3</f>
        <v>16450.849999999999</v>
      </c>
      <c r="D17" s="1256" t="s">
        <v>2197</v>
      </c>
      <c r="E17" s="3233" t="s">
        <v>2198</v>
      </c>
      <c r="F17" s="3234"/>
      <c r="G17" s="3234"/>
      <c r="H17" s="3234"/>
      <c r="I17" s="3235"/>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27183.86</v>
      </c>
      <c r="D18" s="1029" t="s">
        <v>2201</v>
      </c>
      <c r="E18" s="3236" t="s">
        <v>2202</v>
      </c>
      <c r="F18" s="3237"/>
      <c r="G18" s="3237"/>
      <c r="H18" s="3237"/>
      <c r="I18" s="3238"/>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3485</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23" t="s">
        <v>2206</v>
      </c>
      <c r="C20" s="3224"/>
      <c r="D20" s="3225" t="s">
        <v>2207</v>
      </c>
      <c r="E20" s="3226"/>
      <c r="F20" s="2429" t="s">
        <v>1056</v>
      </c>
      <c r="G20" s="2441"/>
      <c r="H20" s="2441"/>
      <c r="I20" s="2441"/>
      <c r="J20" s="2244"/>
      <c r="K20" s="322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2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2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11" t="s">
        <v>2214</v>
      </c>
      <c r="B27" s="312" t="s">
        <v>2215</v>
      </c>
      <c r="C27" s="2224" t="s">
        <v>3489</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11"/>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11"/>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12"/>
      <c r="B30" s="294" t="s">
        <v>2218</v>
      </c>
      <c r="C30" s="3213"/>
      <c r="D30" s="3214"/>
      <c r="E30" s="2441"/>
      <c r="F30" s="2441"/>
      <c r="G30" s="2441"/>
      <c r="H30" s="2441"/>
      <c r="I30" s="2441"/>
      <c r="J30" s="2244"/>
      <c r="K30" s="2401"/>
      <c r="L30" s="2398"/>
      <c r="M30" s="2398"/>
      <c r="N30" s="2244"/>
      <c r="O30" s="1670"/>
      <c r="P30" s="2244"/>
      <c r="Q30" s="2244"/>
      <c r="R30" s="2244"/>
      <c r="S30" s="2244"/>
      <c r="T30" s="2244"/>
      <c r="U30" s="2244"/>
      <c r="V30" s="2244"/>
    </row>
    <row r="31" spans="1:28">
      <c r="A31" s="3215" t="s">
        <v>2219</v>
      </c>
      <c r="B31" s="2230" t="s">
        <v>3490</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6"/>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6"/>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0" t="s">
        <v>2228</v>
      </c>
      <c r="T34" s="315" t="str">
        <f>NUMBERSTRING(7-K34,1)&amp;"通"</f>
        <v>七通</v>
      </c>
      <c r="U34" s="2244"/>
      <c r="V34" s="2244"/>
    </row>
    <row r="35" spans="1:30">
      <c r="A35" s="2235"/>
      <c r="B35" s="3210" t="s">
        <v>2229</v>
      </c>
      <c r="C35" s="3210"/>
      <c r="D35" s="3210"/>
      <c r="E35" s="321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0"/>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c r="C37" s="2236"/>
      <c r="D37" s="2236"/>
      <c r="E37" s="2236" t="s">
        <v>306</v>
      </c>
      <c r="F37" s="2236"/>
      <c r="G37" s="2441"/>
      <c r="H37" s="2441"/>
      <c r="I37" s="2441"/>
      <c r="J37" s="2244"/>
      <c r="K37" s="2401"/>
      <c r="L37" s="2398"/>
      <c r="M37" s="2398"/>
      <c r="N37" s="2244"/>
      <c r="O37" s="1670"/>
      <c r="P37" s="2244"/>
      <c r="Q37" s="2244"/>
      <c r="R37" s="2244"/>
      <c r="S37" s="2244"/>
      <c r="T37" s="2244"/>
      <c r="U37" s="2244"/>
      <c r="V37" s="2244"/>
    </row>
    <row r="38" spans="1:30" ht="25.5" thickBot="1">
      <c r="A38" s="2415" t="s">
        <v>2231</v>
      </c>
      <c r="B38" s="2237"/>
      <c r="C38" s="2237"/>
      <c r="D38" s="2237"/>
      <c r="E38" s="2237" t="s">
        <v>3475</v>
      </c>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f>信息!H7</f>
        <v>27183.86</v>
      </c>
      <c r="B3" s="11">
        <f>IF(C3="否",G5-AT5,G5)</f>
        <v>16450.849999999999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16450.849999999999</v>
      </c>
      <c r="H5" s="13">
        <f t="shared" ref="H5:AT5" si="0">SUM(H13:H656)</f>
        <v>16450.849999999999</v>
      </c>
      <c r="I5" s="13">
        <f t="shared" si="0"/>
        <v>16450.849999999999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16450.849999999999</v>
      </c>
      <c r="BA5" s="15">
        <f t="shared" si="1"/>
        <v>16450.849999999999</v>
      </c>
      <c r="BB5" s="15">
        <f t="shared" si="1"/>
        <v>16450.849999999999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27183.86</v>
      </c>
      <c r="F6" s="13" t="s">
        <v>0</v>
      </c>
      <c r="G6" s="13" t="s">
        <v>1</v>
      </c>
      <c r="H6" s="17">
        <f>SUMIF(I$12:AB$12,"总值",I6:AB6)</f>
        <v>27183.86</v>
      </c>
      <c r="I6" s="13">
        <f t="shared" ref="I6:AB6" si="2">ROUND($A$3*I5/$B$3,2)</f>
        <v>27183.86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27183.86</v>
      </c>
      <c r="AZ6" s="13" t="s">
        <v>2</v>
      </c>
      <c r="BA6" s="13">
        <f>ROUND($AY$6*BA5/$AZ$5,2)</f>
        <v>27183.86</v>
      </c>
      <c r="BB6" s="13">
        <f>ROUND($AY$6*BB5/$AZ$5,2)</f>
        <v>27183.86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3501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
      <c r="A13" s="628"/>
      <c r="B13" s="628"/>
      <c r="C13" s="628" t="s">
        <v>3491</v>
      </c>
      <c r="D13" s="1513" t="s">
        <v>3485</v>
      </c>
      <c r="E13" s="13">
        <f>IF($C$3="是",ROUND($A$3*G13/$B$3,2),ROUND($A$3*(G13-AT13)/$B$3,2))</f>
        <v>1810.4</v>
      </c>
      <c r="F13" s="29"/>
      <c r="G13" s="30">
        <f>H13+AC13+AT13</f>
        <v>1095.5999999999999</v>
      </c>
      <c r="H13" s="17">
        <f>SUMIF(I$12:AB$12,"总值",I13:AB13)</f>
        <v>1095.5999999999999</v>
      </c>
      <c r="I13" s="1514">
        <f>信息!I13</f>
        <v>1095.5999999999999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1幢</v>
      </c>
      <c r="AY13" s="1260">
        <f>ROUND($AY$6*AZ13/$AZ$5,2)</f>
        <v>1810.4</v>
      </c>
      <c r="AZ13" s="13">
        <f>BA13+BL13</f>
        <v>1095.5999999999999</v>
      </c>
      <c r="BA13" s="13">
        <f>SUM(BB13:BK13)</f>
        <v>1095.5999999999999</v>
      </c>
      <c r="BB13" s="13">
        <f>IF($D13="是",I13-J13,0)</f>
        <v>1095.5999999999999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
      <c r="A14" s="628"/>
      <c r="B14" s="628"/>
      <c r="C14" s="628" t="s">
        <v>3492</v>
      </c>
      <c r="D14" s="1513" t="s">
        <v>3485</v>
      </c>
      <c r="E14" s="13">
        <f>IF($C$3="是",ROUND($A$3*G14/$B$3,2),ROUND($A$3*(G14-AT14)/$B$3,2))</f>
        <v>4883.7700000000004</v>
      </c>
      <c r="F14" s="29"/>
      <c r="G14" s="30">
        <f>H14+AC14+AT14</f>
        <v>2955.51</v>
      </c>
      <c r="H14" s="17">
        <f>SUMIF(I$12:AB$12,"总值",I14:AB14)</f>
        <v>2955.51</v>
      </c>
      <c r="I14" s="1514">
        <f>信息!I14</f>
        <v>2955.51</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2幢</v>
      </c>
      <c r="AY14" s="1260">
        <f>ROUND($AY$6*AZ14/$AZ$5,2)</f>
        <v>4883.7700000000004</v>
      </c>
      <c r="AZ14" s="13">
        <f>BA14+BL14</f>
        <v>2955.51</v>
      </c>
      <c r="BA14" s="13">
        <f>SUM(BB14:BK14)</f>
        <v>2955.51</v>
      </c>
      <c r="BB14" s="13">
        <f>IF($D14="是",I14-J14,0)</f>
        <v>2955.51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
      <c r="A15" s="628"/>
      <c r="B15" s="628"/>
      <c r="C15" s="628" t="s">
        <v>3493</v>
      </c>
      <c r="D15" s="1513" t="s">
        <v>3485</v>
      </c>
      <c r="E15" s="13">
        <f>IF($C$3="是",ROUND($A$3*G15/$B$3,2),ROUND($A$3*(G15-AT15)/$B$3,2))</f>
        <v>5355.92</v>
      </c>
      <c r="F15" s="29"/>
      <c r="G15" s="30">
        <f>H15+AC15+AT15</f>
        <v>3241.24</v>
      </c>
      <c r="H15" s="17">
        <f>SUMIF(I$12:AB$12,"总值",I15:AB15)</f>
        <v>3241.24</v>
      </c>
      <c r="I15" s="1514">
        <f>信息!I15</f>
        <v>3241.24</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3幢</v>
      </c>
      <c r="AY15" s="1260">
        <f>ROUND($AY$6*AZ15/$AZ$5,2)</f>
        <v>5355.92</v>
      </c>
      <c r="AZ15" s="13">
        <f>BA15+BL15</f>
        <v>3241.24</v>
      </c>
      <c r="BA15" s="13">
        <f>SUM(BB15:BK15)</f>
        <v>3241.24</v>
      </c>
      <c r="BB15" s="13">
        <f>IF($D15="是",I15-J15,0)</f>
        <v>3241.24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
      <c r="A16" s="628"/>
      <c r="B16" s="628"/>
      <c r="C16" s="628" t="s">
        <v>3494</v>
      </c>
      <c r="D16" s="1513" t="s">
        <v>3485</v>
      </c>
      <c r="E16" s="13">
        <f>IF($C$3="是",ROUND($A$3*G16/$B$3,2),ROUND($A$3*(G16-AT16)/$B$3,2))</f>
        <v>5424.82</v>
      </c>
      <c r="F16" s="29"/>
      <c r="G16" s="30">
        <f>H16+AC16+AT16</f>
        <v>3282.94</v>
      </c>
      <c r="H16" s="17">
        <f>SUMIF(I$12:AB$12,"总值",I16:AB16)</f>
        <v>3282.94</v>
      </c>
      <c r="I16" s="1514">
        <f>信息!I16</f>
        <v>3282.94</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4幢</v>
      </c>
      <c r="AY16" s="1260">
        <f>ROUND($AY$6*AZ16/$AZ$5,2)</f>
        <v>5424.82</v>
      </c>
      <c r="AZ16" s="13">
        <f>BA16+BL16</f>
        <v>3282.94</v>
      </c>
      <c r="BA16" s="13">
        <f>SUM(BB16:BK16)</f>
        <v>3282.94</v>
      </c>
      <c r="BB16" s="13">
        <f>IF($D16="是",I16-J16,0)</f>
        <v>3282.94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
      <c r="A17" s="628"/>
      <c r="B17" s="628"/>
      <c r="C17" s="628" t="s">
        <v>3495</v>
      </c>
      <c r="D17" s="1513" t="s">
        <v>3485</v>
      </c>
      <c r="E17" s="13">
        <f>IF($C$3="是",ROUND($A$3*G17/$B$3,2),ROUND($A$3*(G17-AT17)/$B$3,2))</f>
        <v>867.74</v>
      </c>
      <c r="F17" s="29"/>
      <c r="G17" s="30">
        <f>H17+AC17+AT17</f>
        <v>525.13</v>
      </c>
      <c r="H17" s="17">
        <f>SUMIF(I$12:AB$12,"总值",I17:AB17)</f>
        <v>525.13</v>
      </c>
      <c r="I17" s="1514">
        <f>信息!I17</f>
        <v>525.13</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5幢</v>
      </c>
      <c r="AY17" s="1260">
        <f>ROUND($AY$6*AZ17/$AZ$5,2)</f>
        <v>867.74</v>
      </c>
      <c r="AZ17" s="13">
        <f>BA17+BL17</f>
        <v>525.13</v>
      </c>
      <c r="BA17" s="13">
        <f>SUM(BB17:BK17)</f>
        <v>525.13</v>
      </c>
      <c r="BB17" s="13">
        <f>IF($D17="是",I17-J17,0)</f>
        <v>525.13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4.5">
      <c r="A18" s="6"/>
      <c r="B18" s="31"/>
      <c r="C18" s="31" t="s">
        <v>3496</v>
      </c>
      <c r="D18" s="1513" t="s">
        <v>3485</v>
      </c>
      <c r="E18" s="32">
        <f t="shared" ref="E18:E112" si="7">IF($C$3="是",ROUND($A$3*G18/$B$3,2),ROUND($A$3*(G18-AT18)/$B$3,2))</f>
        <v>2694.62</v>
      </c>
      <c r="F18" s="33"/>
      <c r="G18" s="34">
        <f t="shared" ref="G18:G109" si="8">H18+AC18+AT18</f>
        <v>1630.7</v>
      </c>
      <c r="H18" s="35">
        <f t="shared" ref="H18:H109" si="9">SUMIF(I$12:AB$12,"总值",I18:AB18)</f>
        <v>1630.7</v>
      </c>
      <c r="I18" s="1514">
        <f>信息!I18</f>
        <v>1630.7</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6幢</v>
      </c>
      <c r="AY18" s="38">
        <f t="shared" ref="AY18:AY109" si="14">ROUND($AY$6*AZ18/$AZ$5,2)</f>
        <v>2694.62</v>
      </c>
      <c r="AZ18" s="32">
        <f t="shared" ref="AZ18:AZ109" si="15">BA18+BL18</f>
        <v>1630.7</v>
      </c>
      <c r="BA18" s="32">
        <f t="shared" ref="BA18:BA109" si="16">SUM(BB18:BK18)</f>
        <v>1630.7</v>
      </c>
      <c r="BB18" s="32">
        <f t="shared" ref="BB18:BB109" si="17">IF($D18="是",I18-J18,0)</f>
        <v>1630.7</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ht="14.5">
      <c r="A19" s="6"/>
      <c r="B19" s="31"/>
      <c r="C19" s="31" t="s">
        <v>3497</v>
      </c>
      <c r="D19" s="1513" t="s">
        <v>3485</v>
      </c>
      <c r="E19" s="32">
        <f t="shared" si="7"/>
        <v>1925.03</v>
      </c>
      <c r="F19" s="33"/>
      <c r="G19" s="34">
        <f t="shared" si="8"/>
        <v>1164.97</v>
      </c>
      <c r="H19" s="35">
        <f t="shared" si="9"/>
        <v>1164.97</v>
      </c>
      <c r="I19" s="1514">
        <f>信息!I19</f>
        <v>1164.97</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7幢</v>
      </c>
      <c r="AY19" s="38">
        <f t="shared" si="14"/>
        <v>1925.03</v>
      </c>
      <c r="AZ19" s="32">
        <f t="shared" si="15"/>
        <v>1164.97</v>
      </c>
      <c r="BA19" s="32">
        <f t="shared" si="16"/>
        <v>1164.97</v>
      </c>
      <c r="BB19" s="32">
        <f t="shared" si="17"/>
        <v>1164.97</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ht="14.5">
      <c r="A20" s="6"/>
      <c r="B20" s="31"/>
      <c r="C20" s="31" t="s">
        <v>3498</v>
      </c>
      <c r="D20" s="1513" t="s">
        <v>3485</v>
      </c>
      <c r="E20" s="32">
        <f t="shared" si="7"/>
        <v>1928.96</v>
      </c>
      <c r="F20" s="33"/>
      <c r="G20" s="34">
        <f t="shared" si="8"/>
        <v>1167.3499999999999</v>
      </c>
      <c r="H20" s="35">
        <f t="shared" si="9"/>
        <v>1167.3499999999999</v>
      </c>
      <c r="I20" s="1514">
        <f>信息!I20</f>
        <v>1167.3499999999999</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8幢</v>
      </c>
      <c r="AY20" s="38">
        <f t="shared" si="14"/>
        <v>1928.96</v>
      </c>
      <c r="AZ20" s="32">
        <f t="shared" si="15"/>
        <v>1167.3499999999999</v>
      </c>
      <c r="BA20" s="32">
        <f t="shared" si="16"/>
        <v>1167.3499999999999</v>
      </c>
      <c r="BB20" s="32">
        <f t="shared" si="17"/>
        <v>1167.3499999999999</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ht="14.5">
      <c r="A21" s="6"/>
      <c r="B21" s="31"/>
      <c r="C21" s="31" t="s">
        <v>3499</v>
      </c>
      <c r="D21" s="1513" t="s">
        <v>3485</v>
      </c>
      <c r="E21" s="32">
        <f t="shared" si="7"/>
        <v>1939.24</v>
      </c>
      <c r="F21" s="33"/>
      <c r="G21" s="34">
        <f t="shared" si="8"/>
        <v>1173.57</v>
      </c>
      <c r="H21" s="35">
        <f t="shared" si="9"/>
        <v>1173.57</v>
      </c>
      <c r="I21" s="1514">
        <f>信息!I21</f>
        <v>1173.57</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t="str">
        <f t="shared" si="13"/>
        <v>9幢</v>
      </c>
      <c r="AY21" s="38">
        <f t="shared" si="14"/>
        <v>1939.24</v>
      </c>
      <c r="AZ21" s="32">
        <f t="shared" si="15"/>
        <v>1173.57</v>
      </c>
      <c r="BA21" s="32">
        <f t="shared" si="16"/>
        <v>1173.57</v>
      </c>
      <c r="BB21" s="32">
        <f t="shared" si="17"/>
        <v>1173.57</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ht="14.5">
      <c r="A22" s="6"/>
      <c r="B22" s="31"/>
      <c r="C22" s="31" t="s">
        <v>3500</v>
      </c>
      <c r="D22" s="1513" t="s">
        <v>3485</v>
      </c>
      <c r="E22" s="32">
        <f t="shared" si="7"/>
        <v>353.36</v>
      </c>
      <c r="F22" s="33"/>
      <c r="G22" s="34">
        <f t="shared" si="8"/>
        <v>213.84</v>
      </c>
      <c r="H22" s="35">
        <f t="shared" si="9"/>
        <v>213.84</v>
      </c>
      <c r="I22" s="1514">
        <f>信息!I22</f>
        <v>213.84</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t="str">
        <f t="shared" si="13"/>
        <v>10幢</v>
      </c>
      <c r="AY22" s="38">
        <f t="shared" si="14"/>
        <v>353.36</v>
      </c>
      <c r="AZ22" s="32">
        <f t="shared" si="15"/>
        <v>213.84</v>
      </c>
      <c r="BA22" s="32">
        <f t="shared" si="16"/>
        <v>213.84</v>
      </c>
      <c r="BB22" s="32">
        <f t="shared" si="17"/>
        <v>213.84</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48" t="s">
        <v>1131</v>
      </c>
      <c r="B2" s="3248"/>
      <c r="C2" s="3248"/>
      <c r="D2" s="748" t="s">
        <v>1107</v>
      </c>
      <c r="E2" s="1523" t="s">
        <v>1108</v>
      </c>
      <c r="F2" s="2438"/>
      <c r="G2" s="2431"/>
      <c r="H2" s="2432"/>
      <c r="I2" s="2146" t="s">
        <v>1132</v>
      </c>
      <c r="J2" s="2438"/>
      <c r="K2" s="2438"/>
      <c r="L2" s="2438"/>
      <c r="M2" s="2438"/>
      <c r="N2" s="2439"/>
      <c r="O2" s="2438"/>
      <c r="P2" s="2438"/>
    </row>
    <row r="3" spans="1:16" ht="14.5" thickBot="1">
      <c r="A3" s="3249" t="s">
        <v>1105</v>
      </c>
      <c r="B3" s="3249"/>
      <c r="C3" s="3249"/>
      <c r="D3" s="41">
        <f>'数据-基础表'!AY6</f>
        <v>27183.86</v>
      </c>
      <c r="E3" s="41">
        <f>'数据-基础表'!AZ5</f>
        <v>16450.849999999999</v>
      </c>
      <c r="F3" s="2438"/>
      <c r="G3" s="42"/>
      <c r="H3" s="43" t="s">
        <v>1106</v>
      </c>
      <c r="I3" s="802">
        <f>ROUND('数据-基础表'!B3/'数据-基础表'!A3,2)</f>
        <v>0.61</v>
      </c>
      <c r="J3" s="2438"/>
      <c r="K3" s="2438"/>
      <c r="L3" s="2438"/>
      <c r="M3" s="2438"/>
      <c r="N3" s="2439"/>
      <c r="O3" s="2438"/>
      <c r="P3" s="2438"/>
    </row>
    <row r="4" spans="1:16">
      <c r="A4" s="3250"/>
      <c r="B4" s="3251"/>
      <c r="C4" s="3252"/>
      <c r="D4" s="1524" t="s">
        <v>1107</v>
      </c>
      <c r="E4" s="1525" t="s">
        <v>1108</v>
      </c>
      <c r="F4" s="2438"/>
      <c r="G4" s="2433" t="s">
        <v>1133</v>
      </c>
      <c r="H4" s="43" t="s">
        <v>1113</v>
      </c>
      <c r="I4" s="802">
        <f>ROUND(SUMIF('数据-基础表'!I9:AS9,"地上",'数据-基础表'!I5:AS5)/'数据-基础表'!A3,2)</f>
        <v>0.61</v>
      </c>
      <c r="J4" s="2438"/>
      <c r="K4" s="2438"/>
      <c r="L4" s="2438"/>
      <c r="M4" s="2438"/>
      <c r="N4" s="2439"/>
      <c r="O4" s="2438"/>
      <c r="P4" s="2438"/>
    </row>
    <row r="5" spans="1:16">
      <c r="A5" s="42" t="s">
        <v>1109</v>
      </c>
      <c r="B5" s="3253" t="s">
        <v>1110</v>
      </c>
      <c r="C5" s="3253"/>
      <c r="D5" s="43">
        <f>ROUND($D$3*E5/$E$3,2)</f>
        <v>0</v>
      </c>
      <c r="E5" s="44">
        <f>SUMIF('数据-基础表'!$11:$11,"住宅",'数据-基础表'!$5:$5)</f>
        <v>0</v>
      </c>
      <c r="F5" s="2438"/>
      <c r="G5" s="42"/>
      <c r="H5" s="43" t="s">
        <v>1106</v>
      </c>
      <c r="I5" s="802">
        <f>ROUND(E31/D31,2)</f>
        <v>0.61</v>
      </c>
      <c r="J5" s="2438"/>
      <c r="K5" s="2438"/>
      <c r="L5" s="2438"/>
      <c r="M5" s="2438"/>
      <c r="N5" s="2438"/>
      <c r="O5" s="2438"/>
      <c r="P5" s="2438"/>
    </row>
    <row r="6" spans="1:16" ht="14.5" thickBot="1">
      <c r="A6" s="1527"/>
      <c r="B6" s="3253" t="s">
        <v>1111</v>
      </c>
      <c r="C6" s="3253"/>
      <c r="D6" s="43">
        <f>ROUND($D$3*E6/$E$3,2)</f>
        <v>27183.86</v>
      </c>
      <c r="E6" s="44">
        <f>E3-E5</f>
        <v>16450.849999999999</v>
      </c>
      <c r="F6" s="2438"/>
      <c r="G6" s="1529" t="s">
        <v>1112</v>
      </c>
      <c r="H6" s="45" t="s">
        <v>1113</v>
      </c>
      <c r="I6" s="2434">
        <f>ROUND(F31/D31,2)</f>
        <v>0.61</v>
      </c>
      <c r="J6" s="2438"/>
      <c r="K6" s="2438"/>
      <c r="L6" s="2438"/>
      <c r="M6" s="2438"/>
      <c r="N6" s="2438"/>
      <c r="O6" s="2438"/>
      <c r="P6" s="2438"/>
    </row>
    <row r="7" spans="1:16" ht="14.5" thickBot="1">
      <c r="A7" s="3245"/>
      <c r="B7" s="3246"/>
      <c r="C7" s="3247"/>
      <c r="D7" s="1524" t="s">
        <v>1107</v>
      </c>
      <c r="E7" s="1528" t="s">
        <v>1114</v>
      </c>
      <c r="F7" s="2438"/>
      <c r="G7" s="2435" t="s">
        <v>1115</v>
      </c>
      <c r="H7" s="95"/>
      <c r="I7" s="2436">
        <v>1</v>
      </c>
      <c r="J7" s="2438"/>
      <c r="K7" s="2438"/>
      <c r="L7" s="2438"/>
      <c r="M7" s="2438"/>
      <c r="N7" s="2438"/>
      <c r="O7" s="2438"/>
      <c r="P7" s="2438"/>
    </row>
    <row r="8" spans="1:16">
      <c r="A8" s="42" t="s">
        <v>1116</v>
      </c>
      <c r="B8" s="45" t="s">
        <v>1117</v>
      </c>
      <c r="C8" s="43" t="s">
        <v>1118</v>
      </c>
      <c r="D8" s="43">
        <f t="shared" ref="D8:D15" si="0">ROUND($D$3*E8/$E$3,2)</f>
        <v>27183.86</v>
      </c>
      <c r="E8" s="46">
        <f>SUMIF('数据-基础表'!BB10:BK10,"地上",'数据-基础表'!BB5:BK5)</f>
        <v>16450.849999999999</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27183.86</v>
      </c>
      <c r="E16" s="48">
        <f>SUM(E8:E15)</f>
        <v>16450.849999999999</v>
      </c>
      <c r="F16" s="2438"/>
      <c r="G16" s="2438"/>
      <c r="H16" s="1531" t="s">
        <v>1135</v>
      </c>
      <c r="I16" s="1532"/>
      <c r="J16" s="1071"/>
      <c r="K16" s="3242" t="s">
        <v>1135</v>
      </c>
      <c r="L16" s="3243"/>
      <c r="M16" s="3243"/>
      <c r="N16" s="3243"/>
      <c r="O16" s="3243"/>
      <c r="P16" s="3244"/>
    </row>
    <row r="17" spans="1:19">
      <c r="A17" s="1533" t="s">
        <v>1136</v>
      </c>
      <c r="B17" s="1534" t="s">
        <v>1137</v>
      </c>
      <c r="C17" s="1535" t="s">
        <v>1138</v>
      </c>
      <c r="D17" s="1536" t="s">
        <v>1126</v>
      </c>
      <c r="E17" s="1537" t="s">
        <v>1127</v>
      </c>
      <c r="F17" s="1538"/>
      <c r="G17" s="1539"/>
      <c r="H17" s="1540" t="s">
        <v>1139</v>
      </c>
      <c r="I17" s="1541" t="s">
        <v>1124</v>
      </c>
      <c r="J17" s="1071"/>
      <c r="K17" s="3239" t="s">
        <v>1140</v>
      </c>
      <c r="L17" s="3240"/>
      <c r="M17" s="3241"/>
      <c r="N17" s="3239" t="s">
        <v>1141</v>
      </c>
      <c r="O17" s="3240"/>
      <c r="P17" s="3241"/>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3502</v>
      </c>
      <c r="D19" s="43">
        <f>ROUND($D$3*E19/$E$3,2)</f>
        <v>27183.86</v>
      </c>
      <c r="E19" s="51">
        <f t="shared" ref="E19:E26" si="1">SUM(F19:G19)</f>
        <v>16450.849999999999</v>
      </c>
      <c r="F19" s="2556">
        <f>'数据-基础表'!B3</f>
        <v>16450.849999999999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27183.86</v>
      </c>
      <c r="S19" s="51">
        <f t="shared" si="5"/>
        <v>16450.849999999999</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27183.86</v>
      </c>
      <c r="E27" s="1073">
        <f>IF(SUM(E19:E26)='数据-基础表'!BA5,SUM(E19:E26),IF(F27="地上面积有误","面积有误","地下面积有误"))</f>
        <v>16450.849999999999</v>
      </c>
      <c r="F27" s="1072">
        <f>IF(SUM(F19:F26)=E8,SUM(F19:F26),"地上面积有误")</f>
        <v>16450.849999999999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27183.86</v>
      </c>
      <c r="S27" s="43">
        <f>IF(SUM(S19:S26)=$E$3,SUM(S19:S26),SUM(S19:S26)&amp;"误差"&amp;ROUND(SUM(S19:S26)-E3,2))</f>
        <v>16450.849999999999</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27183.86</v>
      </c>
      <c r="E31" s="643">
        <f>E27+E30</f>
        <v>16450.849999999999</v>
      </c>
      <c r="F31" s="644">
        <f>F27+F30</f>
        <v>16450.849999999999</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U19" sqref="U19"/>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10.0898437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45947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3503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工业</v>
      </c>
      <c r="B6" s="1587" t="str">
        <f>IF(A6=0,"","经营性")</f>
        <v>经营性</v>
      </c>
      <c r="C6" s="1588" t="s">
        <v>3</v>
      </c>
      <c r="D6" s="805">
        <f>SUMIF(项目基本情况!C$12:I$12,C6,项目基本情况!C$14:I$14)</f>
        <v>50</v>
      </c>
      <c r="E6" s="804">
        <f>IF(B6="","",SUMIF(项目基本情况!C$12:I$12,C6,项目基本情况!C$13:I$13))</f>
        <v>55753</v>
      </c>
      <c r="F6" s="61">
        <f>SUMIF(项目基本情况!C$12:I$12,C6,项目基本情况!C$15:I$15)</f>
        <v>26.86</v>
      </c>
      <c r="G6" s="62">
        <f>IF(ISERROR(ROUND(POWER(1+H6,D6-F6)*(POWER(1+H6,F6)-1)/(POWER(1+H6,D6)-1),3)),0,ROUND(POWER(1+H6,D6-F6)*(POWER(1+H6,F6)-1)/(POWER(1+H6,D6)-1),3))</f>
        <v>0.8</v>
      </c>
      <c r="H6" s="691">
        <v>0.05</v>
      </c>
      <c r="I6" s="691">
        <v>5.5E-2</v>
      </c>
      <c r="J6" s="63">
        <v>7.0000000000000007E-2</v>
      </c>
      <c r="K6" s="970">
        <f>SUMIF('数据-汇总表'!C$19:C$33,A6,'数据-汇总表'!E$19:E$33)</f>
        <v>16450.849999999999</v>
      </c>
      <c r="L6" s="692">
        <f>信息!R23</f>
        <v>2322</v>
      </c>
      <c r="M6" s="64">
        <f t="shared" ref="M6:M14" si="0">ROUND(K6*L6/10000,0)</f>
        <v>3820</v>
      </c>
      <c r="N6" s="690">
        <f>信息!P23</f>
        <v>0.66</v>
      </c>
      <c r="O6" s="64" t="str">
        <f>IF($N$5="成新度","——",ROUND(M6*N6,0))</f>
        <v>——</v>
      </c>
      <c r="P6" s="65" t="str">
        <f>IF($N$5="成新度","——",M6-O6)</f>
        <v>——</v>
      </c>
      <c r="Q6" s="693">
        <v>0.05</v>
      </c>
      <c r="R6" s="66">
        <f ca="1">SUMIF('数据-汇总表'!C$19:C$33,A6,'数据-汇总表'!R$19:R$27)</f>
        <v>27183.86</v>
      </c>
      <c r="S6" s="49">
        <f>IF('数据-汇总表'!$I$17="按面积比例",SUMIF('数据-汇总表'!C$19:C$33,A6,'数据-汇总表'!K$19:K$33),SUMIF('数据-汇总表'!C$19:C$33,A6,'数据-汇总表'!N$19:N$33))</f>
        <v>0</v>
      </c>
      <c r="T6" s="1092">
        <f>ROUND($L$14*S6/10000,0)</f>
        <v>0</v>
      </c>
      <c r="U6" s="3125">
        <f>U20</f>
        <v>0.88</v>
      </c>
      <c r="V6" s="67">
        <v>0.02</v>
      </c>
      <c r="W6" s="67">
        <v>0.1</v>
      </c>
      <c r="X6" s="979"/>
      <c r="Y6" s="68">
        <f>N6</f>
        <v>0.66</v>
      </c>
      <c r="Z6" s="69"/>
      <c r="AA6" s="63"/>
      <c r="AB6" s="63"/>
      <c r="AC6" s="979"/>
      <c r="AD6" s="70"/>
      <c r="AE6" s="980">
        <f ca="1">IF(AN6="",0,SUMIF(INDIRECT("'"&amp;AN6&amp;"'"&amp;"!E:E"),$AE$5,INDIRECT("'"&amp;AN6&amp;"'"&amp;"!F:F")))</f>
        <v>26.86</v>
      </c>
      <c r="AF6" s="74"/>
      <c r="AG6" s="130">
        <f>IF(AF6="",0,AE6-AF6)</f>
        <v>0</v>
      </c>
      <c r="AH6" s="71"/>
      <c r="AI6" s="73">
        <v>365</v>
      </c>
      <c r="AJ6" s="74"/>
      <c r="AK6" s="75">
        <v>7.0000000000000001E-3</v>
      </c>
      <c r="AL6" s="76">
        <v>1E-3</v>
      </c>
      <c r="AM6" s="77">
        <v>0.01</v>
      </c>
      <c r="AN6" s="1589" t="s">
        <v>3517</v>
      </c>
      <c r="AO6" s="50">
        <f ca="1">SUMIF(INDIRECT("'"&amp;AN6&amp;"'"&amp;"!A:A"),"总价",INDIRECT("'"&amp;AN6&amp;"'"&amp;"!B:B"))</f>
        <v>6239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v>
      </c>
      <c r="H16" s="84">
        <f>ROUND(SUMPRODUCT(H6:H13,K6:K13)/SUMPRODUCT((H6:H13&gt;0)*(K6:K13)),3)</f>
        <v>0.05</v>
      </c>
      <c r="I16" s="85"/>
      <c r="J16" s="85"/>
      <c r="K16" s="86">
        <f>SUM(K6:K15)</f>
        <v>16450.849999999999</v>
      </c>
      <c r="L16" s="87">
        <f>ROUND(M16*10000/SUM(K6:K14),0)</f>
        <v>2322</v>
      </c>
      <c r="M16" s="87">
        <f>SUM(M6:M14)</f>
        <v>3820</v>
      </c>
      <c r="N16" s="88">
        <f>ROUND(SUMPRODUCT(M6:M14,N6:N14)/M16,3)</f>
        <v>0.66</v>
      </c>
      <c r="O16" s="87">
        <f>SUM(O6:O14)</f>
        <v>0</v>
      </c>
      <c r="P16" s="87">
        <f>SUM(P6:P14)</f>
        <v>0</v>
      </c>
      <c r="Q16" s="89">
        <f>ROUND(SUMPRODUCT(Q6:Q13,K6:K13)/SUMPRODUCT((Q6:Q13&gt;0)*(K6:K13)),2)</f>
        <v>0.05</v>
      </c>
      <c r="R16" s="974">
        <f ca="1">SUM(R6:R13)</f>
        <v>27183.86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2447"/>
      <c r="N18" s="2447"/>
      <c r="O18" s="2447"/>
      <c r="P18" s="2447"/>
      <c r="Q18" s="2447"/>
      <c r="R18" s="2447"/>
      <c r="S18" s="2447"/>
      <c r="T18" s="3537" t="s">
        <v>3510</v>
      </c>
      <c r="U18" s="3536">
        <v>0.8</v>
      </c>
      <c r="V18" s="1561">
        <f>信息!I23</f>
        <v>16450.849999999999</v>
      </c>
      <c r="W18" s="3530" t="s">
        <v>3515</v>
      </c>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c r="O19" s="2447"/>
      <c r="P19" s="2447"/>
      <c r="Q19" s="2447"/>
      <c r="R19" s="2447"/>
      <c r="S19" s="2447"/>
      <c r="T19" s="3537" t="s">
        <v>3511</v>
      </c>
      <c r="U19" s="3536">
        <v>0.1</v>
      </c>
      <c r="V19" s="1561">
        <f>信息!K26</f>
        <v>13711.74</v>
      </c>
      <c r="W19" s="3530" t="s">
        <v>3516</v>
      </c>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1</v>
      </c>
      <c r="C20" s="2560" t="s">
        <v>2300</v>
      </c>
      <c r="D20" s="2450"/>
      <c r="E20" s="2438"/>
      <c r="F20" s="2438"/>
      <c r="G20" s="2438"/>
      <c r="H20" s="2438"/>
      <c r="I20" s="2438"/>
      <c r="J20" s="2438"/>
      <c r="K20" s="2448"/>
      <c r="L20" s="2448"/>
      <c r="M20" s="2447"/>
      <c r="N20" s="2447"/>
      <c r="O20" s="2447"/>
      <c r="P20" s="2447"/>
      <c r="Q20" s="2447"/>
      <c r="R20" s="2447"/>
      <c r="S20" s="2447"/>
      <c r="T20" s="3537" t="s">
        <v>3512</v>
      </c>
      <c r="U20" s="3536">
        <f>ROUND((U18*V18+U19*V19)/V18,2)</f>
        <v>0.88</v>
      </c>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1</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1</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80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f ca="1">成本法!C8</f>
        <v>132</v>
      </c>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0.03</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6.000000000000001E-3</v>
      </c>
      <c r="C43" s="2452"/>
      <c r="D43" s="3524" t="s">
        <v>3509</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7.0000000000000007E-2</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54" t="s">
        <v>2286</v>
      </c>
      <c r="B1" s="3255"/>
      <c r="C1" s="3255"/>
      <c r="D1" s="3255"/>
      <c r="E1" s="3255"/>
      <c r="F1" s="3255"/>
      <c r="G1" s="325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16" sqref="M16"/>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16450.849999999999</v>
      </c>
      <c r="C1" s="2460"/>
      <c r="D1" s="2460"/>
      <c r="E1" s="2460"/>
      <c r="F1" s="2460"/>
      <c r="G1" s="2461"/>
      <c r="H1" s="2461"/>
      <c r="I1" s="2461"/>
      <c r="J1" s="2461"/>
      <c r="K1" s="2461"/>
    </row>
    <row r="2" spans="1:11" ht="16.5">
      <c r="A2" s="2299" t="s">
        <v>653</v>
      </c>
      <c r="B2" s="2299">
        <f>SUM(C14:C23)</f>
        <v>27183.86</v>
      </c>
      <c r="C2" s="2460"/>
      <c r="D2" s="2460"/>
      <c r="E2" s="2460"/>
      <c r="F2" s="2460"/>
      <c r="G2" s="2461"/>
      <c r="H2" s="2461"/>
      <c r="I2" s="2461"/>
      <c r="J2" s="2461"/>
      <c r="K2" s="2461"/>
    </row>
    <row r="3" spans="1:11" ht="16.5">
      <c r="A3" s="2299" t="s">
        <v>662</v>
      </c>
      <c r="B3" s="2301">
        <f>项目基本情况!D3</f>
        <v>45947</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7762</v>
      </c>
      <c r="C5" s="2299">
        <f ca="1">IF(B5=D14,结果表!H102,ROUND(B5*10000/$B$1,0))</f>
        <v>4718</v>
      </c>
      <c r="D5" s="2299">
        <f ca="1">ROUND(B5*10000/$B$2,0)</f>
        <v>2855</v>
      </c>
      <c r="E5" s="2460"/>
      <c r="F5" s="2461"/>
      <c r="G5" s="2461"/>
      <c r="H5" s="2461"/>
      <c r="I5" s="2461"/>
      <c r="J5" s="2461"/>
      <c r="K5" s="2461"/>
    </row>
    <row r="6" spans="1:11" ht="16.5">
      <c r="A6" s="2299" t="s">
        <v>656</v>
      </c>
      <c r="B6" s="2299">
        <f ca="1">SUM(G14:G23)</f>
        <v>7762</v>
      </c>
      <c r="C6" s="2299">
        <f ca="1">IF(B6=G14,结果表!H108,ROUND(B6*10000/$B$1,0))</f>
        <v>4718</v>
      </c>
      <c r="D6" s="2299">
        <f ca="1">ROUND(B6*10000/$B$2,0)</f>
        <v>2855</v>
      </c>
      <c r="E6" s="2460"/>
      <c r="F6" s="2461"/>
      <c r="G6" s="2461"/>
      <c r="H6" s="2461"/>
      <c r="I6" s="2461"/>
      <c r="J6" s="2461"/>
      <c r="K6" s="2461"/>
    </row>
    <row r="7" spans="1:11" ht="16.5">
      <c r="A7" s="2299" t="s">
        <v>664</v>
      </c>
      <c r="B7" s="2299">
        <f>SUM(H14:H23)</f>
        <v>0</v>
      </c>
      <c r="C7" s="2299" t="str">
        <f>IF(B7=H14,结果表!H110,ROUND(B7*10000/$B$1,0))</f>
        <v>——</v>
      </c>
      <c r="D7" s="2299">
        <f>ROUND(B7*10000/$B$2,0)</f>
        <v>0</v>
      </c>
      <c r="E7" s="2460"/>
      <c r="F7" s="2461"/>
      <c r="G7" s="2461"/>
      <c r="H7" s="2461"/>
      <c r="I7" s="2461"/>
      <c r="J7" s="2461"/>
      <c r="K7" s="2461"/>
    </row>
    <row r="8" spans="1:11" ht="16.5">
      <c r="A8" s="2299" t="s">
        <v>587</v>
      </c>
      <c r="B8" s="2299">
        <f>SUM(I14:I23)</f>
        <v>0</v>
      </c>
      <c r="C8" s="2299" t="str">
        <f>IF(B8=I14,结果表!H112,ROUND(B8*10000/$B$1,0))</f>
        <v>——</v>
      </c>
      <c r="D8" s="2299">
        <f>ROUND(B8*10000/$B$2,0)</f>
        <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结果表!B118</f>
        <v>16450.849999999999</v>
      </c>
      <c r="C14" s="2305">
        <f>结果表!C118</f>
        <v>27183.86</v>
      </c>
      <c r="D14" s="2305">
        <f ca="1">结果表!H118</f>
        <v>7762</v>
      </c>
      <c r="E14" s="2305">
        <f ca="1">结果表!I118</f>
        <v>4718</v>
      </c>
      <c r="F14" s="2305">
        <f ca="1">ROUND(D14*10000/C14,0)</f>
        <v>2855</v>
      </c>
      <c r="G14" s="2305">
        <f ca="1">D14</f>
        <v>7762</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I24" sqref="I24"/>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3</v>
      </c>
      <c r="D1" s="646"/>
      <c r="E1" s="646"/>
      <c r="F1" s="1621" t="s">
        <v>1263</v>
      </c>
      <c r="G1" s="1453" t="s">
        <v>3490</v>
      </c>
      <c r="H1" s="1621" t="str">
        <f>IF(G1="现房","——","估价对象范围")</f>
        <v>——</v>
      </c>
      <c r="I1" s="1622"/>
    </row>
    <row r="2" spans="1:12" ht="21.75" customHeight="1" thickBot="1">
      <c r="A2" s="3290" t="str">
        <f>项目基本情况!S2</f>
        <v>北京市平谷区平谷大街甲16号房地产</v>
      </c>
      <c r="B2" s="3291"/>
      <c r="C2" s="3291"/>
      <c r="D2" s="3291"/>
      <c r="E2" s="3291"/>
      <c r="F2" s="3291"/>
      <c r="G2" s="3291"/>
      <c r="H2" s="3291"/>
      <c r="I2" s="3292"/>
    </row>
    <row r="3" spans="1:12" ht="13">
      <c r="A3" s="3294" t="s">
        <v>1264</v>
      </c>
      <c r="B3" s="3295"/>
      <c r="C3" s="3295"/>
      <c r="D3" s="3295"/>
      <c r="E3" s="3295"/>
      <c r="F3" s="3295"/>
      <c r="G3" s="3295"/>
      <c r="H3" s="3295"/>
      <c r="I3" s="3295"/>
    </row>
    <row r="4" spans="1:12" ht="14">
      <c r="A4" s="1624" t="s">
        <v>1265</v>
      </c>
      <c r="B4" s="1625" t="s">
        <v>1266</v>
      </c>
      <c r="C4" s="1626" t="s">
        <v>3526</v>
      </c>
      <c r="D4" s="1626" t="s">
        <v>3517</v>
      </c>
      <c r="E4" s="3296" t="s">
        <v>1267</v>
      </c>
      <c r="F4" s="3297"/>
      <c r="G4" s="3297"/>
      <c r="H4" s="3297"/>
      <c r="I4" s="329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70" t="s">
        <v>1268</v>
      </c>
      <c r="B5" s="3257">
        <v>25</v>
      </c>
      <c r="C5" s="3273"/>
      <c r="D5" s="3293"/>
      <c r="E5" s="123" t="s">
        <v>1269</v>
      </c>
      <c r="F5" s="1627"/>
      <c r="G5" s="1627"/>
      <c r="H5" s="1627"/>
      <c r="I5" s="1281"/>
    </row>
    <row r="6" spans="1:12" ht="13">
      <c r="A6" s="3270"/>
      <c r="B6" s="3257"/>
      <c r="C6" s="3274"/>
      <c r="D6" s="3293"/>
      <c r="E6" s="123" t="s">
        <v>1270</v>
      </c>
      <c r="F6" s="1627"/>
      <c r="G6" s="1627"/>
      <c r="H6" s="1627"/>
      <c r="I6" s="1281"/>
    </row>
    <row r="7" spans="1:12" ht="13">
      <c r="A7" s="3270"/>
      <c r="B7" s="3257"/>
      <c r="C7" s="3275"/>
      <c r="D7" s="3293"/>
      <c r="E7" s="123" t="s">
        <v>1271</v>
      </c>
      <c r="F7" s="1627"/>
      <c r="G7" s="1627"/>
      <c r="H7" s="1627"/>
      <c r="I7" s="1281"/>
    </row>
    <row r="8" spans="1:12" ht="13">
      <c r="A8" s="3270" t="s">
        <v>1272</v>
      </c>
      <c r="B8" s="3257">
        <v>15</v>
      </c>
      <c r="C8" s="3273"/>
      <c r="D8" s="3293"/>
      <c r="E8" s="123" t="s">
        <v>1273</v>
      </c>
      <c r="F8" s="1627"/>
      <c r="G8" s="1627"/>
      <c r="H8" s="1627"/>
      <c r="I8" s="1281"/>
    </row>
    <row r="9" spans="1:12" ht="13">
      <c r="A9" s="3270"/>
      <c r="B9" s="3257"/>
      <c r="C9" s="3275"/>
      <c r="D9" s="3293"/>
      <c r="E9" s="123" t="s">
        <v>1274</v>
      </c>
      <c r="F9" s="1627"/>
      <c r="G9" s="1627"/>
      <c r="H9" s="1627"/>
      <c r="I9" s="1281"/>
    </row>
    <row r="10" spans="1:12" ht="13">
      <c r="A10" s="3270" t="s">
        <v>1275</v>
      </c>
      <c r="B10" s="3257">
        <v>15</v>
      </c>
      <c r="C10" s="3273"/>
      <c r="D10" s="3293"/>
      <c r="E10" s="123" t="s">
        <v>1276</v>
      </c>
      <c r="F10" s="1627"/>
      <c r="G10" s="1627"/>
      <c r="H10" s="1627"/>
      <c r="I10" s="1281"/>
    </row>
    <row r="11" spans="1:12" ht="13">
      <c r="A11" s="3270"/>
      <c r="B11" s="3257"/>
      <c r="C11" s="3275"/>
      <c r="D11" s="3293"/>
      <c r="E11" s="123" t="s">
        <v>1277</v>
      </c>
      <c r="F11" s="1627"/>
      <c r="G11" s="1627"/>
      <c r="H11" s="1627"/>
      <c r="I11" s="1281"/>
    </row>
    <row r="12" spans="1:12" ht="13">
      <c r="A12" s="3270" t="s">
        <v>1278</v>
      </c>
      <c r="B12" s="3257">
        <v>15</v>
      </c>
      <c r="C12" s="3273"/>
      <c r="D12" s="3293"/>
      <c r="E12" s="123" t="s">
        <v>1279</v>
      </c>
      <c r="F12" s="1627"/>
      <c r="G12" s="1627"/>
      <c r="H12" s="1627"/>
      <c r="I12" s="1281"/>
    </row>
    <row r="13" spans="1:12" ht="13">
      <c r="A13" s="3270"/>
      <c r="B13" s="3257"/>
      <c r="C13" s="3275"/>
      <c r="D13" s="3293"/>
      <c r="E13" s="123" t="s">
        <v>1280</v>
      </c>
      <c r="F13" s="1627"/>
      <c r="G13" s="1627"/>
      <c r="H13" s="1627"/>
      <c r="I13" s="1281"/>
    </row>
    <row r="14" spans="1:12" ht="13">
      <c r="A14" s="3270" t="s">
        <v>1281</v>
      </c>
      <c r="B14" s="3257">
        <v>30</v>
      </c>
      <c r="C14" s="3273">
        <v>4</v>
      </c>
      <c r="D14" s="3293">
        <v>6</v>
      </c>
      <c r="E14" s="123" t="s">
        <v>1282</v>
      </c>
      <c r="F14" s="1627"/>
      <c r="G14" s="1627"/>
      <c r="H14" s="1627"/>
      <c r="I14" s="1281"/>
    </row>
    <row r="15" spans="1:12" ht="13">
      <c r="A15" s="3270"/>
      <c r="B15" s="3257"/>
      <c r="C15" s="3274"/>
      <c r="D15" s="3293"/>
      <c r="E15" s="123" t="s">
        <v>1283</v>
      </c>
      <c r="F15" s="1627"/>
      <c r="G15" s="1627"/>
      <c r="H15" s="1627"/>
      <c r="I15" s="1281"/>
    </row>
    <row r="16" spans="1:12" ht="13">
      <c r="A16" s="3270"/>
      <c r="B16" s="3257"/>
      <c r="C16" s="3275"/>
      <c r="D16" s="3293"/>
      <c r="E16" s="123" t="s">
        <v>1284</v>
      </c>
      <c r="F16" s="1627"/>
      <c r="G16" s="1627"/>
      <c r="H16" s="1627"/>
      <c r="I16" s="1281"/>
    </row>
    <row r="17" spans="1:36" ht="14">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280" t="s">
        <v>2131</v>
      </c>
      <c r="F18" s="3281"/>
      <c r="G18" s="3281"/>
      <c r="H18" s="3281"/>
      <c r="I18" s="3281"/>
      <c r="K18" s="294" t="s">
        <v>1289</v>
      </c>
      <c r="L18" s="294">
        <f>IF(C1="",'数据-汇总表'!E3,SUMIF(项目类型,C1,'数据-汇总表'!E17:E26)+SUMIF(项目类型,C1,'数据-汇总表'!I17:I26))</f>
        <v>16450.849999999999</v>
      </c>
      <c r="M18" s="294">
        <f>IF(C1="",'数据-汇总表'!E3,SUMIF(项目类型,C1,'数据-汇总表'!E17:E26))</f>
        <v>16450.849999999999</v>
      </c>
    </row>
    <row r="19" spans="1:36" ht="14">
      <c r="A19" s="1630" t="s">
        <v>1290</v>
      </c>
      <c r="B19" s="1631" t="s">
        <v>1291</v>
      </c>
      <c r="C19" s="126">
        <f ca="1">SUMIF(INDIRECT("'"&amp;C4&amp;"'"&amp;"!A:A"),结果表!B19,INDIRECT("'"&amp;C4&amp;"'"&amp;"!B:B"))</f>
        <v>10046</v>
      </c>
      <c r="D19" s="127">
        <f ca="1">SUMIF(INDIRECT("'"&amp;D4&amp;"'"&amp;"!A:A"),结果表!B19,INDIRECT("'"&amp;D4&amp;"'"&amp;"!B:B"))</f>
        <v>6239</v>
      </c>
      <c r="E19" s="1630" t="s">
        <v>1292</v>
      </c>
      <c r="F19" s="1631" t="s">
        <v>1291</v>
      </c>
      <c r="G19" s="128">
        <f ca="1">ROUND(C19*$C$18+D19*$D$18,0)</f>
        <v>7762</v>
      </c>
      <c r="H19" s="1632" t="s">
        <v>1293</v>
      </c>
      <c r="I19" s="121"/>
      <c r="K19" s="294" t="s">
        <v>1294</v>
      </c>
      <c r="L19" s="294">
        <f>IF(C1="",'数据-汇总表'!D3,SUMIF(项目类型,C1,'数据-汇总表'!D17:D26)+SUMIF(项目类型,C1,'数据-汇总表'!H17:H27))</f>
        <v>27183.86</v>
      </c>
      <c r="M19" s="294">
        <f>IF(C1="",'数据-汇总表'!D3,SUMIF(项目类型,C1,'数据-汇总表'!D17:D26))</f>
        <v>27183.86</v>
      </c>
    </row>
    <row r="20" spans="1:36" ht="14">
      <c r="A20" s="1633"/>
      <c r="B20" s="43" t="s">
        <v>1295</v>
      </c>
      <c r="C20" s="129">
        <f ca="1">SUMIF(INDIRECT("'"&amp;C4&amp;"'"&amp;"!A:A"),结果表!B20,INDIRECT("'"&amp;C4&amp;"'"&amp;"!B:B"))</f>
        <v>6107</v>
      </c>
      <c r="D20" s="130">
        <f ca="1">SUMIF(INDIRECT("'"&amp;D4&amp;"'"&amp;"!A:A"),结果表!B20,INDIRECT("'"&amp;D4&amp;"'"&amp;"!B:B"))</f>
        <v>3793</v>
      </c>
      <c r="E20" s="1633"/>
      <c r="F20" s="43" t="s">
        <v>1295</v>
      </c>
      <c r="G20" s="131">
        <f ca="1">ROUND(C20*$C$18+D20*$D$18,0)</f>
        <v>4719</v>
      </c>
      <c r="H20" s="760" t="s">
        <v>1296</v>
      </c>
      <c r="I20" s="121"/>
    </row>
    <row r="21" spans="1:36" ht="15" customHeight="1" thickBot="1">
      <c r="A21" s="449"/>
      <c r="B21" s="93" t="s">
        <v>1297</v>
      </c>
      <c r="C21" s="678">
        <f ca="1">ROUND(C19*10000/L19,0)</f>
        <v>3696</v>
      </c>
      <c r="D21" s="679">
        <f ca="1">ROUND(D19*10000/L19,0)</f>
        <v>2295</v>
      </c>
      <c r="E21" s="449"/>
      <c r="F21" s="93" t="s">
        <v>1297</v>
      </c>
      <c r="G21" s="132">
        <f ca="1">ROUND(G19*10000/L19,0)</f>
        <v>2855</v>
      </c>
      <c r="H21" s="1634" t="s">
        <v>1296</v>
      </c>
      <c r="I21" s="121"/>
    </row>
    <row r="22" spans="1:36" ht="14.5" thickBot="1">
      <c r="A22" s="1564" t="s">
        <v>1298</v>
      </c>
      <c r="B22" s="1635"/>
      <c r="C22" s="1636"/>
      <c r="D22" s="680">
        <f ca="1">IF(C19&lt;D19,D19/C19-1,C19/D19-1)</f>
        <v>0.61019394133675275</v>
      </c>
      <c r="E22" s="121"/>
      <c r="F22" s="121"/>
      <c r="G22" s="121"/>
      <c r="H22" s="121"/>
      <c r="I22" s="121"/>
    </row>
    <row r="23" spans="1:36" ht="13" thickBot="1">
      <c r="A23" s="646"/>
      <c r="B23" s="646"/>
      <c r="C23" s="646"/>
      <c r="D23" s="646"/>
      <c r="E23" s="121"/>
      <c r="F23" s="121"/>
      <c r="G23" s="121"/>
      <c r="H23" s="121"/>
      <c r="I23" s="121"/>
    </row>
    <row r="24" spans="1:36" ht="14">
      <c r="A24" s="3264" t="s">
        <v>1299</v>
      </c>
      <c r="B24" s="1631" t="s">
        <v>1291</v>
      </c>
      <c r="C24" s="128">
        <f>IF(B30=0,0,D30)</f>
        <v>0</v>
      </c>
      <c r="D24" s="1637"/>
      <c r="E24" s="121"/>
      <c r="F24" s="121"/>
      <c r="G24" s="121"/>
      <c r="H24" s="121"/>
      <c r="I24" s="121"/>
    </row>
    <row r="25" spans="1:36" ht="14">
      <c r="A25" s="326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7762</v>
      </c>
      <c r="D32" s="1641" t="s">
        <v>3870</v>
      </c>
      <c r="E32" s="121"/>
      <c r="F32" s="121"/>
      <c r="G32" s="121"/>
      <c r="H32" s="121"/>
      <c r="I32" s="121"/>
    </row>
    <row r="33" spans="1:15" ht="14">
      <c r="A33" s="740" t="s">
        <v>1306</v>
      </c>
      <c r="B33" s="123"/>
      <c r="C33" s="1642" t="s">
        <v>3871</v>
      </c>
      <c r="D33" s="1643" t="s">
        <v>3526</v>
      </c>
      <c r="E33" s="1644" t="s">
        <v>1307</v>
      </c>
      <c r="F33" s="1645" t="str">
        <f>IF(D32="楼面单价","取值（单价）","取值（总价）")</f>
        <v>取值（总价）</v>
      </c>
      <c r="G33" s="121"/>
      <c r="H33" s="121"/>
      <c r="I33" s="121"/>
    </row>
    <row r="34" spans="1:15" ht="14">
      <c r="A34" s="1646"/>
      <c r="B34" s="1647" t="s">
        <v>1308</v>
      </c>
      <c r="C34" s="140">
        <f ca="1">IF(C33="自定义",F34,C32-C35)</f>
        <v>5115</v>
      </c>
      <c r="D34" s="808">
        <f ca="1">IF(C33="自定义",ROUND(C34/C32,3),IF(C33="收益比率",SUMIF(INDIRECT("'"&amp;D33&amp;"'"&amp;"!b:b"),"土地收益比率",INDIRECT("'"&amp;D33&amp;"'"&amp;"!c:c")),SUMIF(INDIRECT("'"&amp;D33&amp;"'"&amp;"!b:b"),"土地成本比率",INDIRECT("'"&amp;D33&amp;"'"&amp;"!c:c"))))</f>
        <v>0.65900000000000003</v>
      </c>
      <c r="E34" s="1648" t="s">
        <v>1309</v>
      </c>
      <c r="F34" s="1243"/>
      <c r="G34" s="121"/>
      <c r="H34" s="121"/>
      <c r="I34" s="121"/>
    </row>
    <row r="35" spans="1:15" ht="14.5" thickBot="1">
      <c r="A35" s="1649"/>
      <c r="B35" s="1650" t="s">
        <v>1310</v>
      </c>
      <c r="C35" s="1090">
        <f ca="1">IF(C33="自定义",F35,ROUND(C32*D35,0))</f>
        <v>2647</v>
      </c>
      <c r="D35" s="1091">
        <f ca="1">IF(C33="自定义",ROUND(C35/C32,3),IF(C33="收益比率",SUMIF(INDIRECT("'"&amp;D33&amp;"'"&amp;"!b:b"),"建筑物收益比率",INDIRECT("'"&amp;D33&amp;"'"&amp;"!c:c")),SUMIF(INDIRECT("'"&amp;D33&amp;"'"&amp;"!b:b"),"建筑物成本比率",INDIRECT("'"&amp;D33&amp;"'"&amp;"!c:c"))))</f>
        <v>0.34100000000000003</v>
      </c>
      <c r="E35" s="1651" t="s">
        <v>1311</v>
      </c>
      <c r="F35" s="146"/>
      <c r="G35" s="121"/>
      <c r="H35" s="121"/>
      <c r="I35" s="121"/>
    </row>
    <row r="36" spans="1:15" ht="14.5" thickBot="1">
      <c r="A36" s="3284" t="s">
        <v>1312</v>
      </c>
      <c r="B36" s="1652" t="s">
        <v>1313</v>
      </c>
      <c r="C36" s="137"/>
      <c r="D36" s="1653"/>
      <c r="E36" s="1567"/>
      <c r="F36" s="1654"/>
      <c r="G36" s="121"/>
      <c r="H36" s="121"/>
      <c r="I36" s="121"/>
    </row>
    <row r="37" spans="1:15" ht="14.5" thickBot="1">
      <c r="A37" s="3285"/>
      <c r="B37" s="1555" t="s">
        <v>1314</v>
      </c>
      <c r="C37" s="139"/>
      <c r="D37" s="1071"/>
      <c r="E37" s="1071"/>
      <c r="F37" s="1654"/>
      <c r="G37" s="121"/>
      <c r="H37" s="121"/>
      <c r="I37" s="121"/>
    </row>
    <row r="38" spans="1:15" ht="14.5" thickBot="1">
      <c r="A38" s="3286"/>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1" t="s">
        <v>1326</v>
      </c>
      <c r="B45" s="3262"/>
      <c r="C45" s="3263"/>
      <c r="D45" s="147">
        <f ca="1">ROUND(H101*F45,0)</f>
        <v>7762</v>
      </c>
      <c r="E45" s="148" t="s">
        <v>1327</v>
      </c>
      <c r="F45" s="149">
        <v>1</v>
      </c>
      <c r="G45" s="150" t="s">
        <v>1328</v>
      </c>
      <c r="H45" s="121"/>
      <c r="I45" s="121"/>
      <c r="J45" s="3339" t="s">
        <v>1329</v>
      </c>
      <c r="K45" s="3339"/>
      <c r="L45" s="3339"/>
      <c r="M45" s="3339"/>
      <c r="N45" s="3339"/>
      <c r="O45" s="3339"/>
    </row>
    <row r="46" spans="1:15" ht="14.25" customHeight="1">
      <c r="A46" s="3258" t="s">
        <v>1330</v>
      </c>
      <c r="B46" s="3259"/>
      <c r="C46" s="3259"/>
      <c r="D46" s="3259"/>
      <c r="E46" s="3259"/>
      <c r="F46" s="3259"/>
      <c r="G46" s="3260"/>
      <c r="H46" s="1668"/>
      <c r="I46" s="151"/>
      <c r="J46" s="2309">
        <v>1</v>
      </c>
      <c r="K46" s="3320" t="s">
        <v>1331</v>
      </c>
      <c r="L46" s="3320"/>
      <c r="M46" s="3340"/>
      <c r="N46" s="3340"/>
      <c r="O46" s="3340"/>
    </row>
    <row r="47" spans="1:15" ht="12" customHeight="1">
      <c r="A47" s="152" t="s">
        <v>1332</v>
      </c>
      <c r="B47" s="153"/>
      <c r="C47" s="154"/>
      <c r="D47" s="1024" t="s">
        <v>1333</v>
      </c>
      <c r="E47" s="294" t="s">
        <v>1334</v>
      </c>
      <c r="F47" s="155" t="s">
        <v>1335</v>
      </c>
      <c r="G47" s="2332" t="s">
        <v>1336</v>
      </c>
      <c r="H47" s="2333"/>
      <c r="I47" s="151"/>
      <c r="J47" s="2309">
        <v>2</v>
      </c>
      <c r="K47" s="3320" t="s">
        <v>1337</v>
      </c>
      <c r="L47" s="3320"/>
      <c r="M47" s="3341">
        <f>'数据-取费表'!B2</f>
        <v>45947</v>
      </c>
      <c r="N47" s="3341"/>
      <c r="O47" s="3341"/>
    </row>
    <row r="48" spans="1:15" ht="26">
      <c r="A48" s="3289" t="s">
        <v>1338</v>
      </c>
      <c r="B48" s="3272"/>
      <c r="C48" s="3272"/>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20" t="s">
        <v>1340</v>
      </c>
      <c r="L48" s="3320"/>
      <c r="M48" s="3342">
        <f ca="1">H101</f>
        <v>7762</v>
      </c>
      <c r="N48" s="3342"/>
      <c r="O48" s="3342"/>
    </row>
    <row r="49" spans="1:35" ht="25.5" customHeight="1">
      <c r="A49" s="2152" t="s">
        <v>1341</v>
      </c>
      <c r="B49" s="3256" t="s">
        <v>1342</v>
      </c>
      <c r="C49" s="3256"/>
      <c r="D49" s="1478">
        <v>0</v>
      </c>
      <c r="E49" s="316" t="s">
        <v>1343</v>
      </c>
      <c r="F49" s="2232" t="s">
        <v>28</v>
      </c>
      <c r="G49" s="3326"/>
      <c r="H49" s="2134" t="s">
        <v>2134</v>
      </c>
      <c r="I49" s="2135"/>
      <c r="J49" s="2309">
        <v>4</v>
      </c>
      <c r="K49" s="3320" t="str">
        <f>IF(项目基本情况!E8="房地产抵押价值","房地产抵押价值","抵押担保权已注销时的房地产抵押价值")</f>
        <v>房地产抵押价值</v>
      </c>
      <c r="L49" s="3320"/>
      <c r="M49" s="3342">
        <f ca="1">IF(项目基本情况!E8="房地产抵押价值",H107,H109)</f>
        <v>7762</v>
      </c>
      <c r="N49" s="3342"/>
      <c r="O49" s="3342"/>
    </row>
    <row r="50" spans="1:35" ht="25.5" customHeight="1">
      <c r="A50" s="2337"/>
      <c r="B50" s="3256" t="s">
        <v>1344</v>
      </c>
      <c r="C50" s="3256"/>
      <c r="D50" s="2189"/>
      <c r="E50" s="323"/>
      <c r="F50" s="2232"/>
      <c r="G50" s="3327"/>
      <c r="H50" s="2136" t="s">
        <v>2135</v>
      </c>
      <c r="I50" s="2135"/>
      <c r="J50" s="3339" t="s">
        <v>1345</v>
      </c>
      <c r="K50" s="3339"/>
      <c r="L50" s="3339"/>
      <c r="M50" s="3339"/>
      <c r="N50" s="3339"/>
      <c r="O50" s="3339"/>
    </row>
    <row r="51" spans="1:35" ht="20.5" customHeight="1">
      <c r="A51" s="2338"/>
      <c r="B51" s="3256" t="s">
        <v>1346</v>
      </c>
      <c r="C51" s="3256"/>
      <c r="D51" s="1024"/>
      <c r="E51" s="319"/>
      <c r="F51" s="2232"/>
      <c r="G51" s="3328"/>
      <c r="H51" s="2136" t="s">
        <v>2136</v>
      </c>
      <c r="I51" s="2135"/>
      <c r="J51" s="2310" t="s">
        <v>1347</v>
      </c>
      <c r="K51" s="3320" t="s">
        <v>1348</v>
      </c>
      <c r="L51" s="3320"/>
      <c r="M51" s="2310" t="s">
        <v>1349</v>
      </c>
      <c r="N51" s="2310" t="s">
        <v>1350</v>
      </c>
      <c r="O51" s="2310" t="s">
        <v>1351</v>
      </c>
    </row>
    <row r="52" spans="1:35" ht="24" customHeight="1">
      <c r="A52" s="2153" t="s">
        <v>1352</v>
      </c>
      <c r="B52" s="3256" t="s">
        <v>1353</v>
      </c>
      <c r="C52" s="3256"/>
      <c r="D52" s="1024">
        <f ca="1">ROUND(D45*'数据-取费表'!B41/(1+'数据-取费表'!C42),0)</f>
        <v>414</v>
      </c>
      <c r="E52" s="1256" t="s">
        <v>1354</v>
      </c>
      <c r="F52" s="2339">
        <f>'数据-取费表'!B41</f>
        <v>5.6000000000000001E-2</v>
      </c>
      <c r="G52" s="2340"/>
      <c r="H52" s="2330"/>
      <c r="I52" s="1669"/>
      <c r="J52" s="2309">
        <v>1</v>
      </c>
      <c r="K52" s="3321" t="s">
        <v>1355</v>
      </c>
      <c r="L52" s="3321"/>
      <c r="M52" s="2311" t="b">
        <f>D48</f>
        <v>0</v>
      </c>
      <c r="N52" s="2309" t="str">
        <f>E48</f>
        <v>销售额×税（费）率</v>
      </c>
      <c r="O52" s="2312">
        <f>F48</f>
        <v>5.6000000000000001E-2</v>
      </c>
    </row>
    <row r="53" spans="1:35" ht="12" customHeight="1">
      <c r="A53" s="2153" t="s">
        <v>1356</v>
      </c>
      <c r="B53" s="3282" t="s">
        <v>2291</v>
      </c>
      <c r="C53" s="3283"/>
      <c r="D53" s="1024">
        <f ca="1">ROUND(D45*'数据-取费表'!B41/(1+'数据-取费表'!C42),0)</f>
        <v>414</v>
      </c>
      <c r="E53" s="1256" t="s">
        <v>1354</v>
      </c>
      <c r="F53" s="2339">
        <f>'数据-取费表'!B41</f>
        <v>5.6000000000000001E-2</v>
      </c>
      <c r="G53" s="2340"/>
      <c r="H53" s="2330"/>
      <c r="I53" s="1669"/>
      <c r="J53" s="2309">
        <v>2</v>
      </c>
      <c r="K53" s="3321" t="s">
        <v>1357</v>
      </c>
      <c r="L53" s="3321"/>
      <c r="M53" s="2311">
        <f t="shared" ref="M53:O54" ca="1" si="0">D55</f>
        <v>4</v>
      </c>
      <c r="N53" s="2309" t="str">
        <f t="shared" si="0"/>
        <v>销售额×税（费）率</v>
      </c>
      <c r="O53" s="2312" t="str">
        <f t="shared" si="0"/>
        <v>免征</v>
      </c>
    </row>
    <row r="54" spans="1:35" ht="12" customHeight="1">
      <c r="A54" s="2153" t="s">
        <v>1358</v>
      </c>
      <c r="B54" s="3282" t="s">
        <v>2292</v>
      </c>
      <c r="C54" s="3283"/>
      <c r="D54" s="1024">
        <f ca="1">C68</f>
        <v>414</v>
      </c>
      <c r="E54" s="319" t="s">
        <v>1359</v>
      </c>
      <c r="F54" s="2339">
        <f>'数据-取费表'!B41</f>
        <v>5.6000000000000001E-2</v>
      </c>
      <c r="G54" s="2340"/>
      <c r="H54" s="2341"/>
      <c r="I54" s="1669"/>
      <c r="J54" s="2309">
        <v>3</v>
      </c>
      <c r="K54" s="3321" t="s">
        <v>1360</v>
      </c>
      <c r="L54" s="3321"/>
      <c r="M54" s="2311">
        <f t="shared" ca="1" si="0"/>
        <v>4393</v>
      </c>
      <c r="N54" s="2309" t="str">
        <f t="shared" si="0"/>
        <v>增值额×税（费）率</v>
      </c>
      <c r="O54" s="2313" t="str">
        <f t="shared" si="0"/>
        <v>免征</v>
      </c>
    </row>
    <row r="55" spans="1:35" ht="24" customHeight="1">
      <c r="A55" s="3271" t="s">
        <v>1361</v>
      </c>
      <c r="B55" s="3272"/>
      <c r="C55" s="3272"/>
      <c r="D55" s="12">
        <f ca="1">IF(H55="个人住宅",0,ROUND(D45*I55,0))</f>
        <v>4</v>
      </c>
      <c r="E55" s="1256" t="s">
        <v>1362</v>
      </c>
      <c r="F55" s="2339" t="str">
        <f>IF(H55="正常",I55,"免征")</f>
        <v>免征</v>
      </c>
      <c r="G55" s="2340"/>
      <c r="H55" s="2336"/>
      <c r="I55" s="157">
        <f>'数据-取费表'!B49</f>
        <v>5.0000000000000001E-4</v>
      </c>
      <c r="J55" s="2309">
        <f>IF(H59="非个人房产","",4)</f>
        <v>4</v>
      </c>
      <c r="K55" s="3321" t="str">
        <f>IF(H59="非个人房产","——","个人所得税")</f>
        <v>个人所得税</v>
      </c>
      <c r="L55" s="3321"/>
      <c r="M55" s="2314">
        <f ca="1">D59</f>
        <v>74</v>
      </c>
      <c r="N55" s="1883" t="str">
        <f>E59</f>
        <v>差额计税</v>
      </c>
      <c r="O55" s="2315">
        <f>F59</f>
        <v>0.01</v>
      </c>
    </row>
    <row r="56" spans="1:35" ht="26">
      <c r="A56" s="3271" t="s">
        <v>1363</v>
      </c>
      <c r="B56" s="3272"/>
      <c r="C56" s="3272"/>
      <c r="D56" s="12">
        <f ca="1">IF(H56="个人住宅",D57,D58)</f>
        <v>4393</v>
      </c>
      <c r="E56" s="1256" t="s">
        <v>1364</v>
      </c>
      <c r="F56" s="2339" t="str">
        <f>IF(H56="正常",F58,"免征")</f>
        <v>免征</v>
      </c>
      <c r="G56" s="2342" t="s">
        <v>1365</v>
      </c>
      <c r="H56" s="2343"/>
      <c r="I56" s="1670"/>
      <c r="J56" s="2309" t="str">
        <f>IF(项目基本情况!K6="上海银行",IF(J55="",4,J55+1),"")</f>
        <v/>
      </c>
      <c r="K56" s="3344" t="str">
        <f>IF(项目基本情况!K6="上海银行","其他处置费用","")</f>
        <v/>
      </c>
      <c r="L56" s="3345"/>
      <c r="M56" s="2311" t="str">
        <f>IF(项目基本情况!K6="上海银行",M69,"")</f>
        <v/>
      </c>
      <c r="N56" s="3344" t="str">
        <f>IF(项目基本情况!K6="上海银行","包含处置中涉及的律师、诉讼、拍卖、评估等费用","")</f>
        <v/>
      </c>
      <c r="O56" s="3347"/>
    </row>
    <row r="57" spans="1:35" ht="13">
      <c r="A57" s="2153" t="s">
        <v>1341</v>
      </c>
      <c r="B57" s="3282" t="s">
        <v>1366</v>
      </c>
      <c r="C57" s="3283"/>
      <c r="D57" s="1478">
        <v>0</v>
      </c>
      <c r="E57" s="316" t="s">
        <v>1343</v>
      </c>
      <c r="F57" s="294"/>
      <c r="G57" s="2340"/>
      <c r="H57" s="2344"/>
      <c r="I57" s="1670"/>
      <c r="J57" s="3321">
        <f>IF(AND(J55="",J56=""),4,IF(项目基本情况!K6="上海银行",结果表!J56+1,结果表!J55+1))</f>
        <v>5</v>
      </c>
      <c r="K57" s="3321" t="s">
        <v>1367</v>
      </c>
      <c r="L57" s="2316" t="s">
        <v>1368</v>
      </c>
      <c r="M57" s="2317"/>
      <c r="N57" s="2318">
        <f ca="1">SUMIF(M52:M56,"&lt;9e307")</f>
        <v>4471</v>
      </c>
      <c r="O57" s="2319"/>
      <c r="P57" s="2463">
        <f ca="1">N57/M49</f>
        <v>0.57601133728420506</v>
      </c>
    </row>
    <row r="58" spans="1:35" ht="26">
      <c r="A58" s="2153" t="s">
        <v>1352</v>
      </c>
      <c r="B58" s="3282" t="s">
        <v>1369</v>
      </c>
      <c r="C58" s="3256"/>
      <c r="D58" s="12">
        <f ca="1">IF(H58="转让取得",C81,C97)</f>
        <v>4393</v>
      </c>
      <c r="E58" s="1256" t="s">
        <v>1364</v>
      </c>
      <c r="F58" s="294" t="s">
        <v>28</v>
      </c>
      <c r="G58" s="2340"/>
      <c r="H58" s="2343"/>
      <c r="I58" s="1670"/>
      <c r="J58" s="3321"/>
      <c r="K58" s="3321"/>
      <c r="L58" s="2316" t="s">
        <v>1370</v>
      </c>
      <c r="M58" s="2320"/>
      <c r="N58" s="2321" t="str">
        <f ca="1">NUMBERSTRING(INT(N57*10000),2)&amp;"元整"</f>
        <v>肆仟肆佰柒拾壹万元整</v>
      </c>
      <c r="O58" s="2322"/>
    </row>
    <row r="59" spans="1:35" ht="26.5" thickBot="1">
      <c r="A59" s="3324" t="s">
        <v>1371</v>
      </c>
      <c r="B59" s="3325"/>
      <c r="C59" s="3325"/>
      <c r="D59" s="2345">
        <f ca="1">IF(H59="非个人房产","——",IF(H59="个人住宅（满五唯一有凭证）",0,IF(H59="个人其他（无凭证）",ROUND(D45/(1+'数据-取费表'!C42)*F59,0),ROUND(C67*F59,0))))</f>
        <v>74</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2">
        <f>J57+1</f>
        <v>6</v>
      </c>
      <c r="K59" s="3321" t="s">
        <v>1372</v>
      </c>
      <c r="L59" s="2309" t="s">
        <v>1368</v>
      </c>
      <c r="M59" s="2323"/>
      <c r="N59" s="2324">
        <f ca="1">M49-N57</f>
        <v>3291</v>
      </c>
      <c r="O59" s="2325"/>
    </row>
    <row r="60" spans="1:35" ht="12" customHeight="1">
      <c r="A60" s="1671"/>
      <c r="B60" s="646"/>
      <c r="C60" s="646"/>
      <c r="D60" s="646"/>
      <c r="E60" s="1466"/>
      <c r="F60" s="1670"/>
      <c r="G60" s="1670"/>
      <c r="H60" s="151"/>
      <c r="I60" s="121"/>
      <c r="J60" s="3323"/>
      <c r="K60" s="3321"/>
      <c r="L60" s="2316" t="s">
        <v>1370</v>
      </c>
      <c r="M60" s="2320"/>
      <c r="N60" s="2321" t="str">
        <f ca="1">NUMBERSTRING(INT(N59*10000),2)&amp;"元整"</f>
        <v>叁仟贰佰玖拾壹万元整</v>
      </c>
      <c r="O60" s="2322"/>
    </row>
    <row r="61" spans="1:35" ht="13.5" thickBot="1">
      <c r="A61" s="3269" t="s">
        <v>1373</v>
      </c>
      <c r="B61" s="3269"/>
      <c r="C61" s="3269"/>
      <c r="D61" s="3269"/>
      <c r="E61" s="3269"/>
      <c r="F61" s="1670"/>
      <c r="G61" s="1670"/>
      <c r="H61" s="151"/>
      <c r="I61" s="121"/>
      <c r="J61" s="2309">
        <f>J59+1</f>
        <v>7</v>
      </c>
      <c r="K61" s="3321" t="s">
        <v>1374</v>
      </c>
      <c r="L61" s="3321"/>
      <c r="M61" s="2326"/>
      <c r="N61" s="2327">
        <f ca="1">ROUND(N59*10000/'数据-汇总表'!E3,0)</f>
        <v>2001</v>
      </c>
      <c r="O61" s="2328"/>
    </row>
    <row r="62" spans="1:35" ht="13">
      <c r="A62" s="3287" t="s">
        <v>1375</v>
      </c>
      <c r="B62" s="3288"/>
      <c r="C62" s="1865"/>
      <c r="D62" s="1865" t="s">
        <v>1376</v>
      </c>
      <c r="E62" s="158" t="s">
        <v>1377</v>
      </c>
      <c r="F62" s="1670"/>
      <c r="G62" s="1670"/>
      <c r="H62" s="151"/>
      <c r="I62" s="121"/>
    </row>
    <row r="63" spans="1:35" ht="13">
      <c r="A63" s="165" t="s">
        <v>330</v>
      </c>
      <c r="B63" s="159" t="s">
        <v>1378</v>
      </c>
      <c r="C63" s="2349">
        <f ca="1">ROUND((C64+C65)/(1+'数据-取费表'!C42),0)</f>
        <v>7392</v>
      </c>
      <c r="D63" s="159"/>
      <c r="E63" s="160"/>
      <c r="F63" s="1670"/>
      <c r="G63" s="1670"/>
      <c r="H63" s="151"/>
      <c r="I63" s="121"/>
      <c r="J63" s="3346" t="s">
        <v>1379</v>
      </c>
      <c r="K63" s="1245" t="s">
        <v>1380</v>
      </c>
      <c r="L63" s="1245">
        <f ca="1">IF(M49&gt;10000,M49*0.5%,IF(AND(M49&gt;1000,M49&lt;=10000),M49*1%,IF(AND(M49&gt;100,M49&lt;=1000),M49*3%,IF(AND(M49&gt;10,M49&lt;=100),M49*5%,M49*8%))))</f>
        <v>77.62</v>
      </c>
      <c r="M63" s="294">
        <f ca="1">ROUND(L63,1)</f>
        <v>77.599999999999994</v>
      </c>
      <c r="N63" s="2329"/>
      <c r="Z63" s="1623"/>
      <c r="AI63" s="1561"/>
    </row>
    <row r="64" spans="1:35" ht="14.25" customHeight="1">
      <c r="A64" s="161" t="s">
        <v>325</v>
      </c>
      <c r="B64" s="162" t="s">
        <v>1381</v>
      </c>
      <c r="C64" s="2350">
        <f ca="1">D45</f>
        <v>7762</v>
      </c>
      <c r="D64" s="162" t="s">
        <v>26</v>
      </c>
      <c r="E64" s="164"/>
      <c r="F64" s="1670"/>
      <c r="G64" s="1670"/>
      <c r="H64" s="151"/>
      <c r="I64" s="121"/>
      <c r="J64" s="3346"/>
      <c r="K64" s="1245" t="s">
        <v>1382</v>
      </c>
      <c r="L64" s="1245">
        <f ca="1">IF(M49&gt;2000,M49*0.5%,IF(AND(M49&gt;1000,M49&lt;=2000),M49*0.6%,IF(AND(M49&gt;500,M49&lt;=1000),M49*0.7%,IF(AND(M49&gt;200,M49&lt;=500),M49*0.8%,IF(AND(M49&gt;100,M49&lt;=200),M49*0.9%,IF(AND(M49&gt;50,M49&lt;=100),M49*1%,IF(AND(M49&gt;20,M49&lt;=50),M49*1.5%,IF(AND(M49&gt;10,M49&lt;=20),M49*2%,IF(AND(M49&gt;1,M49&lt;=10),M49*2.5%)))))))))</f>
        <v>38.81</v>
      </c>
      <c r="M64" s="294">
        <f t="shared" ref="M64:M65" ca="1" si="1">ROUND(L64,1)</f>
        <v>38.799999999999997</v>
      </c>
      <c r="N64" s="2330" t="s">
        <v>1383</v>
      </c>
      <c r="Z64" s="1623"/>
      <c r="AI64" s="1561"/>
    </row>
    <row r="65" spans="1:35" ht="14.25" customHeight="1">
      <c r="A65" s="161" t="s">
        <v>326</v>
      </c>
      <c r="B65" s="162" t="s">
        <v>1384</v>
      </c>
      <c r="C65" s="2351"/>
      <c r="D65" s="162"/>
      <c r="E65" s="164"/>
      <c r="F65" s="1670"/>
      <c r="G65" s="1670"/>
      <c r="H65" s="151"/>
      <c r="I65" s="121"/>
      <c r="J65" s="3346"/>
      <c r="K65" s="1245" t="s">
        <v>1385</v>
      </c>
      <c r="L65" s="1245">
        <f ca="1">IF(M49&gt;1000,M49*0.1%,IF(AND(M49&gt;500,M49&lt;=1000),M49*0.5%,IF(AND(M49&gt;50,M49&lt;=500),M49*1%,IF(AND(M49&gt;1,M49&lt;=50),M49*1.5%))))</f>
        <v>7.7620000000000005</v>
      </c>
      <c r="M65" s="294">
        <f t="shared" ca="1" si="1"/>
        <v>7.8</v>
      </c>
      <c r="N65" s="2330" t="s">
        <v>1383</v>
      </c>
      <c r="Z65" s="1623"/>
      <c r="AI65" s="1561"/>
    </row>
    <row r="66" spans="1:35" ht="14.25" customHeight="1">
      <c r="A66" s="165" t="s">
        <v>327</v>
      </c>
      <c r="B66" s="166" t="s">
        <v>1386</v>
      </c>
      <c r="C66" s="2352"/>
      <c r="D66" s="166" t="s">
        <v>26</v>
      </c>
      <c r="E66" s="1251" t="s">
        <v>671</v>
      </c>
      <c r="F66" s="1670"/>
      <c r="G66" s="1670"/>
      <c r="H66" s="151"/>
      <c r="I66" s="121"/>
      <c r="J66" s="3346"/>
      <c r="K66" s="1245" t="s">
        <v>1387</v>
      </c>
      <c r="L66" s="1245">
        <f ca="1">M49*0.5%</f>
        <v>38.81</v>
      </c>
      <c r="M66" s="294">
        <f ca="1">IF(L66&gt;0.5,0.5,ROUND(L66,0))</f>
        <v>0.5</v>
      </c>
      <c r="N66" s="2330" t="s">
        <v>1388</v>
      </c>
      <c r="Z66" s="1623"/>
      <c r="AI66" s="1561"/>
    </row>
    <row r="67" spans="1:35" ht="14.25" customHeight="1">
      <c r="A67" s="165" t="s">
        <v>328</v>
      </c>
      <c r="B67" s="166" t="s">
        <v>1389</v>
      </c>
      <c r="C67" s="2353">
        <f ca="1">C63-C66</f>
        <v>7392</v>
      </c>
      <c r="D67" s="162" t="s">
        <v>26</v>
      </c>
      <c r="E67" s="164"/>
      <c r="F67" s="1670"/>
      <c r="G67" s="1670"/>
      <c r="H67" s="151"/>
      <c r="I67" s="121"/>
      <c r="J67" s="3346"/>
      <c r="K67" s="1245" t="s">
        <v>1390</v>
      </c>
      <c r="L67" s="1245">
        <f ca="1">IF(M49&gt;=10000,(8.25+(M49-10000)*0.01%),IF(AND(M49&gt;=8000,M49&lt;10000),(7.85+(M49-8000)*0.02%),IF(AND(M49&gt;=5000,M49&lt;8000),(6.65+(M49-5000)*0.04%),IF(AND(M49&gt;=2000,M49&lt;5000),(4.25+(PM49-2000)*0.08%),IF(AND(M49&gt;=1000,M49&lt;2000),(2.75+(M49-1000)*0.15%),IF(AND(M49&gt;=100,M49&lt;1000),(0.5+(M49-100)*0.25%),IF(AND(M49&gt;0,M49&lt;100),M49*0.5%)))))))</f>
        <v>7.7548000000000004</v>
      </c>
      <c r="M67" s="294">
        <f ca="1">ROUND(L67*0.9,1)</f>
        <v>7</v>
      </c>
      <c r="N67" s="2329"/>
      <c r="Z67" s="1623"/>
      <c r="AI67" s="1561"/>
    </row>
    <row r="68" spans="1:35" ht="14.25" customHeight="1" thickBot="1">
      <c r="A68" s="168" t="s">
        <v>329</v>
      </c>
      <c r="B68" s="169" t="s">
        <v>1391</v>
      </c>
      <c r="C68" s="2354">
        <f ca="1">IF(C67&lt;=0,0,ROUND(C67*D68,0))</f>
        <v>414</v>
      </c>
      <c r="D68" s="2355">
        <f>'数据-取费表'!B41</f>
        <v>5.6000000000000001E-2</v>
      </c>
      <c r="E68" s="170"/>
      <c r="F68" s="1670"/>
      <c r="G68" s="1670"/>
      <c r="H68" s="151"/>
      <c r="I68" s="121"/>
      <c r="J68" s="3346"/>
      <c r="K68" s="1245" t="s">
        <v>1392</v>
      </c>
      <c r="L68" s="1245">
        <f ca="1">IF(M49&gt;10000,M49*0.5%,IF(AND(M49&gt;5000,M49&lt;=10000),M49*1%,IF(AND(M49&gt;1000,M49&lt;=5000),M49*2%,IF(AND(M49&gt;200,M49&lt;=1000),M49*3%,M49*5%))))</f>
        <v>77.62</v>
      </c>
      <c r="M68" s="294">
        <f ca="1">ROUND(L68,1)</f>
        <v>77.599999999999994</v>
      </c>
      <c r="N68" s="2329"/>
      <c r="Z68" s="1623"/>
      <c r="AI68" s="1561"/>
    </row>
    <row r="69" spans="1:35" ht="16.5" customHeight="1">
      <c r="A69" s="1672"/>
      <c r="B69" s="1673"/>
      <c r="C69" s="1674"/>
      <c r="D69" s="1675"/>
      <c r="E69" s="1676"/>
      <c r="F69" s="1466"/>
      <c r="G69" s="1466"/>
      <c r="H69" s="1467"/>
      <c r="I69" s="646"/>
      <c r="J69" s="3346"/>
      <c r="K69" s="1245" t="s">
        <v>1393</v>
      </c>
      <c r="L69" s="1245"/>
      <c r="M69" s="294">
        <f ca="1">ROUND(SUM(M63:M68),0)</f>
        <v>209</v>
      </c>
      <c r="N69" s="2331">
        <f ca="1">M69/M49</f>
        <v>2.6926049987116722E-2</v>
      </c>
      <c r="Z69" s="1623"/>
      <c r="AI69" s="1561"/>
    </row>
    <row r="70" spans="1:35" s="642" customFormat="1" ht="14.5" thickBot="1">
      <c r="A70" s="3308" t="s">
        <v>1394</v>
      </c>
      <c r="B70" s="3309"/>
      <c r="C70" s="3309"/>
      <c r="D70" s="3309"/>
      <c r="E70" s="3309"/>
      <c r="F70" s="3309"/>
      <c r="G70" s="3309"/>
      <c r="H70" s="330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87" t="s">
        <v>1375</v>
      </c>
      <c r="B71" s="328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7392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44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2" t="s">
        <v>1402</v>
      </c>
      <c r="F76" s="3256"/>
      <c r="G76" s="3256"/>
      <c r="H76" s="330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44</v>
      </c>
      <c r="D78" s="2362">
        <f>'数据-取费表'!B43</f>
        <v>6.000000000000001E-3</v>
      </c>
      <c r="E78" s="3266" t="s">
        <v>1406</v>
      </c>
      <c r="F78" s="3267"/>
      <c r="G78" s="3267"/>
      <c r="H78" s="327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7348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167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4393</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08" t="s">
        <v>1410</v>
      </c>
      <c r="B83" s="3309"/>
      <c r="C83" s="3309"/>
      <c r="D83" s="3309"/>
      <c r="E83" s="3309"/>
      <c r="F83" s="3309"/>
      <c r="G83" s="3309"/>
      <c r="H83" s="330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87" t="s">
        <v>1375</v>
      </c>
      <c r="B84" s="328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7392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44</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348" t="s">
        <v>2129</v>
      </c>
      <c r="H90" s="334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6" t="s">
        <v>1419</v>
      </c>
      <c r="F91" s="3267"/>
      <c r="G91" s="326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6" t="s">
        <v>1422</v>
      </c>
      <c r="F92" s="3267"/>
      <c r="G92" s="3267"/>
      <c r="H92" s="3276"/>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44</v>
      </c>
      <c r="D93" s="2362">
        <f>'数据-取费表'!B43</f>
        <v>6.000000000000001E-3</v>
      </c>
      <c r="E93" s="3266" t="s">
        <v>1406</v>
      </c>
      <c r="F93" s="3267"/>
      <c r="G93" s="3267"/>
      <c r="H93" s="327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7" t="s">
        <v>1426</v>
      </c>
      <c r="F94" s="3278"/>
      <c r="G94" s="3278"/>
      <c r="H94" s="327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7348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167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4393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0" t="s">
        <v>1428</v>
      </c>
      <c r="B100" s="3251"/>
      <c r="C100" s="3251"/>
      <c r="D100" s="3268"/>
      <c r="E100" s="3251" t="s">
        <v>1429</v>
      </c>
      <c r="F100" s="3251"/>
      <c r="G100" s="3251"/>
      <c r="H100" s="3268"/>
      <c r="I100" s="121"/>
    </row>
    <row r="101" spans="1:35" ht="18.75" customHeight="1">
      <c r="A101" s="3329" t="s">
        <v>1430</v>
      </c>
      <c r="B101" s="3330"/>
      <c r="C101" s="2370" t="str">
        <f>C4</f>
        <v>成本法</v>
      </c>
      <c r="D101" s="2371" t="str">
        <f>D4</f>
        <v>收益法</v>
      </c>
      <c r="E101" s="3343" t="s">
        <v>1431</v>
      </c>
      <c r="F101" s="3300"/>
      <c r="G101" s="1687" t="s">
        <v>1432</v>
      </c>
      <c r="H101" s="2380">
        <f ca="1">H118</f>
        <v>7762</v>
      </c>
      <c r="I101" s="121"/>
    </row>
    <row r="102" spans="1:35" ht="18.75" customHeight="1">
      <c r="A102" s="3302" t="s">
        <v>1433</v>
      </c>
      <c r="B102" s="2369" t="s">
        <v>1432</v>
      </c>
      <c r="C102" s="2370">
        <f ca="1">IF(D32="楼面单价",ROUND(C19,0),C19)</f>
        <v>10046</v>
      </c>
      <c r="D102" s="2371">
        <f ca="1">IF(D32="楼面单价",ROUND(D19,0),D19)</f>
        <v>6239</v>
      </c>
      <c r="E102" s="3343"/>
      <c r="F102" s="3300"/>
      <c r="G102" s="1687" t="s">
        <v>1434</v>
      </c>
      <c r="H102" s="2340">
        <f ca="1">I118</f>
        <v>4718</v>
      </c>
      <c r="I102" s="121"/>
    </row>
    <row r="103" spans="1:35" ht="42.75" customHeight="1">
      <c r="A103" s="3302"/>
      <c r="B103" s="2369" t="s">
        <v>1434</v>
      </c>
      <c r="C103" s="2372">
        <f ca="1">C20</f>
        <v>6107</v>
      </c>
      <c r="D103" s="2373">
        <f ca="1">D20</f>
        <v>3793</v>
      </c>
      <c r="E103" s="3337" t="s">
        <v>1435</v>
      </c>
      <c r="F103" s="3338"/>
      <c r="G103" s="1688" t="s">
        <v>1436</v>
      </c>
      <c r="H103" s="2380">
        <f>IF(D36="正常操作",H104+H105+H106,H105+H106)</f>
        <v>0</v>
      </c>
      <c r="I103" s="121"/>
    </row>
    <row r="104" spans="1:35" ht="18.75" customHeight="1">
      <c r="A104" s="3302" t="s">
        <v>1437</v>
      </c>
      <c r="B104" s="2374" t="s">
        <v>1432</v>
      </c>
      <c r="C104" s="2375">
        <f ca="1">H118</f>
        <v>7762</v>
      </c>
      <c r="D104" s="2376"/>
      <c r="E104" s="1555" t="s">
        <v>1438</v>
      </c>
      <c r="F104" s="1548"/>
      <c r="G104" s="1688" t="s">
        <v>1436</v>
      </c>
      <c r="H104" s="2381">
        <f>IF(D36="同一抵押权人同一抵押物续贷",C36&amp;"（续贷，未扣减，详见特别提示）",C36)</f>
        <v>0</v>
      </c>
      <c r="I104" s="121"/>
    </row>
    <row r="105" spans="1:35" ht="18.75" customHeight="1" thickBot="1">
      <c r="A105" s="3303"/>
      <c r="B105" s="2377" t="s">
        <v>1434</v>
      </c>
      <c r="C105" s="2378">
        <f ca="1">I118</f>
        <v>4718</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9" t="str">
        <f>IF(项目基本情况!E8="已注销","——","3.房地产抵押价值")</f>
        <v>3.房地产抵押价值</v>
      </c>
      <c r="F107" s="3300"/>
      <c r="G107" s="1687" t="s">
        <v>1432</v>
      </c>
      <c r="H107" s="2380">
        <f ca="1">IF(E107="——","——",H101-H103)</f>
        <v>7762</v>
      </c>
      <c r="I107" s="121"/>
    </row>
    <row r="108" spans="1:35" ht="18.75" customHeight="1">
      <c r="A108" s="121"/>
      <c r="B108" s="121"/>
      <c r="C108" s="121"/>
      <c r="D108" s="121"/>
      <c r="E108" s="3299"/>
      <c r="F108" s="3300"/>
      <c r="G108" s="1687" t="s">
        <v>1434</v>
      </c>
      <c r="H108" s="2340">
        <f ca="1">IF(H107=H101,H102,ROUND(H107*10000/'数据-汇总表'!E3,0))</f>
        <v>4718</v>
      </c>
      <c r="I108" s="121"/>
    </row>
    <row r="109" spans="1:35" ht="18.75" customHeight="1">
      <c r="A109" s="121"/>
      <c r="B109" s="121"/>
      <c r="C109" s="121"/>
      <c r="D109" s="121"/>
      <c r="E109" s="3299" t="str">
        <f>IF(项目基本情况!E8="已注销及未注销","4.抵押担保权已注销时的房地产抵押价值",IF(项目基本情况!E8="已注销","3.抵押担保权已注销时的房地产抵押价值","——"))</f>
        <v>——</v>
      </c>
      <c r="F109" s="3300"/>
      <c r="G109" s="1687" t="s">
        <v>1432</v>
      </c>
      <c r="H109" s="2383" t="str">
        <f>IF(E109="——","——",H101-H105-H106)</f>
        <v>——</v>
      </c>
      <c r="I109" s="121"/>
    </row>
    <row r="110" spans="1:35" ht="18.75" customHeight="1">
      <c r="A110" s="121"/>
      <c r="B110" s="121"/>
      <c r="C110" s="121"/>
      <c r="D110" s="121"/>
      <c r="E110" s="3299"/>
      <c r="F110" s="3300"/>
      <c r="G110" s="1687" t="s">
        <v>1434</v>
      </c>
      <c r="H110" s="2340" t="str">
        <f>IF(H109="——","——",ROUND(H109*10000/'数据-汇总表'!E3,0))</f>
        <v>——</v>
      </c>
      <c r="I110" s="121"/>
    </row>
    <row r="111" spans="1:35" ht="18.75" customHeight="1">
      <c r="A111" s="121"/>
      <c r="B111" s="121"/>
      <c r="C111" s="121"/>
      <c r="D111" s="121"/>
      <c r="E111" s="3331" t="str">
        <f>IF(项目基本情况!E9="抵押净值",IF(OR(项目基本情况!E8="已注销",项目基本情况!E8="房地产抵押价值"),"4.抵押净值","5.抵押净值"),"——")</f>
        <v>——</v>
      </c>
      <c r="F111" s="3301"/>
      <c r="G111" s="1687" t="s">
        <v>1432</v>
      </c>
      <c r="H111" s="2380" t="str">
        <f>IF(E111="——","——",N59)</f>
        <v>——</v>
      </c>
      <c r="I111" s="121"/>
    </row>
    <row r="112" spans="1:35" ht="18.75" customHeight="1" thickBot="1">
      <c r="A112" s="121"/>
      <c r="B112" s="121"/>
      <c r="C112" s="121"/>
      <c r="D112" s="121"/>
      <c r="E112" s="3332"/>
      <c r="F112" s="3333"/>
      <c r="G112" s="1690" t="s">
        <v>1434</v>
      </c>
      <c r="H112" s="2384" t="str">
        <f>IF(E111="——","——",N61)</f>
        <v>——</v>
      </c>
      <c r="I112" s="121"/>
    </row>
    <row r="113" spans="1:27" ht="18.75" customHeight="1">
      <c r="A113" s="121"/>
      <c r="B113" s="121"/>
      <c r="C113" s="121"/>
      <c r="D113" s="121"/>
      <c r="E113" s="3304" t="s">
        <v>1440</v>
      </c>
      <c r="F113" s="3304"/>
      <c r="G113" s="3304"/>
      <c r="H113" s="3304"/>
      <c r="I113" s="121"/>
    </row>
    <row r="114" spans="1:27" ht="3.75" customHeight="1">
      <c r="A114" s="646"/>
      <c r="B114" s="646"/>
      <c r="C114" s="646"/>
      <c r="D114" s="646"/>
      <c r="E114" s="1671"/>
      <c r="F114" s="1671"/>
      <c r="G114" s="1671"/>
      <c r="H114" s="1671"/>
      <c r="I114" s="646"/>
    </row>
    <row r="115" spans="1:27" ht="18.75" customHeight="1">
      <c r="A115" s="3314" t="s">
        <v>1442</v>
      </c>
      <c r="B115" s="3315"/>
      <c r="C115" s="3315"/>
      <c r="D115" s="3315"/>
      <c r="E115" s="3315"/>
      <c r="F115" s="3315"/>
      <c r="G115" s="3315"/>
      <c r="H115" s="3315"/>
      <c r="I115" s="3316"/>
    </row>
    <row r="116" spans="1:27" ht="27" customHeight="1">
      <c r="A116" s="3270" t="s">
        <v>1443</v>
      </c>
      <c r="B116" s="3305" t="s">
        <v>1444</v>
      </c>
      <c r="C116" s="3305" t="s">
        <v>1445</v>
      </c>
      <c r="D116" s="3318" t="s">
        <v>1446</v>
      </c>
      <c r="E116" s="3319"/>
      <c r="F116" s="3313" t="s">
        <v>1447</v>
      </c>
      <c r="G116" s="3313"/>
      <c r="H116" s="3270" t="s">
        <v>1448</v>
      </c>
      <c r="I116" s="3270"/>
      <c r="K116" s="684">
        <f ca="1">D118*10000/C118</f>
        <v>1881.6312326505506</v>
      </c>
    </row>
    <row r="117" spans="1:27" ht="18.75" customHeight="1">
      <c r="A117" s="3270"/>
      <c r="B117" s="3306"/>
      <c r="C117" s="3306"/>
      <c r="D117" s="2150" t="s">
        <v>1449</v>
      </c>
      <c r="E117" s="2150" t="s">
        <v>1450</v>
      </c>
      <c r="F117" s="2150" t="s">
        <v>1449</v>
      </c>
      <c r="G117" s="2150" t="s">
        <v>1451</v>
      </c>
      <c r="H117" s="2150" t="s">
        <v>1449</v>
      </c>
      <c r="I117" s="2150" t="s">
        <v>1451</v>
      </c>
    </row>
    <row r="118" spans="1:27" ht="24.75" customHeight="1">
      <c r="A118" s="2385" t="str">
        <f>项目基本情况!S2</f>
        <v>北京市平谷区平谷大街甲16号房地产</v>
      </c>
      <c r="B118" s="2150">
        <f>M18</f>
        <v>16450.849999999999</v>
      </c>
      <c r="C118" s="2150">
        <f>M19</f>
        <v>27183.86</v>
      </c>
      <c r="D118" s="2150">
        <f ca="1">ROUND(IF(D32="总价",C34,E118*B118/10000),0)</f>
        <v>5115</v>
      </c>
      <c r="E118" s="2150">
        <f ca="1">ROUND(IF(C33="自定义",IF(D32="楼面单价",C34,D118*10000/B118),I118-G118),0)</f>
        <v>3109</v>
      </c>
      <c r="F118" s="2150">
        <f ca="1">ROUND(IF(D32="总价",C35,G118*B118/10000),0)</f>
        <v>2647</v>
      </c>
      <c r="G118" s="2150">
        <f ca="1">ROUND(IF(D32="楼面单价",C35,F118*10000/B118),0)</f>
        <v>1609</v>
      </c>
      <c r="H118" s="2150">
        <f ca="1">ROUND(IF(D32="总价",C32,I118*B118/10000),0)</f>
        <v>7762</v>
      </c>
      <c r="I118" s="2150">
        <f ca="1">ROUND(IF(D32="楼面单价",C32,H118*10000/B118),0)</f>
        <v>4718</v>
      </c>
    </row>
    <row r="119" spans="1:27" ht="18.75" customHeight="1">
      <c r="A119" s="3270" t="s">
        <v>1452</v>
      </c>
      <c r="B119" s="3270"/>
      <c r="C119" s="3270"/>
      <c r="D119" s="3310" t="str">
        <f ca="1">NUMBERSTRING(INT(D118*10000),2)&amp;"元整"</f>
        <v>伍仟壹佰壹拾伍万元整</v>
      </c>
      <c r="E119" s="3312"/>
      <c r="F119" s="3310" t="str">
        <f ca="1">NUMBERSTRING(INT(F118*10000),2)&amp;"元整"</f>
        <v>贰仟陆佰肆拾柒万元整</v>
      </c>
      <c r="G119" s="3312"/>
      <c r="H119" s="3310" t="str">
        <f ca="1">NUMBERSTRING(INT(H118*10000),2)&amp;"元整"</f>
        <v>柒仟柒佰陆拾贰万元整</v>
      </c>
      <c r="I119" s="3312"/>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0" t="s">
        <v>1452</v>
      </c>
      <c r="B121" s="3311"/>
      <c r="C121" s="3312"/>
      <c r="D121" s="3310" t="str">
        <f>IF(D120=0,"零元整",NUMBERSTRING(INT(D120*10000),2)&amp;"元整")</f>
        <v>零元整</v>
      </c>
      <c r="E121" s="3311"/>
      <c r="F121" s="3311"/>
      <c r="G121" s="3311"/>
      <c r="H121" s="3311"/>
      <c r="I121" s="3312"/>
      <c r="AA121" s="684"/>
    </row>
    <row r="122" spans="1:27" ht="18.75" customHeight="1">
      <c r="A122" s="3301" t="str">
        <f>IF(项目基本情况!B9="房地产市场价值","",MID(E107,3,LEN(E107)-2))</f>
        <v>房地产抵押价值</v>
      </c>
      <c r="B122" s="3301"/>
      <c r="C122" s="3301"/>
      <c r="D122" s="3334">
        <f ca="1">H107</f>
        <v>7762</v>
      </c>
      <c r="E122" s="3335"/>
      <c r="F122" s="3335"/>
      <c r="G122" s="3335"/>
      <c r="H122" s="3335"/>
      <c r="I122" s="3336"/>
      <c r="AA122" s="684"/>
    </row>
    <row r="123" spans="1:27" ht="18.75" customHeight="1">
      <c r="A123" s="3270" t="s">
        <v>1452</v>
      </c>
      <c r="B123" s="3270"/>
      <c r="C123" s="3270"/>
      <c r="D123" s="3310" t="str">
        <f ca="1">NUMBERSTRING(INT(D122*10000),2)&amp;"元整"</f>
        <v>柒仟柒佰陆拾贰万元整</v>
      </c>
      <c r="E123" s="3311"/>
      <c r="F123" s="3311"/>
      <c r="G123" s="3311"/>
      <c r="H123" s="3311"/>
      <c r="I123" s="3312"/>
      <c r="AA123" s="684"/>
    </row>
    <row r="124" spans="1:27" ht="18.75" customHeight="1">
      <c r="A124" s="3301" t="str">
        <f>IF(项目基本情况!B9="房地产市场价值","",MID(E109,3,LEN(E109)-2))</f>
        <v/>
      </c>
      <c r="B124" s="3301"/>
      <c r="C124" s="3301"/>
      <c r="D124" s="3334" t="str">
        <f>H109</f>
        <v>——</v>
      </c>
      <c r="E124" s="3335"/>
      <c r="F124" s="3335"/>
      <c r="G124" s="3335"/>
      <c r="H124" s="3335"/>
      <c r="I124" s="3336"/>
      <c r="AA124" s="684"/>
    </row>
    <row r="125" spans="1:27" ht="18.75" customHeight="1">
      <c r="A125" s="3270" t="s">
        <v>1452</v>
      </c>
      <c r="B125" s="3270"/>
      <c r="C125" s="3270"/>
      <c r="D125" s="3310" t="e">
        <f>NUMBERSTRING(INT(D124*10000),2)&amp;"元整"</f>
        <v>#VALUE!</v>
      </c>
      <c r="E125" s="3311"/>
      <c r="F125" s="3311"/>
      <c r="G125" s="3311"/>
      <c r="H125" s="3311"/>
      <c r="I125" s="3312"/>
      <c r="AA125" s="684"/>
    </row>
    <row r="126" spans="1:27" ht="18.75" customHeight="1">
      <c r="A126" s="3301" t="str">
        <f>IF(项目基本情况!B9="房地产市场价值","",MID(E111,3,LEN(E111)-2))</f>
        <v/>
      </c>
      <c r="B126" s="3301"/>
      <c r="C126" s="3301"/>
      <c r="D126" s="3334" t="str">
        <f>H111</f>
        <v>——</v>
      </c>
      <c r="E126" s="3335"/>
      <c r="F126" s="3335"/>
      <c r="G126" s="3335"/>
      <c r="H126" s="3335"/>
      <c r="I126" s="3336"/>
      <c r="AA126" s="684"/>
    </row>
    <row r="127" spans="1:27" ht="18.75" customHeight="1">
      <c r="A127" s="3270" t="s">
        <v>1452</v>
      </c>
      <c r="B127" s="3270"/>
      <c r="C127" s="3270"/>
      <c r="D127" s="3310" t="e">
        <f>NUMBERSTRING(INT(D126*10000),2)&amp;"元整"</f>
        <v>#VALUE!</v>
      </c>
      <c r="E127" s="3311"/>
      <c r="F127" s="3311"/>
      <c r="G127" s="3311"/>
      <c r="H127" s="3311"/>
      <c r="I127" s="3312"/>
      <c r="AA127" s="684"/>
    </row>
    <row r="128" spans="1:27" ht="21.75" customHeight="1">
      <c r="A128" s="3317" t="s">
        <v>1453</v>
      </c>
      <c r="B128" s="3317"/>
      <c r="C128" s="3317"/>
      <c r="D128" s="3317"/>
      <c r="E128" s="3317"/>
      <c r="F128" s="3317"/>
      <c r="G128" s="3317"/>
      <c r="H128" s="3317"/>
      <c r="I128" s="331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7" sqref="C7"/>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t="s">
        <v>3</v>
      </c>
      <c r="C1" s="190"/>
      <c r="D1" s="190"/>
      <c r="E1" s="190"/>
      <c r="F1" s="190"/>
      <c r="G1" s="1062">
        <f>MATCH(B1,'数据-取费表'!A6:A16,0)+5</f>
        <v>6</v>
      </c>
    </row>
    <row r="2" spans="1:9" s="192" customFormat="1" ht="18" customHeight="1">
      <c r="A2" s="193" t="s">
        <v>1462</v>
      </c>
      <c r="B2" s="194">
        <f ca="1">IF(D2="——",C52,C52-E2)</f>
        <v>10046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6107</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 ca="1">C6+C7+C8</f>
        <v>5567</v>
      </c>
      <c r="D5" s="203" t="s">
        <v>1469</v>
      </c>
      <c r="E5" s="204" t="s">
        <v>1470</v>
      </c>
      <c r="F5" s="204" t="s">
        <v>1471</v>
      </c>
      <c r="G5" s="205"/>
    </row>
    <row r="6" spans="1:9" s="206" customFormat="1" ht="13.5" customHeight="1">
      <c r="A6" s="732" t="s">
        <v>1472</v>
      </c>
      <c r="B6" s="207" t="s">
        <v>1473</v>
      </c>
      <c r="C6" s="208">
        <f>ROUND('土地比较法-工业'!C42*'土地比较法-工业'!C34/10000,0)</f>
        <v>5274</v>
      </c>
      <c r="D6" s="209"/>
      <c r="E6" s="210"/>
      <c r="F6" s="210"/>
      <c r="G6" s="211"/>
    </row>
    <row r="7" spans="1:9" s="206" customFormat="1" ht="13.5" customHeight="1">
      <c r="A7" s="732" t="s">
        <v>1474</v>
      </c>
      <c r="B7" s="207" t="s">
        <v>1475</v>
      </c>
      <c r="C7" s="212">
        <f>ROUND(C6*F7,0)</f>
        <v>161</v>
      </c>
      <c r="D7" s="212"/>
      <c r="E7" s="210"/>
      <c r="F7" s="213">
        <f>IF(项目基本情况!B8="出让",0,'数据-取费表'!B48+'数据-取费表'!B49)</f>
        <v>3.0499999999999999E-2</v>
      </c>
      <c r="G7" s="211"/>
    </row>
    <row r="8" spans="1:9" s="215" customFormat="1" ht="13">
      <c r="A8" s="732" t="s">
        <v>1476</v>
      </c>
      <c r="B8" s="207" t="s">
        <v>1477</v>
      </c>
      <c r="C8" s="212">
        <f ca="1">IF(G8="已包含在土地购买价格中","0",IF(B1="",'数据-取费表'!B29,IF(G9="全部缴纳",C9+C10,H9)))</f>
        <v>132</v>
      </c>
      <c r="D8" s="214"/>
      <c r="E8" s="212"/>
      <c r="F8" s="213"/>
      <c r="G8" s="1714" t="s">
        <v>3523</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3525</v>
      </c>
      <c r="H9" s="1070"/>
      <c r="I9" s="1716" t="s">
        <v>1479</v>
      </c>
    </row>
    <row r="10" spans="1:9" s="206" customFormat="1" ht="13.5" customHeight="1">
      <c r="A10" s="733" t="s">
        <v>356</v>
      </c>
      <c r="B10" s="216" t="s">
        <v>1480</v>
      </c>
      <c r="C10" s="217">
        <f ca="1">ROUND(D10*E10/10000,0)</f>
        <v>132</v>
      </c>
      <c r="D10" s="795">
        <f ca="1">IF(B1="",'数据-汇总表'!E6,IF(INDIRECT("'数据-取费表'!c"&amp;$G$1)="住宅",INDIRECT("'数据-取费表'!s"&amp;$G$1),INDIRECT("'数据-取费表'!k"&amp;$G$1)+INDIRECT("'数据-取费表'!s"&amp;$G$1)))</f>
        <v>16450.849999999999</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16450.849999999999</v>
      </c>
      <c r="E19" s="203">
        <f>'数据-取费表'!B31</f>
        <v>200</v>
      </c>
      <c r="F19" s="223"/>
      <c r="G19" s="1714" t="s">
        <v>3524</v>
      </c>
    </row>
    <row r="20" spans="1:7" s="206" customFormat="1" ht="13.5" customHeight="1">
      <c r="A20" s="247" t="s">
        <v>1493</v>
      </c>
      <c r="B20" s="202" t="s">
        <v>1494</v>
      </c>
      <c r="C20" s="224">
        <f ca="1">ROUND((C5+C19)*F20,0)</f>
        <v>111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169</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167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2</v>
      </c>
      <c r="D25" s="230"/>
      <c r="E25" s="233"/>
      <c r="F25" s="231"/>
      <c r="G25" s="234" t="s">
        <v>1510</v>
      </c>
    </row>
    <row r="26" spans="1:7" s="206" customFormat="1" ht="13">
      <c r="A26" s="734" t="s">
        <v>350</v>
      </c>
      <c r="B26" s="207" t="s">
        <v>1511</v>
      </c>
      <c r="C26" s="230">
        <f ca="1">ROUND(IF('数据-取费表'!B22&lt;=1,F21*F22*'数据-取费表'!B23/2,F21*(POWER((1+F22),'数据-取费表'!B23/2)-1)),4)</f>
        <v>2.9999999999999997E-4</v>
      </c>
      <c r="D26" s="230"/>
      <c r="E26" s="233"/>
      <c r="F26" s="231"/>
      <c r="G26" s="235"/>
    </row>
    <row r="27" spans="1:7" s="206" customFormat="1" ht="27">
      <c r="A27" s="247" t="s">
        <v>1512</v>
      </c>
      <c r="B27" s="236" t="s">
        <v>1513</v>
      </c>
      <c r="C27" s="237">
        <f ca="1">C28</f>
        <v>284</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284</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6625</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4416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3820</v>
      </c>
      <c r="D34" s="209"/>
      <c r="E34" s="212"/>
      <c r="F34" s="249">
        <f ca="1">IF('数据-取费表'!B24=0,1,IF(B1="",'数据-取费表'!N16,INDIRECT("'数据-取费表'!n"&amp;$G$1)))</f>
        <v>1</v>
      </c>
      <c r="G34" s="211" t="s">
        <v>1526</v>
      </c>
    </row>
    <row r="35" spans="1:7" ht="13.5" customHeight="1">
      <c r="A35" s="734" t="s">
        <v>351</v>
      </c>
      <c r="B35" s="207" t="s">
        <v>1527</v>
      </c>
      <c r="C35" s="212">
        <f ca="1">ROUND(C34*F35,0)</f>
        <v>191</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329</v>
      </c>
      <c r="D37" s="209">
        <f ca="1">D19</f>
        <v>16450.849999999999</v>
      </c>
      <c r="E37" s="241">
        <f>'数据-取费表'!B35</f>
        <v>200</v>
      </c>
      <c r="F37" s="251"/>
      <c r="G37" s="253" t="s">
        <v>1532</v>
      </c>
    </row>
    <row r="38" spans="1:7" ht="13.5" customHeight="1">
      <c r="A38" s="734" t="s">
        <v>354</v>
      </c>
      <c r="B38" s="207" t="s">
        <v>1533</v>
      </c>
      <c r="C38" s="212">
        <f ca="1">ROUND(C34*F38,0)</f>
        <v>76</v>
      </c>
      <c r="D38" s="212"/>
      <c r="E38" s="212"/>
      <c r="F38" s="251">
        <f>'数据-取费表'!B36</f>
        <v>0.02</v>
      </c>
      <c r="G38" s="211" t="s">
        <v>1528</v>
      </c>
    </row>
    <row r="39" spans="1:7" s="206" customFormat="1" ht="13.5" customHeight="1">
      <c r="A39" s="247" t="s">
        <v>1534</v>
      </c>
      <c r="B39" s="202" t="s">
        <v>1535</v>
      </c>
      <c r="C39" s="224">
        <f ca="1">ROUND(C33*F20,0)</f>
        <v>88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67</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66</v>
      </c>
      <c r="D42" s="230"/>
      <c r="E42" s="230"/>
      <c r="F42" s="231"/>
      <c r="G42" s="3350" t="s">
        <v>1544</v>
      </c>
    </row>
    <row r="43" spans="1:7" ht="13.5" customHeight="1">
      <c r="A43" s="734" t="s">
        <v>347</v>
      </c>
      <c r="B43" s="207" t="s">
        <v>1545</v>
      </c>
      <c r="C43" s="230">
        <f ca="1">ROUND(IF('数据-取费表'!B22&lt;=1,C39*F22*'数据-取费表'!B21/2,C39*(POWER((1+F22),'数据-取费表'!B21/2)-1)),0)</f>
        <v>1</v>
      </c>
      <c r="D43" s="230"/>
      <c r="E43" s="230"/>
      <c r="F43" s="231"/>
      <c r="G43" s="3351"/>
    </row>
    <row r="44" spans="1:7" ht="13.5" customHeight="1">
      <c r="A44" s="734" t="s">
        <v>348</v>
      </c>
      <c r="B44" s="207" t="s">
        <v>1546</v>
      </c>
      <c r="C44" s="230">
        <f ca="1">ROUND(IF('数据-取费表'!B22&lt;=1,C40*F22*'数据-取费表'!B21/2,C40*(POWER((1+F22),'数据-取费表'!B21/2)-1)),4)</f>
        <v>2.9999999999999997E-4</v>
      </c>
      <c r="D44" s="230"/>
      <c r="E44" s="230"/>
      <c r="F44" s="231"/>
      <c r="G44" s="3352"/>
    </row>
    <row r="45" spans="1:7" s="206" customFormat="1" ht="13.5" customHeight="1">
      <c r="A45" s="247" t="s">
        <v>1547</v>
      </c>
      <c r="B45" s="236" t="s">
        <v>1513</v>
      </c>
      <c r="C45" s="237">
        <f ca="1">C46</f>
        <v>225</v>
      </c>
      <c r="D45" s="227">
        <f ca="1">C47</f>
        <v>1E-3</v>
      </c>
      <c r="E45" s="228" t="s">
        <v>1539</v>
      </c>
      <c r="F45" s="238">
        <f ca="1">F27</f>
        <v>0.05</v>
      </c>
      <c r="G45" s="239" t="s">
        <v>1548</v>
      </c>
    </row>
    <row r="46" spans="1:7" s="206" customFormat="1" ht="13.5" customHeight="1">
      <c r="A46" s="734" t="s">
        <v>346</v>
      </c>
      <c r="B46" s="240" t="s">
        <v>1549</v>
      </c>
      <c r="C46" s="241">
        <f ca="1">ROUND((C33+C39)*F27,0)</f>
        <v>225</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5183</v>
      </c>
      <c r="D49" s="224"/>
      <c r="E49" s="224"/>
      <c r="F49" s="256"/>
      <c r="G49" s="226" t="s">
        <v>1554</v>
      </c>
    </row>
    <row r="50" spans="1:7" s="250" customFormat="1" ht="26">
      <c r="A50" s="247" t="s">
        <v>1555</v>
      </c>
      <c r="B50" s="202" t="s">
        <v>1556</v>
      </c>
      <c r="C50" s="224"/>
      <c r="D50" s="224"/>
      <c r="E50" s="224"/>
      <c r="F50" s="256">
        <f>IF('数据-取费表'!B24=0,'数据-取费表'!N16,1)</f>
        <v>0.66</v>
      </c>
      <c r="G50" s="239" t="s">
        <v>1557</v>
      </c>
    </row>
    <row r="51" spans="1:7" ht="16.5" customHeight="1">
      <c r="A51" s="247" t="s">
        <v>1558</v>
      </c>
      <c r="B51" s="202" t="s">
        <v>1559</v>
      </c>
      <c r="C51" s="224">
        <f ca="1">ROUND(C49*F50,0)</f>
        <v>3421</v>
      </c>
      <c r="D51" s="224"/>
      <c r="E51" s="224"/>
      <c r="F51" s="256"/>
      <c r="G51" s="226" t="s">
        <v>1560</v>
      </c>
    </row>
    <row r="52" spans="1:7" s="200" customFormat="1" ht="16.5" thickBot="1">
      <c r="A52" s="257" t="s">
        <v>1561</v>
      </c>
      <c r="B52" s="258"/>
      <c r="C52" s="259">
        <f ca="1">C31+C51</f>
        <v>10046</v>
      </c>
      <c r="D52" s="258"/>
      <c r="E52" s="258"/>
      <c r="F52" s="258"/>
      <c r="G52" s="260"/>
    </row>
    <row r="55" spans="1:7" ht="15.5">
      <c r="B55" s="262" t="s">
        <v>1562</v>
      </c>
      <c r="C55" s="263"/>
    </row>
    <row r="56" spans="1:7" ht="13">
      <c r="B56" s="265" t="s">
        <v>802</v>
      </c>
      <c r="C56" s="267">
        <f ca="1">1-C57</f>
        <v>0.65900000000000003</v>
      </c>
    </row>
    <row r="57" spans="1:7" ht="13">
      <c r="B57" s="265" t="s">
        <v>803</v>
      </c>
      <c r="C57" s="266">
        <f ca="1">ROUND(C51/C52,3)</f>
        <v>0.34100000000000003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68" t="str">
        <f>项目基本情况!B1</f>
        <v>北京市平谷区平谷大街甲16号房地产抵押价值预评估</v>
      </c>
      <c r="C37" s="3168"/>
      <c r="D37" s="3168"/>
      <c r="E37" s="3168"/>
      <c r="F37" s="3168"/>
      <c r="G37" s="3168"/>
      <c r="H37" s="3168"/>
      <c r="I37" s="316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47" sqref="J47:J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3969.7256000000002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2413</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1316068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1316068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1316068</v>
      </c>
      <c r="D10" s="795">
        <f ca="1">IF(B1="",'数据-汇总表'!E6,IF(INDIRECT("'数据-取费表'!c"&amp;$G$1)="住宅",INDIRECT("'数据-取费表'!s"&amp;$G$1),INDIRECT("'数据-取费表'!k"&amp;$G$1)+INDIRECT("'数据-取费表'!s"&amp;$G$1)))</f>
        <v>16450.849999999999</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3290170</v>
      </c>
      <c r="D19" s="204">
        <f ca="1">D9+D10</f>
        <v>16450.849999999999</v>
      </c>
      <c r="E19" s="203">
        <f>'数据-取费表'!B31</f>
        <v>200</v>
      </c>
      <c r="F19" s="223"/>
      <c r="G19" s="1714"/>
    </row>
    <row r="20" spans="1:7" s="206" customFormat="1" ht="13.5" customHeight="1">
      <c r="A20" s="247" t="s">
        <v>1574</v>
      </c>
      <c r="B20" s="202" t="s">
        <v>1575</v>
      </c>
      <c r="C20" s="224">
        <f ca="1">ROUND((C5+C19)*F20,0)</f>
        <v>92125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139569</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39482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98705</v>
      </c>
      <c r="D24" s="230"/>
      <c r="E24" s="230"/>
      <c r="F24" s="231"/>
      <c r="G24" s="232" t="s">
        <v>1586</v>
      </c>
    </row>
    <row r="25" spans="1:7" s="206" customFormat="1" ht="26">
      <c r="A25" s="734" t="s">
        <v>1476</v>
      </c>
      <c r="B25" s="207" t="s">
        <v>1587</v>
      </c>
      <c r="C25" s="230">
        <f ca="1">ROUND(IF('数据-取费表'!B22&lt;=1,C20*F22*'数据-取费表'!B22/2,C20*(POWER((1+F22),'数据-取费表'!B22/2)-1)),0)</f>
        <v>1382</v>
      </c>
      <c r="D25" s="230"/>
      <c r="E25" s="233"/>
      <c r="F25" s="231"/>
      <c r="G25" s="234" t="s">
        <v>1588</v>
      </c>
    </row>
    <row r="26" spans="1:7" s="206" customFormat="1" ht="13">
      <c r="A26" s="734" t="s">
        <v>350</v>
      </c>
      <c r="B26" s="207" t="s">
        <v>1511</v>
      </c>
      <c r="C26" s="230">
        <f ca="1">ROUND(IF('数据-取费表'!B22&lt;=1,F21*F22*'数据-取费表'!B22/2,F21*(POWER((1+F22),'数据-取费表'!B22/2)-1)),4)</f>
        <v>2.9999999999999997E-4</v>
      </c>
      <c r="D26" s="230"/>
      <c r="E26" s="233"/>
      <c r="F26" s="231"/>
      <c r="G26" s="235"/>
    </row>
    <row r="27" spans="1:7" s="206" customFormat="1" ht="27">
      <c r="A27" s="247" t="s">
        <v>1512</v>
      </c>
      <c r="B27" s="236" t="s">
        <v>1513</v>
      </c>
      <c r="C27" s="237">
        <f ca="1">C28</f>
        <v>234918</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234918</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5481792</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44162965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38198874</v>
      </c>
      <c r="D34" s="209"/>
      <c r="E34" s="212"/>
      <c r="F34" s="249"/>
      <c r="G34" s="211"/>
    </row>
    <row r="35" spans="1:7" ht="13.5" customHeight="1">
      <c r="A35" s="734" t="s">
        <v>351</v>
      </c>
      <c r="B35" s="207" t="s">
        <v>1527</v>
      </c>
      <c r="C35" s="212">
        <f ca="1">ROUND(C34*F35,0)</f>
        <v>1909944</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3290170</v>
      </c>
      <c r="D37" s="209">
        <f ca="1">D19</f>
        <v>16450.849999999999</v>
      </c>
      <c r="E37" s="241">
        <f>'数据-取费表'!B35</f>
        <v>200</v>
      </c>
      <c r="F37" s="251"/>
      <c r="G37" s="253"/>
    </row>
    <row r="38" spans="1:7" ht="13.5" customHeight="1">
      <c r="A38" s="734" t="s">
        <v>354</v>
      </c>
      <c r="B38" s="207" t="s">
        <v>1533</v>
      </c>
      <c r="C38" s="212">
        <f ca="1">ROUND(C34*F38,0)</f>
        <v>763977</v>
      </c>
      <c r="D38" s="212"/>
      <c r="E38" s="212"/>
      <c r="F38" s="251">
        <f>'数据-取费表'!B36</f>
        <v>0.02</v>
      </c>
      <c r="G38" s="211" t="s">
        <v>1528</v>
      </c>
    </row>
    <row r="39" spans="1:7" s="206" customFormat="1" ht="13.5" customHeight="1">
      <c r="A39" s="247" t="s">
        <v>1534</v>
      </c>
      <c r="B39" s="202" t="s">
        <v>1535</v>
      </c>
      <c r="C39" s="224">
        <f ca="1">ROUND(C33*F20,0)</f>
        <v>883259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675693</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662444</v>
      </c>
      <c r="D42" s="230"/>
      <c r="E42" s="230"/>
      <c r="F42" s="231"/>
      <c r="G42" s="3350" t="s">
        <v>1591</v>
      </c>
    </row>
    <row r="43" spans="1:7" ht="13.5" customHeight="1">
      <c r="A43" s="734" t="s">
        <v>347</v>
      </c>
      <c r="B43" s="207" t="s">
        <v>1545</v>
      </c>
      <c r="C43" s="230">
        <f ca="1">ROUND(IF('数据-取费表'!B22&lt;=1,C39*F22*'数据-取费表'!B20/2,C39*(POWER((1+F22),'数据-取费表'!B20/2)-1)),0)</f>
        <v>13249</v>
      </c>
      <c r="D43" s="230"/>
      <c r="E43" s="230"/>
      <c r="F43" s="231"/>
      <c r="G43" s="3351"/>
    </row>
    <row r="44" spans="1:7" ht="13.5" customHeight="1">
      <c r="A44" s="734" t="s">
        <v>348</v>
      </c>
      <c r="B44" s="207" t="s">
        <v>1546</v>
      </c>
      <c r="C44" s="230">
        <f ca="1">ROUND(IF('数据-取费表'!B22&lt;=1,C40*F22*'数据-取费表'!B20/2,C40*(POWER((1+F22),'数据-取费表'!B20/2)-1)),4)</f>
        <v>2.9999999999999997E-4</v>
      </c>
      <c r="D44" s="230"/>
      <c r="E44" s="230"/>
      <c r="F44" s="231"/>
      <c r="G44" s="3352"/>
    </row>
    <row r="45" spans="1:7" s="206" customFormat="1" ht="13.5" customHeight="1">
      <c r="A45" s="247" t="s">
        <v>1547</v>
      </c>
      <c r="B45" s="236" t="s">
        <v>1513</v>
      </c>
      <c r="C45" s="237">
        <f ca="1">C46</f>
        <v>2252311</v>
      </c>
      <c r="D45" s="227">
        <f ca="1">C47</f>
        <v>1E-3</v>
      </c>
      <c r="E45" s="228" t="s">
        <v>1539</v>
      </c>
      <c r="F45" s="238">
        <f ca="1">F27</f>
        <v>0.05</v>
      </c>
      <c r="G45" s="239" t="s">
        <v>1548</v>
      </c>
    </row>
    <row r="46" spans="1:7" s="206" customFormat="1" ht="13.5" customHeight="1">
      <c r="A46" s="734" t="s">
        <v>346</v>
      </c>
      <c r="B46" s="240" t="s">
        <v>1549</v>
      </c>
      <c r="C46" s="241">
        <f ca="1">ROUND((C33+C39)*F27,0)</f>
        <v>2252311</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51841612</v>
      </c>
      <c r="D49" s="224"/>
      <c r="E49" s="224"/>
      <c r="F49" s="256"/>
      <c r="G49" s="226" t="s">
        <v>1554</v>
      </c>
    </row>
    <row r="50" spans="1:7" s="250" customFormat="1" ht="13.5">
      <c r="A50" s="247" t="s">
        <v>1555</v>
      </c>
      <c r="B50" s="202" t="s">
        <v>1556</v>
      </c>
      <c r="C50" s="224"/>
      <c r="D50" s="224"/>
      <c r="E50" s="224"/>
      <c r="F50" s="256">
        <f>IF('数据-取费表'!B24=0,'数据-取费表'!N16,1)</f>
        <v>0.66</v>
      </c>
      <c r="G50" s="239"/>
    </row>
    <row r="51" spans="1:7" ht="16.5" customHeight="1">
      <c r="A51" s="247" t="s">
        <v>1558</v>
      </c>
      <c r="B51" s="202" t="s">
        <v>1593</v>
      </c>
      <c r="C51" s="224">
        <f ca="1">ROUND(C49*F50,0)</f>
        <v>34215464</v>
      </c>
      <c r="D51" s="224"/>
      <c r="E51" s="224"/>
      <c r="F51" s="256"/>
      <c r="G51" s="226" t="s">
        <v>1560</v>
      </c>
    </row>
    <row r="52" spans="1:7" s="200" customFormat="1" ht="16.5" thickBot="1">
      <c r="A52" s="257" t="s">
        <v>1561</v>
      </c>
      <c r="B52" s="258"/>
      <c r="C52" s="259">
        <f ca="1">C31+C51</f>
        <v>39697256</v>
      </c>
      <c r="D52" s="258"/>
      <c r="E52" s="258"/>
      <c r="F52" s="258"/>
      <c r="G52" s="260"/>
    </row>
    <row r="55" spans="1:7" ht="15.5">
      <c r="B55" s="262" t="s">
        <v>1562</v>
      </c>
      <c r="C55" s="263"/>
    </row>
    <row r="56" spans="1:7" ht="13">
      <c r="B56" s="265" t="s">
        <v>802</v>
      </c>
      <c r="C56" s="267">
        <f ca="1">1-C57</f>
        <v>0.13800000000000001</v>
      </c>
    </row>
    <row r="57" spans="1:7" ht="13">
      <c r="B57" s="265" t="s">
        <v>803</v>
      </c>
      <c r="C57" s="266">
        <f ca="1">ROUND(C51/C52,3)</f>
        <v>0.86199999999999999</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J47" sqref="J47:J49"/>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16450.849999999999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16450.849999999999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132</v>
      </c>
      <c r="D20" s="796">
        <f ca="1">IF(C1="",'数据-汇总表'!E6,IF(INDIRECT("'数据-取费表'!c"&amp;$K$1)="住宅",INDIRECT("'数据-取费表'!s"&amp;$K$1),INDIRECT("'数据-取费表'!k"&amp;$K$1)+INDIRECT("'数据-取费表'!s"&amp;$K$1)))</f>
        <v>16450.849999999999</v>
      </c>
      <c r="E20" s="21">
        <f>'数据-取费表'!B28</f>
        <v>80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J11" sqref="J11"/>
    </sheetView>
  </sheetViews>
  <sheetFormatPr defaultColWidth="9" defaultRowHeight="14"/>
  <cols>
    <col min="1" max="1" width="14.36328125" style="347" customWidth="1"/>
    <col min="2" max="2" width="15.7265625" style="347" customWidth="1"/>
    <col min="3" max="3" width="16.453125" style="347" customWidth="1"/>
    <col min="4" max="4" width="12.26953125" style="347" customWidth="1"/>
    <col min="5" max="5" width="17.26953125" style="347" customWidth="1"/>
    <col min="6" max="6" width="12.26953125" style="347" customWidth="1"/>
    <col min="7" max="7" width="16.54296875" style="347" customWidth="1"/>
    <col min="8" max="8" width="12.26953125" style="347" customWidth="1"/>
    <col min="9" max="9" width="16.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F61</f>
        <v>5274</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3206</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44" t="s">
        <v>1919</v>
      </c>
      <c r="D6" s="3445"/>
      <c r="E6" s="3446" t="s">
        <v>1919</v>
      </c>
      <c r="F6" s="3447"/>
      <c r="G6" s="3444" t="s">
        <v>1919</v>
      </c>
      <c r="H6" s="3445"/>
      <c r="I6" s="3444" t="s">
        <v>1919</v>
      </c>
      <c r="J6" s="3445"/>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45947</v>
      </c>
      <c r="D7" s="355">
        <v>100</v>
      </c>
      <c r="E7" s="356">
        <f>C7</f>
        <v>45947</v>
      </c>
      <c r="F7" s="357">
        <f>SUMIF(65:65,YEAR(E7)&amp;"-"&amp;INT((MONTH(E7)+2)/3),66:66)</f>
        <v>100</v>
      </c>
      <c r="G7" s="1822">
        <f>C7</f>
        <v>45947</v>
      </c>
      <c r="H7" s="355">
        <f>SUMIF(65:65,YEAR(G7)&amp;"-"&amp;INT((MONTH(G7)+2)/3),66:66)</f>
        <v>100</v>
      </c>
      <c r="I7" s="1822">
        <f>C7</f>
        <v>45947</v>
      </c>
      <c r="J7" s="355">
        <f>SUMIF(65:65,YEAR(I7)&amp;"-"&amp;INT((MONTH(I7)+2)/3),66:66)</f>
        <v>100</v>
      </c>
      <c r="K7" s="38"/>
      <c r="L7" s="2487"/>
      <c r="M7" s="2439"/>
      <c r="N7" s="2439"/>
      <c r="O7" s="2439"/>
      <c r="P7" s="3417" t="s">
        <v>1680</v>
      </c>
      <c r="Q7" s="3419"/>
      <c r="R7" s="664" t="s">
        <v>14</v>
      </c>
      <c r="S7" s="665">
        <f t="shared" ref="S7:S15" si="0">F7</f>
        <v>100</v>
      </c>
      <c r="T7" s="664" t="s">
        <v>14</v>
      </c>
      <c r="U7" s="665">
        <f t="shared" ref="U7:U15" si="1">H7</f>
        <v>100</v>
      </c>
      <c r="V7" s="664" t="s">
        <v>14</v>
      </c>
      <c r="W7" s="665">
        <f t="shared" ref="W7:W15" si="2">J7</f>
        <v>100</v>
      </c>
      <c r="X7" s="666"/>
      <c r="Y7" s="3417" t="s">
        <v>1680</v>
      </c>
      <c r="Z7" s="3418"/>
      <c r="AA7" s="50">
        <f>D7/F7</f>
        <v>1</v>
      </c>
      <c r="AB7" s="50">
        <f>D7/H7</f>
        <v>1</v>
      </c>
      <c r="AC7" s="50">
        <f>D7/J7</f>
        <v>1</v>
      </c>
    </row>
    <row r="8" spans="1:29" s="102" customFormat="1" ht="14.5" thickBot="1">
      <c r="A8" s="352" t="s">
        <v>1681</v>
      </c>
      <c r="B8" s="353"/>
      <c r="C8" s="358" t="s">
        <v>1682</v>
      </c>
      <c r="D8" s="355">
        <v>100</v>
      </c>
      <c r="E8" s="358" t="s">
        <v>3868</v>
      </c>
      <c r="F8" s="357">
        <f>SUMIF(68:68,E8,69:69)-SUMIF(68:68,C8,69:69)+100</f>
        <v>100</v>
      </c>
      <c r="G8" s="358" t="s">
        <v>3868</v>
      </c>
      <c r="H8" s="355">
        <f>SUMIF(68:68,G8,69:69)-SUMIF(68:68,C8,69:69)+100</f>
        <v>100</v>
      </c>
      <c r="I8" s="358" t="s">
        <v>3868</v>
      </c>
      <c r="J8" s="355">
        <f>SUMIF(68:68,I8,69:69)-SUMIF(68:68,C8,69:69)+100</f>
        <v>100</v>
      </c>
      <c r="K8" s="38"/>
      <c r="L8" s="2487"/>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40" si="3">D8/F8</f>
        <v>1</v>
      </c>
      <c r="AB8" s="50">
        <f t="shared" ref="AB8:AB40" si="4">D8/H8</f>
        <v>1</v>
      </c>
      <c r="AC8" s="50">
        <f t="shared" ref="AC8:AC40" si="5">D8/J8</f>
        <v>1</v>
      </c>
    </row>
    <row r="9" spans="1:29" s="102" customFormat="1">
      <c r="A9" s="359" t="s">
        <v>1684</v>
      </c>
      <c r="B9" s="60" t="s">
        <v>1685</v>
      </c>
      <c r="C9" s="1825" t="s">
        <v>3</v>
      </c>
      <c r="D9" s="59">
        <v>100</v>
      </c>
      <c r="E9" s="1825" t="s">
        <v>3</v>
      </c>
      <c r="F9" s="59">
        <f>SUMIF(70:70,E9,71:71)-SUMIF(70:70,C9,71:71)+100</f>
        <v>100</v>
      </c>
      <c r="G9" s="1825" t="s">
        <v>3</v>
      </c>
      <c r="H9" s="59">
        <f>SUMIF(70:70,G9,71:71)-SUMIF(70:70,C9,71:71)+100</f>
        <v>100</v>
      </c>
      <c r="I9" s="1825" t="s">
        <v>3</v>
      </c>
      <c r="J9" s="59">
        <f>SUMIF(70:70,I9,71:71)-SUMIF(70:70,C9,71:71)+100</f>
        <v>100</v>
      </c>
      <c r="K9" s="38"/>
      <c r="L9" s="2487"/>
      <c r="M9" s="2439"/>
      <c r="N9" s="2439"/>
      <c r="O9" s="2539"/>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3538">
        <f>ROUND(100/'数据-取费表'!G16,0)</f>
        <v>125</v>
      </c>
      <c r="G10" s="371"/>
      <c r="H10" s="3538">
        <f>ROUND(100/'数据-取费表'!G16,0)</f>
        <v>125</v>
      </c>
      <c r="I10" s="371"/>
      <c r="J10" s="3538">
        <f>ROUND(100/'数据-取费表'!G16,0)</f>
        <v>125</v>
      </c>
      <c r="K10" s="592"/>
      <c r="L10" s="2488"/>
      <c r="M10" s="2489"/>
      <c r="N10" s="2489"/>
      <c r="O10" s="2540"/>
      <c r="P10" s="3382"/>
      <c r="Q10" s="530" t="str">
        <f t="shared" si="6"/>
        <v>土地使用年限（年）</v>
      </c>
      <c r="R10" s="664" t="s">
        <v>14</v>
      </c>
      <c r="S10" s="665">
        <f t="shared" si="0"/>
        <v>125</v>
      </c>
      <c r="T10" s="664" t="s">
        <v>14</v>
      </c>
      <c r="U10" s="665">
        <f t="shared" si="1"/>
        <v>125</v>
      </c>
      <c r="V10" s="664" t="s">
        <v>14</v>
      </c>
      <c r="W10" s="665">
        <f t="shared" si="2"/>
        <v>125</v>
      </c>
      <c r="X10" s="666"/>
      <c r="Y10" s="3257"/>
      <c r="Z10" s="50" t="str">
        <f t="shared" si="7"/>
        <v>土地使用年限（年）</v>
      </c>
      <c r="AA10" s="50">
        <f t="shared" si="3"/>
        <v>0.8</v>
      </c>
      <c r="AB10" s="50">
        <f t="shared" si="4"/>
        <v>0.8</v>
      </c>
      <c r="AC10" s="50">
        <f t="shared" si="5"/>
        <v>0.8</v>
      </c>
    </row>
    <row r="11" spans="1:29" ht="15.5">
      <c r="A11" s="367"/>
      <c r="B11" s="364" t="s">
        <v>1689</v>
      </c>
      <c r="C11" s="368">
        <f>'数据-汇总表'!I7</f>
        <v>1</v>
      </c>
      <c r="D11" s="119">
        <v>100</v>
      </c>
      <c r="E11" s="368">
        <f>选取案例!L2</f>
        <v>1</v>
      </c>
      <c r="F11" s="119">
        <f>LOOKUP(E11,75:75,76:76)-LOOKUP(C11,75:75,76:76)+100</f>
        <v>100</v>
      </c>
      <c r="G11" s="369">
        <f>选取案例!L3</f>
        <v>1</v>
      </c>
      <c r="H11" s="119">
        <f>LOOKUP(G11,75:75,76:76)-LOOKUP(C11,75:75,76:76)+100</f>
        <v>100</v>
      </c>
      <c r="I11" s="368">
        <f>选取案例!L4</f>
        <v>1.2</v>
      </c>
      <c r="J11" s="119">
        <f>LOOKUP(I11,75:75,76:76)-LOOKUP(C11,75:75,76:76)+100</f>
        <v>100</v>
      </c>
      <c r="K11" s="593"/>
      <c r="L11" s="2490"/>
      <c r="M11" s="2486"/>
      <c r="N11" s="2486"/>
      <c r="O11" s="2541"/>
      <c r="P11" s="3382"/>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50">
        <f t="shared" si="5"/>
        <v>1</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385"/>
      <c r="Q16" s="1263"/>
      <c r="R16" s="667"/>
      <c r="S16" s="668"/>
      <c r="T16" s="667"/>
      <c r="U16" s="668"/>
      <c r="V16" s="667"/>
      <c r="W16" s="668"/>
      <c r="X16" s="1265"/>
      <c r="Y16" s="3385"/>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385"/>
      <c r="Q18" s="1263"/>
      <c r="R18" s="667"/>
      <c r="S18" s="668"/>
      <c r="T18" s="667"/>
      <c r="U18" s="668"/>
      <c r="V18" s="667"/>
      <c r="W18" s="668"/>
      <c r="X18" s="1265"/>
      <c r="Y18" s="3385"/>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5"/>
      <c r="Q19" s="1263" t="str">
        <f t="shared" ref="Q19:Q33" si="8">B19</f>
        <v>区域土地利用方向</v>
      </c>
      <c r="R19" s="667" t="s">
        <v>14</v>
      </c>
      <c r="S19" s="668">
        <f>F19</f>
        <v>100</v>
      </c>
      <c r="T19" s="667" t="s">
        <v>14</v>
      </c>
      <c r="U19" s="668">
        <f>H19</f>
        <v>100</v>
      </c>
      <c r="V19" s="667" t="s">
        <v>14</v>
      </c>
      <c r="W19" s="668">
        <f>J19</f>
        <v>100</v>
      </c>
      <c r="X19" s="1265"/>
      <c r="Y19" s="3385"/>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385"/>
      <c r="Q20" s="1263"/>
      <c r="R20" s="667"/>
      <c r="S20" s="668"/>
      <c r="T20" s="667"/>
      <c r="U20" s="668"/>
      <c r="V20" s="667"/>
      <c r="W20" s="668"/>
      <c r="X20" s="1265"/>
      <c r="Y20" s="3385"/>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5"/>
      <c r="Q21" s="1263" t="str">
        <f t="shared" si="8"/>
        <v>环境状况</v>
      </c>
      <c r="R21" s="667" t="s">
        <v>14</v>
      </c>
      <c r="S21" s="668">
        <f>F21</f>
        <v>100</v>
      </c>
      <c r="T21" s="667" t="s">
        <v>14</v>
      </c>
      <c r="U21" s="668">
        <f>H21</f>
        <v>100</v>
      </c>
      <c r="V21" s="667" t="s">
        <v>14</v>
      </c>
      <c r="W21" s="668">
        <f>J21</f>
        <v>100</v>
      </c>
      <c r="X21" s="1265"/>
      <c r="Y21" s="3385"/>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385"/>
      <c r="Q22" s="1263"/>
      <c r="R22" s="667"/>
      <c r="S22" s="668"/>
      <c r="T22" s="667"/>
      <c r="U22" s="668"/>
      <c r="V22" s="667"/>
      <c r="W22" s="668"/>
      <c r="X22" s="1265"/>
      <c r="Y22" s="3385"/>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5"/>
      <c r="Q23" s="530" t="str">
        <f t="shared" si="8"/>
        <v>公共配套设施</v>
      </c>
      <c r="R23" s="664" t="s">
        <v>14</v>
      </c>
      <c r="S23" s="665">
        <f>F23</f>
        <v>100</v>
      </c>
      <c r="T23" s="664" t="s">
        <v>14</v>
      </c>
      <c r="U23" s="665">
        <f>H23</f>
        <v>100</v>
      </c>
      <c r="V23" s="664" t="s">
        <v>14</v>
      </c>
      <c r="W23" s="665">
        <f>J23</f>
        <v>100</v>
      </c>
      <c r="X23" s="666"/>
      <c r="Y23" s="3385"/>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385"/>
      <c r="Q24" s="530"/>
      <c r="R24" s="664"/>
      <c r="S24" s="665"/>
      <c r="T24" s="664"/>
      <c r="U24" s="665"/>
      <c r="V24" s="664"/>
      <c r="W24" s="665"/>
      <c r="X24" s="666"/>
      <c r="Y24" s="3385"/>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5"/>
      <c r="Q25" s="530" t="str">
        <f t="shared" ref="Q25" si="9">B25</f>
        <v>基础设施水平</v>
      </c>
      <c r="R25" s="664" t="s">
        <v>14</v>
      </c>
      <c r="S25" s="665">
        <f>F25</f>
        <v>100</v>
      </c>
      <c r="T25" s="664" t="s">
        <v>14</v>
      </c>
      <c r="U25" s="665">
        <f>H25</f>
        <v>100</v>
      </c>
      <c r="V25" s="664" t="s">
        <v>14</v>
      </c>
      <c r="W25" s="665">
        <f>J25</f>
        <v>100</v>
      </c>
      <c r="X25" s="666"/>
      <c r="Y25" s="3385"/>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385"/>
      <c r="Q26" s="530"/>
      <c r="R26" s="664"/>
      <c r="S26" s="665"/>
      <c r="T26" s="664"/>
      <c r="U26" s="665"/>
      <c r="V26" s="664"/>
      <c r="W26" s="665"/>
      <c r="X26" s="666"/>
      <c r="Y26" s="3385"/>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5"/>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5"/>
      <c r="Q28" s="1263" t="str">
        <f t="shared" si="8"/>
        <v>毗邻道路的类型与等级</v>
      </c>
      <c r="R28" s="667" t="s">
        <v>14</v>
      </c>
      <c r="S28" s="668">
        <f t="shared" si="10"/>
        <v>100</v>
      </c>
      <c r="T28" s="667" t="s">
        <v>14</v>
      </c>
      <c r="U28" s="668">
        <f t="shared" si="11"/>
        <v>100</v>
      </c>
      <c r="V28" s="667" t="s">
        <v>14</v>
      </c>
      <c r="W28" s="668">
        <f t="shared" si="12"/>
        <v>100</v>
      </c>
      <c r="X28" s="1265"/>
      <c r="Y28" s="3385"/>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385"/>
      <c r="Q29" s="1263"/>
      <c r="R29" s="667"/>
      <c r="S29" s="668"/>
      <c r="T29" s="667"/>
      <c r="U29" s="668"/>
      <c r="V29" s="667"/>
      <c r="W29" s="668"/>
      <c r="X29" s="1265"/>
      <c r="Y29" s="3385"/>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5"/>
      <c r="Q30" s="1263" t="str">
        <f t="shared" si="8"/>
        <v>土地级别</v>
      </c>
      <c r="R30" s="667" t="s">
        <v>14</v>
      </c>
      <c r="S30" s="668">
        <f t="shared" si="10"/>
        <v>100</v>
      </c>
      <c r="T30" s="667" t="s">
        <v>14</v>
      </c>
      <c r="U30" s="668">
        <f t="shared" si="11"/>
        <v>100</v>
      </c>
      <c r="V30" s="667" t="s">
        <v>14</v>
      </c>
      <c r="W30" s="668">
        <f t="shared" si="12"/>
        <v>100</v>
      </c>
      <c r="X30" s="1265"/>
      <c r="Y30" s="3385"/>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5"/>
      <c r="Q31" s="1263">
        <f t="shared" si="8"/>
        <v>111</v>
      </c>
      <c r="R31" s="667" t="s">
        <v>14</v>
      </c>
      <c r="S31" s="668">
        <f t="shared" si="10"/>
        <v>100</v>
      </c>
      <c r="T31" s="667" t="s">
        <v>14</v>
      </c>
      <c r="U31" s="668">
        <f t="shared" si="11"/>
        <v>100</v>
      </c>
      <c r="V31" s="667" t="s">
        <v>14</v>
      </c>
      <c r="W31" s="668">
        <f t="shared" si="12"/>
        <v>100</v>
      </c>
      <c r="X31" s="1265"/>
      <c r="Y31" s="3385"/>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9" t="s">
        <v>1696</v>
      </c>
      <c r="Q32" s="1263">
        <f t="shared" si="8"/>
        <v>111</v>
      </c>
      <c r="R32" s="667" t="s">
        <v>14</v>
      </c>
      <c r="S32" s="668">
        <f t="shared" si="10"/>
        <v>100</v>
      </c>
      <c r="T32" s="667" t="s">
        <v>14</v>
      </c>
      <c r="U32" s="668">
        <f t="shared" si="11"/>
        <v>100</v>
      </c>
      <c r="V32" s="667" t="s">
        <v>14</v>
      </c>
      <c r="W32" s="668">
        <f t="shared" si="12"/>
        <v>100</v>
      </c>
      <c r="X32" s="1265"/>
      <c r="Y32" s="3389"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9"/>
      <c r="Q33" s="1263">
        <f t="shared" si="8"/>
        <v>111</v>
      </c>
      <c r="R33" s="669" t="s">
        <v>14</v>
      </c>
      <c r="S33" s="670">
        <f t="shared" si="10"/>
        <v>100</v>
      </c>
      <c r="T33" s="669" t="s">
        <v>14</v>
      </c>
      <c r="U33" s="670">
        <f t="shared" si="11"/>
        <v>100</v>
      </c>
      <c r="V33" s="669" t="s">
        <v>14</v>
      </c>
      <c r="W33" s="670">
        <f t="shared" si="12"/>
        <v>100</v>
      </c>
      <c r="X33" s="671"/>
      <c r="Y33" s="3389"/>
      <c r="Z33" s="672">
        <f t="shared" si="13"/>
        <v>111</v>
      </c>
      <c r="AA33" s="1264">
        <f t="shared" si="3"/>
        <v>1</v>
      </c>
      <c r="AB33" s="1264">
        <f t="shared" si="4"/>
        <v>1</v>
      </c>
      <c r="AC33" s="1264">
        <f t="shared" si="5"/>
        <v>1</v>
      </c>
    </row>
    <row r="34" spans="1:31" ht="15.5">
      <c r="A34" s="379" t="s">
        <v>1694</v>
      </c>
      <c r="B34" s="395" t="s">
        <v>1874</v>
      </c>
      <c r="C34" s="599">
        <f>'数据-汇总表'!D3</f>
        <v>27183.86</v>
      </c>
      <c r="D34" s="405">
        <v>100</v>
      </c>
      <c r="E34" s="599">
        <f>选取案例!H2</f>
        <v>1600</v>
      </c>
      <c r="F34" s="405">
        <f>LOOKUP(E34,108:108,109:109)-LOOKUP(C34,108:108,109:109)+100</f>
        <v>102</v>
      </c>
      <c r="G34" s="599">
        <f>选取案例!I3</f>
        <v>18400</v>
      </c>
      <c r="H34" s="405">
        <f>LOOKUP(G34,108:108,109:109)-LOOKUP(C34,108:108,109:109)+100</f>
        <v>101</v>
      </c>
      <c r="I34" s="462">
        <f>选取案例!H4</f>
        <v>53345.32</v>
      </c>
      <c r="J34" s="405">
        <f>LOOKUP(I34,108:108,109:109)-LOOKUP(C34,108:108,109:109)+100</f>
        <v>99</v>
      </c>
      <c r="K34" s="539"/>
      <c r="L34" s="2491"/>
      <c r="M34" s="2486"/>
      <c r="N34" s="2486"/>
      <c r="O34" s="2541"/>
      <c r="P34" s="3389"/>
      <c r="Q34" s="1263" t="str">
        <f>B34</f>
        <v>宗地面积</v>
      </c>
      <c r="R34" s="667" t="s">
        <v>14</v>
      </c>
      <c r="S34" s="668">
        <f t="shared" si="10"/>
        <v>102</v>
      </c>
      <c r="T34" s="667" t="s">
        <v>14</v>
      </c>
      <c r="U34" s="668">
        <f t="shared" si="11"/>
        <v>101</v>
      </c>
      <c r="V34" s="667" t="s">
        <v>14</v>
      </c>
      <c r="W34" s="668">
        <f t="shared" si="12"/>
        <v>99</v>
      </c>
      <c r="X34" s="1265"/>
      <c r="Y34" s="3389"/>
      <c r="Z34" s="1264" t="str">
        <f t="shared" si="13"/>
        <v>宗地面积</v>
      </c>
      <c r="AA34" s="1264">
        <f t="shared" si="3"/>
        <v>0.98039215686274506</v>
      </c>
      <c r="AB34" s="1264">
        <f t="shared" si="4"/>
        <v>0.99009900990099009</v>
      </c>
      <c r="AC34" s="1264">
        <f t="shared" si="5"/>
        <v>1.0101010101010102</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9"/>
      <c r="Q35" s="1263" t="str">
        <f t="shared" ref="Q35:Q40" si="14">B35</f>
        <v>宗地形状</v>
      </c>
      <c r="R35" s="667" t="s">
        <v>14</v>
      </c>
      <c r="S35" s="668">
        <f t="shared" si="10"/>
        <v>100</v>
      </c>
      <c r="T35" s="667" t="s">
        <v>14</v>
      </c>
      <c r="U35" s="668">
        <f t="shared" si="11"/>
        <v>100</v>
      </c>
      <c r="V35" s="667" t="s">
        <v>14</v>
      </c>
      <c r="W35" s="668">
        <f t="shared" si="12"/>
        <v>100</v>
      </c>
      <c r="X35" s="1265"/>
      <c r="Y35" s="3389"/>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9"/>
      <c r="Q36" s="1263" t="str">
        <f t="shared" si="14"/>
        <v>宗地开发程度</v>
      </c>
      <c r="R36" s="664" t="s">
        <v>14</v>
      </c>
      <c r="S36" s="665">
        <f t="shared" si="10"/>
        <v>100</v>
      </c>
      <c r="T36" s="664" t="s">
        <v>14</v>
      </c>
      <c r="U36" s="665">
        <f t="shared" si="11"/>
        <v>100</v>
      </c>
      <c r="V36" s="664" t="s">
        <v>14</v>
      </c>
      <c r="W36" s="665">
        <f t="shared" si="12"/>
        <v>100</v>
      </c>
      <c r="X36" s="666"/>
      <c r="Y36" s="3389"/>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9" t="s">
        <v>1696</v>
      </c>
      <c r="Q37" s="1263" t="str">
        <f t="shared" si="14"/>
        <v>工程地质条件</v>
      </c>
      <c r="R37" s="667" t="s">
        <v>14</v>
      </c>
      <c r="S37" s="668">
        <f t="shared" si="10"/>
        <v>100</v>
      </c>
      <c r="T37" s="667" t="s">
        <v>14</v>
      </c>
      <c r="U37" s="668">
        <f t="shared" si="11"/>
        <v>100</v>
      </c>
      <c r="V37" s="667" t="s">
        <v>14</v>
      </c>
      <c r="W37" s="668">
        <f t="shared" si="12"/>
        <v>100</v>
      </c>
      <c r="X37" s="1265"/>
      <c r="Y37" s="3389"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9"/>
      <c r="Q38" s="1263">
        <f t="shared" si="14"/>
        <v>111</v>
      </c>
      <c r="R38" s="667" t="s">
        <v>14</v>
      </c>
      <c r="S38" s="668">
        <f t="shared" si="10"/>
        <v>100</v>
      </c>
      <c r="T38" s="667" t="s">
        <v>14</v>
      </c>
      <c r="U38" s="668">
        <f t="shared" si="11"/>
        <v>100</v>
      </c>
      <c r="V38" s="667" t="s">
        <v>14</v>
      </c>
      <c r="W38" s="668">
        <f t="shared" si="12"/>
        <v>100</v>
      </c>
      <c r="X38" s="1265"/>
      <c r="Y38" s="3389"/>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9"/>
      <c r="Q39" s="1263">
        <f t="shared" si="14"/>
        <v>111</v>
      </c>
      <c r="R39" s="667" t="s">
        <v>14</v>
      </c>
      <c r="S39" s="668">
        <f t="shared" si="10"/>
        <v>100</v>
      </c>
      <c r="T39" s="667" t="s">
        <v>14</v>
      </c>
      <c r="U39" s="668">
        <f t="shared" si="11"/>
        <v>100</v>
      </c>
      <c r="V39" s="667" t="s">
        <v>14</v>
      </c>
      <c r="W39" s="668">
        <f t="shared" si="12"/>
        <v>100</v>
      </c>
      <c r="X39" s="1265"/>
      <c r="Y39" s="3389"/>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9"/>
      <c r="Q40" s="1263">
        <f t="shared" si="14"/>
        <v>111</v>
      </c>
      <c r="R40" s="669" t="s">
        <v>14</v>
      </c>
      <c r="S40" s="670">
        <f t="shared" si="10"/>
        <v>100</v>
      </c>
      <c r="T40" s="669" t="s">
        <v>14</v>
      </c>
      <c r="U40" s="670">
        <f t="shared" si="11"/>
        <v>100</v>
      </c>
      <c r="V40" s="669" t="s">
        <v>14</v>
      </c>
      <c r="W40" s="670">
        <f t="shared" si="12"/>
        <v>100</v>
      </c>
      <c r="X40" s="671"/>
      <c r="Y40" s="3389"/>
      <c r="Z40" s="672">
        <f t="shared" si="13"/>
        <v>111</v>
      </c>
      <c r="AA40" s="1264">
        <f t="shared" si="3"/>
        <v>1</v>
      </c>
      <c r="AB40" s="1264">
        <f t="shared" si="4"/>
        <v>1</v>
      </c>
      <c r="AC40" s="1264">
        <f t="shared" si="5"/>
        <v>1</v>
      </c>
    </row>
    <row r="41" spans="1:31">
      <c r="A41" s="416" t="s">
        <v>1844</v>
      </c>
      <c r="B41" s="1830" t="s">
        <v>1922</v>
      </c>
      <c r="C41" s="602" t="s">
        <v>0</v>
      </c>
      <c r="D41" s="418"/>
      <c r="E41" s="419">
        <f>选取案例!T2</f>
        <v>2563</v>
      </c>
      <c r="F41" s="420"/>
      <c r="G41" s="421">
        <f>选取案例!T3</f>
        <v>2558</v>
      </c>
      <c r="H41" s="422"/>
      <c r="I41" s="419">
        <f>选取案例!T4</f>
        <v>2208</v>
      </c>
      <c r="J41" s="422"/>
      <c r="K41" s="674"/>
      <c r="L41" s="2493"/>
      <c r="M41" s="2486"/>
      <c r="N41" s="2486"/>
      <c r="O41" s="2486"/>
      <c r="P41" s="3382" t="str">
        <f>A41</f>
        <v>成交单价</v>
      </c>
      <c r="Q41" s="3382"/>
      <c r="R41" s="3383">
        <f>E41</f>
        <v>2563</v>
      </c>
      <c r="S41" s="3383"/>
      <c r="T41" s="3383">
        <f>G41</f>
        <v>2558</v>
      </c>
      <c r="U41" s="3383"/>
      <c r="V41" s="3383">
        <f>I41</f>
        <v>2208</v>
      </c>
      <c r="W41" s="3383"/>
      <c r="X41" s="385"/>
      <c r="Y41" s="673"/>
      <c r="Z41" s="385"/>
      <c r="AA41" s="385"/>
      <c r="AB41" s="385"/>
      <c r="AC41" s="385"/>
    </row>
    <row r="42" spans="1:31" ht="14.5" thickBot="1">
      <c r="A42" s="423" t="s">
        <v>1793</v>
      </c>
      <c r="B42" s="603"/>
      <c r="C42" s="426">
        <f>R43</f>
        <v>1940</v>
      </c>
      <c r="D42" s="2141" t="s">
        <v>2138</v>
      </c>
      <c r="E42" s="426">
        <f>R42</f>
        <v>2010</v>
      </c>
      <c r="F42" s="2142"/>
      <c r="G42" s="425">
        <f>T42</f>
        <v>2026</v>
      </c>
      <c r="H42" s="2142"/>
      <c r="I42" s="426">
        <f>V42</f>
        <v>1784</v>
      </c>
      <c r="J42" s="2142"/>
      <c r="K42" s="2144">
        <f>F42+H42+J42</f>
        <v>0</v>
      </c>
      <c r="L42" s="2493"/>
      <c r="M42" s="2486"/>
      <c r="N42" s="2486"/>
      <c r="O42" s="2486"/>
      <c r="P42" s="3382" t="str">
        <f>A42</f>
        <v>比较价值（元/平方米）</v>
      </c>
      <c r="Q42" s="3382"/>
      <c r="R42" s="3441">
        <f>ROUND(PRODUCT(R41,AA7:AA40),0)</f>
        <v>2010</v>
      </c>
      <c r="S42" s="3441"/>
      <c r="T42" s="3441">
        <f>ROUND(PRODUCT(T41,AB7:AB40),0)</f>
        <v>2026</v>
      </c>
      <c r="U42" s="3441"/>
      <c r="V42" s="3441">
        <f>ROUND(PRODUCT(V41,AC7:AC40),0)</f>
        <v>1784</v>
      </c>
      <c r="W42" s="3441"/>
      <c r="X42" s="385"/>
      <c r="Y42" s="385"/>
      <c r="Z42" s="385"/>
      <c r="AA42" s="385"/>
      <c r="AB42" s="385"/>
      <c r="AC42" s="385"/>
    </row>
    <row r="43" spans="1:31" ht="14.5" thickBot="1">
      <c r="A43" s="427" t="s">
        <v>1794</v>
      </c>
      <c r="B43" s="428"/>
      <c r="C43" s="429">
        <f>R43</f>
        <v>1940</v>
      </c>
      <c r="D43" s="429"/>
      <c r="E43" s="429"/>
      <c r="F43" s="429"/>
      <c r="G43" s="429"/>
      <c r="H43" s="429"/>
      <c r="I43" s="429"/>
      <c r="J43" s="429"/>
      <c r="K43" s="675"/>
      <c r="L43" s="2493"/>
      <c r="M43" s="2486"/>
      <c r="N43" s="2486"/>
      <c r="O43" s="2486"/>
      <c r="P43" s="3379" t="str">
        <f>A43</f>
        <v>估价对象XX用房的比较价值（楼面单价，元/平方米）</v>
      </c>
      <c r="Q43" s="3380"/>
      <c r="R43" s="3442">
        <f>ROUND(IF(D42="简单平均",AVERAGE(R42:W42),R42*F42+T42*H42+V42*J42),0)</f>
        <v>1940</v>
      </c>
      <c r="S43" s="3442"/>
      <c r="T43" s="3442"/>
      <c r="U43" s="3442"/>
      <c r="V43" s="3442"/>
      <c r="W43" s="344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f>IF(E41&lt;E42,E42/E41-1,E41/E42-1)</f>
        <v>0.27512437810945278</v>
      </c>
      <c r="F46" s="435" t="str">
        <f>IF(OR(E46&gt;=0.3,E46&lt;=-0.3),"超过30%","")</f>
        <v/>
      </c>
      <c r="G46" s="434">
        <f>IF(G41&lt;G42,G42/G41-1,G41/G42-1)</f>
        <v>0.26258637709772947</v>
      </c>
      <c r="H46" s="435" t="str">
        <f>IF(OR(G46&gt;=0.3,G46&lt;=-0.3),"超过30%","")</f>
        <v/>
      </c>
      <c r="I46" s="434">
        <f>IF(I41&lt;I42,I42/I41-1,I41/I42-1)</f>
        <v>0.2376681614349776</v>
      </c>
      <c r="J46" s="435" t="str">
        <f>IF(OR(I46&gt;=0.3,I46&lt;=-0.3),"超过30%","")</f>
        <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f>IF(E42&lt;G42,G42/E42-1,E42/G42-1)</f>
        <v>7.9601990049751326E-3</v>
      </c>
      <c r="F47" s="435" t="str">
        <f>IF(OR(E47&gt;=0.2,E47&lt;=-0.2),"超过20%","")</f>
        <v/>
      </c>
      <c r="G47" s="434">
        <f>IF(G42&lt;I42,I42/G42-1,G42/I42-1)</f>
        <v>0.13565022421524664</v>
      </c>
      <c r="H47" s="435" t="str">
        <f>IF(OR(G47&gt;=0.2,G47&lt;=-0.2),"超过20%","")</f>
        <v/>
      </c>
      <c r="I47" s="434">
        <f>IF(I42&lt;E42,E42/I42-1,I42/E42-1)</f>
        <v>0.12668161434977576</v>
      </c>
      <c r="J47" s="435" t="str">
        <f>IF(OR(I47&gt;=0.2,I47&lt;=-0.2),"超过20%","")</f>
        <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f>IF(E41&lt;G41,G41/E41-1,E41/G41-1)</f>
        <v>1.9546520719311289E-3</v>
      </c>
      <c r="F48" s="435" t="str">
        <f>IF(OR(E48&gt;=0.3,E48&lt;=-0.3),"超过30%","")</f>
        <v/>
      </c>
      <c r="G48" s="434">
        <f>IF(G41&lt;I41,I41/G41-1,G41/I41-1)</f>
        <v>0.15851449275362328</v>
      </c>
      <c r="H48" s="435" t="str">
        <f>IF(OR(G48&gt;=0.3,G48&lt;=-0.3),"超过30%","")</f>
        <v/>
      </c>
      <c r="I48" s="434">
        <f>IF(I41&lt;E41,E41/I41-1,I41/E41-1)</f>
        <v>0.16077898550724634</v>
      </c>
      <c r="J48" s="435" t="str">
        <f>IF(OR(I48&gt;=0.3,I48&lt;=-0.3),"超过30%","")</f>
        <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397" t="s">
        <v>1887</v>
      </c>
      <c r="H50" s="3443"/>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f>C43</f>
        <v>1940</v>
      </c>
      <c r="C51" s="610">
        <v>1</v>
      </c>
      <c r="D51" s="890">
        <v>1</v>
      </c>
      <c r="E51" s="610">
        <f>'数据-汇总表'!E8+'数据-汇总表'!E9</f>
        <v>16450.849999999999</v>
      </c>
      <c r="F51" s="611">
        <f t="shared" ref="F51:F60" si="15">ROUND(B51*E51/10000,0)</f>
        <v>3191</v>
      </c>
      <c r="G51" s="3393"/>
      <c r="H51" s="3382"/>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f>ROUND($C$43*C52*D52,0)</f>
        <v>0</v>
      </c>
      <c r="C52" s="163">
        <f t="shared" ref="C52:C60" si="16">IF($C$50="北京市系数",I52,J52)</f>
        <v>0</v>
      </c>
      <c r="D52" s="891">
        <v>0.25</v>
      </c>
      <c r="E52" s="614"/>
      <c r="F52" s="611">
        <f t="shared" si="15"/>
        <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f t="shared" ref="B53:B60" si="17">ROUND($C$43*C53*D53,0)</f>
        <v>0</v>
      </c>
      <c r="C53" s="163">
        <f t="shared" si="16"/>
        <v>0</v>
      </c>
      <c r="D53" s="891">
        <v>0.25</v>
      </c>
      <c r="E53" s="614"/>
      <c r="F53" s="611">
        <f t="shared" si="15"/>
        <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f t="shared" si="17"/>
        <v>0</v>
      </c>
      <c r="C54" s="163">
        <f t="shared" si="16"/>
        <v>0</v>
      </c>
      <c r="D54" s="891">
        <v>0.25</v>
      </c>
      <c r="E54" s="614"/>
      <c r="F54" s="611">
        <f t="shared" si="15"/>
        <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f t="shared" si="17"/>
        <v>0</v>
      </c>
      <c r="C56" s="163">
        <f t="shared" si="16"/>
        <v>0</v>
      </c>
      <c r="D56" s="891">
        <v>0.25</v>
      </c>
      <c r="E56" s="209">
        <f>'数据-汇总表'!E11</f>
        <v>0</v>
      </c>
      <c r="F56" s="611">
        <f t="shared" si="15"/>
        <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f t="shared" si="17"/>
        <v>0</v>
      </c>
      <c r="C57" s="163">
        <f t="shared" si="16"/>
        <v>0</v>
      </c>
      <c r="D57" s="891">
        <v>0.25</v>
      </c>
      <c r="E57" s="209">
        <f>'数据-汇总表'!E12</f>
        <v>0</v>
      </c>
      <c r="F57" s="611">
        <f t="shared" si="15"/>
        <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f t="shared" si="17"/>
        <v>0</v>
      </c>
      <c r="C58" s="163">
        <f t="shared" si="16"/>
        <v>0</v>
      </c>
      <c r="D58" s="891">
        <v>0.25</v>
      </c>
      <c r="E58" s="209">
        <f>'数据-汇总表'!E13</f>
        <v>0</v>
      </c>
      <c r="F58" s="611">
        <f t="shared" si="15"/>
        <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f t="shared" si="17"/>
        <v>0</v>
      </c>
      <c r="C59" s="163">
        <f t="shared" si="16"/>
        <v>0</v>
      </c>
      <c r="D59" s="891">
        <v>0.25</v>
      </c>
      <c r="E59" s="209">
        <f>'数据-汇总表'!E14</f>
        <v>0</v>
      </c>
      <c r="F59" s="611">
        <f t="shared" si="15"/>
        <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f t="shared" si="17"/>
        <v>0</v>
      </c>
      <c r="C60" s="163">
        <f t="shared" si="16"/>
        <v>0</v>
      </c>
      <c r="D60" s="891">
        <v>0.25</v>
      </c>
      <c r="E60" s="209">
        <f>'数据-汇总表'!E15</f>
        <v>0</v>
      </c>
      <c r="F60" s="611">
        <f t="shared" si="15"/>
        <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27183.86</v>
      </c>
      <c r="F61" s="617">
        <f>IF(B41="楼面地价",SUM(F51:F60),ROUND(C43*E61/10000,0))</f>
        <v>5274</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3533" t="s">
        <v>3869</v>
      </c>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v>100</v>
      </c>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0（含）-2</v>
      </c>
      <c r="D74" s="478" t="str">
        <f t="shared" ref="D74:L74" si="20">D75&amp;"（含）"&amp;"-"&amp;E75</f>
        <v>2（含）-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v>0</v>
      </c>
      <c r="D75" s="480">
        <v>2</v>
      </c>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0(含)-10000</v>
      </c>
      <c r="D107" s="461" t="str">
        <f t="shared" si="25"/>
        <v>10000(含)-20000</v>
      </c>
      <c r="E107" s="461" t="str">
        <f t="shared" si="25"/>
        <v>20000(含)-50000</v>
      </c>
      <c r="F107" s="461" t="str">
        <f t="shared" si="25"/>
        <v>50000(含)-80000</v>
      </c>
      <c r="G107" s="461" t="str">
        <f t="shared" si="25"/>
        <v>80000(含)-100000</v>
      </c>
      <c r="H107" s="461" t="str">
        <f t="shared" si="25"/>
        <v>100000(含)-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v>0</v>
      </c>
      <c r="D108" s="6">
        <v>10000</v>
      </c>
      <c r="E108" s="6">
        <v>20000</v>
      </c>
      <c r="F108" s="6">
        <v>50000</v>
      </c>
      <c r="G108" s="6">
        <v>80000</v>
      </c>
      <c r="H108" s="6">
        <v>100000</v>
      </c>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v>100</v>
      </c>
      <c r="D109" s="521">
        <f>C109-1</f>
        <v>99</v>
      </c>
      <c r="E109" s="521">
        <f t="shared" ref="E109:H109" si="26">D109-1</f>
        <v>98</v>
      </c>
      <c r="F109" s="521">
        <f t="shared" si="26"/>
        <v>97</v>
      </c>
      <c r="G109" s="521">
        <f t="shared" si="26"/>
        <v>96</v>
      </c>
      <c r="H109" s="521">
        <f t="shared" si="26"/>
        <v>95</v>
      </c>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7">C111-$K35</f>
        <v>100</v>
      </c>
      <c r="E111" s="475">
        <f t="shared" si="27"/>
        <v>100</v>
      </c>
      <c r="F111" s="475">
        <f t="shared" si="27"/>
        <v>100</v>
      </c>
      <c r="G111" s="475">
        <f t="shared" si="27"/>
        <v>100</v>
      </c>
      <c r="H111" s="475">
        <f t="shared" si="27"/>
        <v>100</v>
      </c>
      <c r="I111" s="475">
        <f t="shared" si="27"/>
        <v>100</v>
      </c>
      <c r="J111" s="475">
        <f t="shared" si="27"/>
        <v>100</v>
      </c>
      <c r="K111" s="475">
        <f t="shared" si="27"/>
        <v>100</v>
      </c>
      <c r="L111" s="475">
        <f t="shared" si="27"/>
        <v>100</v>
      </c>
      <c r="M111" s="476">
        <f t="shared" si="27"/>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8">C113-$K36</f>
        <v>100</v>
      </c>
      <c r="E113" s="475">
        <f t="shared" si="28"/>
        <v>100</v>
      </c>
      <c r="F113" s="475">
        <f t="shared" si="28"/>
        <v>100</v>
      </c>
      <c r="G113" s="475">
        <f t="shared" si="28"/>
        <v>100</v>
      </c>
      <c r="H113" s="475">
        <f t="shared" si="28"/>
        <v>100</v>
      </c>
      <c r="I113" s="475">
        <f t="shared" si="28"/>
        <v>100</v>
      </c>
      <c r="J113" s="475">
        <f t="shared" si="28"/>
        <v>100</v>
      </c>
      <c r="K113" s="475">
        <f t="shared" si="28"/>
        <v>100</v>
      </c>
      <c r="L113" s="475">
        <f t="shared" si="28"/>
        <v>100</v>
      </c>
      <c r="M113" s="476">
        <f t="shared" si="28"/>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9">C115-$K37</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algorithmName="SHA-512" hashValue="QCxosEBJnkfdCwjrkuqeZdMNroJqp7RKy1ty2K8v9Xk8GsLLB26S3yz8QX1XkyU4MWfZPfDHCXb7tMM3L7TkrQ==" saltValue="D0J2Aj4ZGwLADkWykS+GBA==" spinCount="100000"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#DIV/0!</v>
      </c>
      <c r="C2" s="1289" t="s">
        <v>879</v>
      </c>
      <c r="D2" s="1375" t="e">
        <f ca="1">C40+J29+L46</f>
        <v>#DIV/0!</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5" t="s">
        <v>694</v>
      </c>
      <c r="C6" s="1011">
        <f ca="1">ROUND(F6*F8*F7*(1-F9),0)</f>
        <v>0</v>
      </c>
      <c r="D6" s="147" t="s">
        <v>2106</v>
      </c>
      <c r="E6" s="294" t="s">
        <v>696</v>
      </c>
      <c r="F6" s="295">
        <f ca="1">INDIRECT("'数据-取费表'!u"&amp;$G$1)</f>
        <v>0</v>
      </c>
      <c r="G6" s="1292"/>
      <c r="H6" s="1006" t="s">
        <v>398</v>
      </c>
      <c r="I6" s="3355" t="s">
        <v>694</v>
      </c>
      <c r="J6" s="293">
        <f ca="1">ROUND(M6*M8*M7*(1-M9),0)</f>
        <v>0</v>
      </c>
      <c r="K6" s="1284" t="s">
        <v>2107</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0</v>
      </c>
      <c r="G7" s="1292"/>
      <c r="H7" s="296"/>
      <c r="I7" s="3356"/>
      <c r="J7" s="298"/>
      <c r="K7" s="299"/>
      <c r="L7" s="294" t="s">
        <v>697</v>
      </c>
      <c r="M7" s="295">
        <f ca="1">F7</f>
        <v>0</v>
      </c>
    </row>
    <row r="8" spans="1:37" ht="18" customHeight="1">
      <c r="A8" s="296"/>
      <c r="B8" s="3356"/>
      <c r="C8" s="298"/>
      <c r="D8" s="299"/>
      <c r="E8" s="294" t="s">
        <v>698</v>
      </c>
      <c r="F8" s="295">
        <f ca="1">INDIRECT("'数据-取费表'!ai"&amp;$G$1)</f>
        <v>0</v>
      </c>
      <c r="G8" s="1292"/>
      <c r="H8" s="296"/>
      <c r="I8" s="3356"/>
      <c r="J8" s="298"/>
      <c r="K8" s="299"/>
      <c r="L8" s="294" t="s">
        <v>698</v>
      </c>
      <c r="M8" s="295">
        <f ca="1">INDIRECT("'数据-取费表'!ai"&amp;$G$1)</f>
        <v>0</v>
      </c>
    </row>
    <row r="9" spans="1:37" ht="18" customHeight="1">
      <c r="A9" s="296"/>
      <c r="B9" s="3357"/>
      <c r="C9" s="298"/>
      <c r="D9" s="299"/>
      <c r="E9" s="294" t="s">
        <v>699</v>
      </c>
      <c r="F9" s="304">
        <f ca="1">INDIRECT("'数据-取费表'!w"&amp;$G$1)</f>
        <v>0</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ROUND(C13*F37,0)</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t="e">
        <f ca="1">ROUND((C68-C40)/10000,4)</f>
        <v>#DIV/0!</v>
      </c>
      <c r="D45" s="3129" t="s">
        <v>3351</v>
      </c>
      <c r="E45" s="1307"/>
      <c r="F45" s="1307"/>
      <c r="O45" s="1310" t="s">
        <v>808</v>
      </c>
      <c r="P45" s="1366"/>
      <c r="Q45" s="1366"/>
      <c r="R45" s="1366"/>
    </row>
    <row r="46" spans="1:18" s="1292" customFormat="1" ht="14"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3" t="s">
        <v>837</v>
      </c>
      <c r="L53" s="3354"/>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B65" sqref="B65:H66"/>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364" t="s">
        <v>2317</v>
      </c>
      <c r="K2" s="3365"/>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66" t="s">
        <v>2327</v>
      </c>
      <c r="K3" s="3367"/>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66" t="s">
        <v>2329</v>
      </c>
      <c r="K4" s="3367"/>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72" t="s">
        <v>2333</v>
      </c>
      <c r="B6" s="3373"/>
      <c r="C6" s="3374"/>
      <c r="D6" s="2620"/>
      <c r="E6" s="2621"/>
      <c r="F6" s="2622"/>
      <c r="G6" s="2623"/>
      <c r="H6" s="2598"/>
      <c r="I6" s="2599"/>
      <c r="J6" s="3358">
        <v>1</v>
      </c>
      <c r="K6" s="3359"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58"/>
      <c r="K7" s="3360"/>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75" t="s">
        <v>2347</v>
      </c>
      <c r="C8" s="3376"/>
      <c r="D8" s="2639" t="s">
        <v>2348</v>
      </c>
      <c r="E8" s="2640" t="s">
        <v>2349</v>
      </c>
      <c r="F8" s="2641" t="s">
        <v>2350</v>
      </c>
      <c r="G8" s="2642"/>
      <c r="H8" s="2598"/>
      <c r="I8" s="2599"/>
      <c r="J8" s="3358"/>
      <c r="K8" s="3360"/>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75" t="s">
        <v>2353</v>
      </c>
      <c r="C9" s="3376"/>
      <c r="D9" s="2639">
        <f>ROUND(D6*E9,0)</f>
        <v>0</v>
      </c>
      <c r="E9" s="2643"/>
      <c r="F9" s="2644" t="s">
        <v>2354</v>
      </c>
      <c r="G9" s="2623"/>
      <c r="H9" s="2598"/>
      <c r="I9" s="2599"/>
      <c r="J9" s="3358"/>
      <c r="K9" s="3360"/>
      <c r="L9" s="2633" t="s">
        <v>2355</v>
      </c>
      <c r="M9" s="2634"/>
      <c r="N9" s="2610"/>
      <c r="O9" s="2635"/>
      <c r="P9" s="2635"/>
      <c r="Q9" s="2636">
        <v>365</v>
      </c>
      <c r="R9" s="2637">
        <f t="shared" si="0"/>
        <v>0</v>
      </c>
      <c r="S9" s="2591"/>
      <c r="T9" s="2591"/>
      <c r="U9" s="2591"/>
      <c r="V9" s="2599"/>
    </row>
    <row r="10" spans="1:22" s="2603" customFormat="1" ht="13.15" customHeight="1">
      <c r="A10" s="2638">
        <v>2</v>
      </c>
      <c r="B10" s="3375" t="s">
        <v>2356</v>
      </c>
      <c r="C10" s="3376"/>
      <c r="D10" s="2639">
        <f>ROUND(D6*E10,0)</f>
        <v>0</v>
      </c>
      <c r="E10" s="2643"/>
      <c r="F10" s="2644" t="s">
        <v>2357</v>
      </c>
      <c r="G10" s="2623"/>
      <c r="H10" s="2598"/>
      <c r="I10" s="2599"/>
      <c r="J10" s="3358"/>
      <c r="K10" s="3360"/>
      <c r="L10" s="2633" t="s">
        <v>2358</v>
      </c>
      <c r="M10" s="2634"/>
      <c r="N10" s="2610"/>
      <c r="O10" s="2635"/>
      <c r="P10" s="2635"/>
      <c r="Q10" s="2636">
        <v>365</v>
      </c>
      <c r="R10" s="2637">
        <f t="shared" si="0"/>
        <v>0</v>
      </c>
      <c r="S10" s="2591"/>
      <c r="T10" s="2591"/>
      <c r="U10" s="2591"/>
      <c r="V10" s="2599"/>
    </row>
    <row r="11" spans="1:22" s="2603" customFormat="1" ht="13.15" customHeight="1">
      <c r="A11" s="2638">
        <v>3</v>
      </c>
      <c r="B11" s="3375" t="s">
        <v>2359</v>
      </c>
      <c r="C11" s="3376"/>
      <c r="D11" s="2639">
        <f>D12+D14+D15+D16</f>
        <v>0</v>
      </c>
      <c r="E11" s="2645" t="e">
        <f>D11/D6</f>
        <v>#DIV/0!</v>
      </c>
      <c r="F11" s="2641"/>
      <c r="G11" s="2642"/>
      <c r="H11" s="2598"/>
      <c r="I11" s="2599"/>
      <c r="J11" s="3358"/>
      <c r="K11" s="3360"/>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68" t="s">
        <v>2362</v>
      </c>
      <c r="C12" s="3369"/>
      <c r="D12" s="2647">
        <f>ROUND(D13*1.2%*(1-30%),0)</f>
        <v>0</v>
      </c>
      <c r="E12" s="2648">
        <v>1.2E-2</v>
      </c>
      <c r="F12" s="2641" t="s">
        <v>2363</v>
      </c>
      <c r="G12" s="2642"/>
      <c r="H12" s="2598"/>
      <c r="I12" s="2599"/>
      <c r="J12" s="3358"/>
      <c r="K12" s="3360"/>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58"/>
      <c r="K13" s="3360"/>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68" t="s">
        <v>2368</v>
      </c>
      <c r="C14" s="3369"/>
      <c r="D14" s="2647">
        <f>ROUND(E14*B5/10000,0)</f>
        <v>0</v>
      </c>
      <c r="E14" s="2636"/>
      <c r="F14" s="2641" t="s">
        <v>2369</v>
      </c>
      <c r="G14" s="2642"/>
      <c r="H14" s="2598"/>
      <c r="I14" s="2599"/>
      <c r="J14" s="3358"/>
      <c r="K14" s="3361"/>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68" t="s">
        <v>2372</v>
      </c>
      <c r="C15" s="3369"/>
      <c r="D15" s="2647">
        <f>ROUND(D6*E15,0)</f>
        <v>0</v>
      </c>
      <c r="E15" s="2648">
        <v>5.5E-2</v>
      </c>
      <c r="F15" s="2641" t="s">
        <v>2373</v>
      </c>
      <c r="G15" s="2623"/>
      <c r="H15" s="2598"/>
      <c r="I15" s="2599"/>
      <c r="J15" s="3358">
        <v>2</v>
      </c>
      <c r="K15" s="3359"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68" t="s">
        <v>2381</v>
      </c>
      <c r="C16" s="3369"/>
      <c r="D16" s="2658">
        <f>D6*E16</f>
        <v>0</v>
      </c>
      <c r="E16" s="2659"/>
      <c r="F16" s="2644" t="s">
        <v>2382</v>
      </c>
      <c r="G16" s="2623"/>
      <c r="H16" s="2598"/>
      <c r="I16" s="2599"/>
      <c r="J16" s="3358"/>
      <c r="K16" s="3360"/>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70" t="s">
        <v>2384</v>
      </c>
      <c r="C17" s="3371"/>
      <c r="D17" s="2661">
        <f>ROUND(D6*E17,0)</f>
        <v>0</v>
      </c>
      <c r="E17" s="2662"/>
      <c r="F17" s="2663" t="s">
        <v>2385</v>
      </c>
      <c r="G17" s="2623"/>
      <c r="H17" s="2598"/>
      <c r="I17" s="2599"/>
      <c r="J17" s="3358"/>
      <c r="K17" s="3360"/>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58"/>
      <c r="K18" s="3360"/>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58"/>
      <c r="K19" s="3361"/>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58">
        <v>3</v>
      </c>
      <c r="K20" s="3359"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58"/>
      <c r="K21" s="3360"/>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58"/>
      <c r="K22" s="3360"/>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58"/>
      <c r="K23" s="3360"/>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58"/>
      <c r="K24" s="3361"/>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62">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63"/>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64" t="s">
        <v>2317</v>
      </c>
      <c r="K32" s="3365"/>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66" t="s">
        <v>2327</v>
      </c>
      <c r="K33" s="3367"/>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66" t="s">
        <v>2329</v>
      </c>
      <c r="K34" s="3367"/>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58">
        <v>1</v>
      </c>
      <c r="K36" s="3359"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58"/>
      <c r="K37" s="3360"/>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58"/>
      <c r="K38" s="3360"/>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58"/>
      <c r="K39" s="3360"/>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58"/>
      <c r="K40" s="3361"/>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62">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63"/>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B65" sqref="B65:H66"/>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6239</v>
      </c>
      <c r="C2" s="1729" t="s">
        <v>1651</v>
      </c>
      <c r="D2" s="1730" t="s">
        <v>1652</v>
      </c>
      <c r="E2" s="2392">
        <f>SUM(E6:E13)</f>
        <v>16450.849999999999</v>
      </c>
      <c r="F2" s="2478"/>
      <c r="G2" s="459"/>
      <c r="H2" s="459"/>
      <c r="I2" s="459"/>
      <c r="J2" s="459"/>
      <c r="K2" s="459"/>
      <c r="L2" s="459"/>
      <c r="M2" s="459"/>
      <c r="N2" s="459"/>
      <c r="O2" s="459"/>
      <c r="P2" s="459"/>
      <c r="Q2" s="459"/>
      <c r="R2" s="459"/>
      <c r="S2" s="459"/>
    </row>
    <row r="3" spans="1:22" ht="15.5">
      <c r="A3" s="1728" t="s">
        <v>686</v>
      </c>
      <c r="B3" s="2386">
        <f ca="1">ROUND(B2*10000/E2,0)</f>
        <v>3793</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377" t="s">
        <v>1654</v>
      </c>
      <c r="C5" s="3378"/>
      <c r="D5" s="2479"/>
      <c r="E5" s="1731"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6239</v>
      </c>
      <c r="C6" s="1729" t="s">
        <v>1651</v>
      </c>
      <c r="D6" s="2478"/>
      <c r="E6" s="2391">
        <f>IF(OR(A6=0,F6="否"),0,'数据-取费表'!K6+'数据-取费表'!S6)</f>
        <v>16450.849999999999</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16450.849999999999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397" t="s">
        <v>1667</v>
      </c>
      <c r="D4" s="3398"/>
      <c r="E4" s="3399" t="s">
        <v>1668</v>
      </c>
      <c r="F4" s="3400"/>
      <c r="G4" s="3397" t="s">
        <v>1669</v>
      </c>
      <c r="H4" s="3398"/>
      <c r="I4" s="3397" t="s">
        <v>1670</v>
      </c>
      <c r="J4" s="3398"/>
      <c r="K4" s="1744" t="s">
        <v>1671</v>
      </c>
      <c r="L4" s="2485"/>
      <c r="M4" s="2486"/>
      <c r="N4" s="2486"/>
      <c r="O4" s="2486"/>
      <c r="P4" s="3401" t="s">
        <v>1672</v>
      </c>
      <c r="Q4" s="3402"/>
      <c r="R4" s="3407" t="s">
        <v>1668</v>
      </c>
      <c r="S4" s="3408"/>
      <c r="T4" s="3407" t="s">
        <v>1669</v>
      </c>
      <c r="U4" s="3408"/>
      <c r="V4" s="3383" t="s">
        <v>1670</v>
      </c>
      <c r="W4" s="3383"/>
      <c r="X4" s="1265"/>
      <c r="Y4" s="3407" t="s">
        <v>1672</v>
      </c>
      <c r="Z4" s="3408"/>
      <c r="AA4" s="3394" t="s">
        <v>1668</v>
      </c>
      <c r="AB4" s="3394" t="s">
        <v>1669</v>
      </c>
      <c r="AC4" s="3394" t="s">
        <v>1670</v>
      </c>
    </row>
    <row r="5" spans="1:29">
      <c r="A5" s="348"/>
      <c r="B5" s="349"/>
      <c r="C5" s="3415" t="s">
        <v>1673</v>
      </c>
      <c r="D5" s="3416"/>
      <c r="E5" s="3422" t="s">
        <v>1674</v>
      </c>
      <c r="F5" s="3423"/>
      <c r="G5" s="3415" t="s">
        <v>1675</v>
      </c>
      <c r="H5" s="3416"/>
      <c r="I5" s="3415" t="s">
        <v>1676</v>
      </c>
      <c r="J5" s="3416"/>
      <c r="K5" s="1745"/>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1745"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45947</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7" t="s">
        <v>1680</v>
      </c>
      <c r="Q7" s="3419"/>
      <c r="R7" s="664" t="s">
        <v>20</v>
      </c>
      <c r="S7" s="665">
        <f t="shared" ref="S7:S15" si="0">F7</f>
        <v>0</v>
      </c>
      <c r="T7" s="664" t="s">
        <v>20</v>
      </c>
      <c r="U7" s="665">
        <f t="shared" ref="U7:U15" si="1">H7</f>
        <v>0</v>
      </c>
      <c r="V7" s="664" t="s">
        <v>20</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7" t="s">
        <v>1683</v>
      </c>
      <c r="Q8" s="3418"/>
      <c r="R8" s="664" t="s">
        <v>20</v>
      </c>
      <c r="S8" s="665">
        <f t="shared" si="0"/>
        <v>100</v>
      </c>
      <c r="T8" s="664" t="s">
        <v>20</v>
      </c>
      <c r="U8" s="665">
        <f t="shared" si="1"/>
        <v>100</v>
      </c>
      <c r="V8" s="664" t="s">
        <v>20</v>
      </c>
      <c r="W8" s="665">
        <f t="shared" si="2"/>
        <v>100</v>
      </c>
      <c r="X8" s="666"/>
      <c r="Y8" s="3417" t="s">
        <v>1683</v>
      </c>
      <c r="Z8" s="341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3"/>
      <c r="Q11" s="530" t="str">
        <f t="shared" si="6"/>
        <v>容积率</v>
      </c>
      <c r="R11" s="664" t="s">
        <v>18</v>
      </c>
      <c r="S11" s="665" t="e">
        <f t="shared" si="0"/>
        <v>#N/A</v>
      </c>
      <c r="T11" s="664" t="s">
        <v>18</v>
      </c>
      <c r="U11" s="665" t="e">
        <f t="shared" si="1"/>
        <v>#N/A</v>
      </c>
      <c r="V11" s="664" t="s">
        <v>18</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3"/>
      <c r="Q12" s="530">
        <f t="shared" si="6"/>
        <v>111</v>
      </c>
      <c r="R12" s="664" t="s">
        <v>18</v>
      </c>
      <c r="S12" s="665">
        <f t="shared" si="0"/>
        <v>100</v>
      </c>
      <c r="T12" s="664" t="s">
        <v>18</v>
      </c>
      <c r="U12" s="665">
        <f t="shared" si="1"/>
        <v>100</v>
      </c>
      <c r="V12" s="664" t="s">
        <v>18</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3"/>
      <c r="Q13" s="530">
        <f t="shared" si="6"/>
        <v>111</v>
      </c>
      <c r="R13" s="664" t="s">
        <v>18</v>
      </c>
      <c r="S13" s="665">
        <f t="shared" si="0"/>
        <v>100</v>
      </c>
      <c r="T13" s="664" t="s">
        <v>18</v>
      </c>
      <c r="U13" s="665">
        <f t="shared" si="1"/>
        <v>100</v>
      </c>
      <c r="V13" s="664" t="s">
        <v>18</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3"/>
      <c r="Q14" s="530">
        <f t="shared" si="6"/>
        <v>111</v>
      </c>
      <c r="R14" s="664" t="s">
        <v>18</v>
      </c>
      <c r="S14" s="665">
        <f t="shared" si="0"/>
        <v>100</v>
      </c>
      <c r="T14" s="664" t="s">
        <v>18</v>
      </c>
      <c r="U14" s="665">
        <f t="shared" si="1"/>
        <v>100</v>
      </c>
      <c r="V14" s="664" t="s">
        <v>18</v>
      </c>
      <c r="W14" s="665">
        <f t="shared" si="2"/>
        <v>100</v>
      </c>
      <c r="X14" s="666"/>
      <c r="Y14" s="3257"/>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1" t="s">
        <v>1691</v>
      </c>
      <c r="Q15" s="1263" t="str">
        <f t="shared" si="6"/>
        <v>居住社区成熟度</v>
      </c>
      <c r="R15" s="667" t="s">
        <v>18</v>
      </c>
      <c r="S15" s="668">
        <f t="shared" si="0"/>
        <v>100</v>
      </c>
      <c r="T15" s="667" t="s">
        <v>18</v>
      </c>
      <c r="U15" s="668">
        <f t="shared" si="1"/>
        <v>100</v>
      </c>
      <c r="V15" s="667" t="s">
        <v>18</v>
      </c>
      <c r="W15" s="668">
        <f t="shared" si="2"/>
        <v>100</v>
      </c>
      <c r="X15" s="1265"/>
      <c r="Y15" s="3384"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392"/>
      <c r="Q16" s="1263"/>
      <c r="R16" s="667"/>
      <c r="S16" s="668"/>
      <c r="T16" s="667"/>
      <c r="U16" s="668"/>
      <c r="V16" s="667"/>
      <c r="W16" s="668"/>
      <c r="X16" s="1265"/>
      <c r="Y16" s="338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2"/>
      <c r="Q17" s="1263" t="str">
        <f>B17</f>
        <v>交通便捷度</v>
      </c>
      <c r="R17" s="667" t="s">
        <v>18</v>
      </c>
      <c r="S17" s="668">
        <f>F17</f>
        <v>100</v>
      </c>
      <c r="T17" s="667" t="s">
        <v>18</v>
      </c>
      <c r="U17" s="668">
        <f>H17</f>
        <v>100</v>
      </c>
      <c r="V17" s="667" t="s">
        <v>18</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392"/>
      <c r="Q18" s="1263"/>
      <c r="R18" s="667"/>
      <c r="S18" s="668"/>
      <c r="T18" s="667"/>
      <c r="U18" s="668"/>
      <c r="V18" s="667"/>
      <c r="W18" s="668"/>
      <c r="X18" s="1265"/>
      <c r="Y18" s="3385"/>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2"/>
      <c r="Q19" s="1263" t="str">
        <f>B19</f>
        <v>公共配套设施</v>
      </c>
      <c r="R19" s="667" t="s">
        <v>18</v>
      </c>
      <c r="S19" s="668">
        <f>F19</f>
        <v>100</v>
      </c>
      <c r="T19" s="667" t="s">
        <v>18</v>
      </c>
      <c r="U19" s="668">
        <f>H19</f>
        <v>100</v>
      </c>
      <c r="V19" s="667" t="s">
        <v>18</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392"/>
      <c r="Q20" s="1263"/>
      <c r="R20" s="667"/>
      <c r="S20" s="668"/>
      <c r="T20" s="667"/>
      <c r="U20" s="668"/>
      <c r="V20" s="667"/>
      <c r="W20" s="668"/>
      <c r="X20" s="1265"/>
      <c r="Y20" s="3385"/>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392"/>
      <c r="Q22" s="1263"/>
      <c r="R22" s="667"/>
      <c r="S22" s="668"/>
      <c r="T22" s="667"/>
      <c r="U22" s="668"/>
      <c r="V22" s="667"/>
      <c r="W22" s="668"/>
      <c r="X22" s="1265"/>
      <c r="Y22" s="3385"/>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2"/>
      <c r="Q23" s="1263" t="str">
        <f>B23</f>
        <v>自然及人文环境</v>
      </c>
      <c r="R23" s="667" t="s">
        <v>18</v>
      </c>
      <c r="S23" s="668">
        <f>F23</f>
        <v>100</v>
      </c>
      <c r="T23" s="667" t="s">
        <v>18</v>
      </c>
      <c r="U23" s="668">
        <f>H23</f>
        <v>100</v>
      </c>
      <c r="V23" s="667" t="s">
        <v>18</v>
      </c>
      <c r="W23" s="668">
        <f>J23</f>
        <v>100</v>
      </c>
      <c r="X23" s="1265"/>
      <c r="Y23" s="3385"/>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392"/>
      <c r="Q24" s="1263"/>
      <c r="R24" s="667"/>
      <c r="S24" s="668"/>
      <c r="T24" s="667"/>
      <c r="U24" s="668"/>
      <c r="V24" s="667"/>
      <c r="W24" s="668"/>
      <c r="X24" s="1265"/>
      <c r="Y24" s="3385"/>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5"/>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92"/>
      <c r="Q26" s="1263" t="str">
        <f t="shared" si="11"/>
        <v>朝向</v>
      </c>
      <c r="R26" s="667" t="s">
        <v>18</v>
      </c>
      <c r="S26" s="668">
        <f t="shared" si="12"/>
        <v>100</v>
      </c>
      <c r="T26" s="667" t="s">
        <v>18</v>
      </c>
      <c r="U26" s="668">
        <f t="shared" si="13"/>
        <v>100</v>
      </c>
      <c r="V26" s="667" t="s">
        <v>18</v>
      </c>
      <c r="W26" s="668">
        <f t="shared" si="14"/>
        <v>100</v>
      </c>
      <c r="X26" s="1265"/>
      <c r="Y26" s="3385"/>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92"/>
      <c r="Q27" s="530">
        <f t="shared" si="11"/>
        <v>111</v>
      </c>
      <c r="R27" s="664" t="s">
        <v>18</v>
      </c>
      <c r="S27" s="665">
        <f t="shared" si="12"/>
        <v>100</v>
      </c>
      <c r="T27" s="664" t="s">
        <v>18</v>
      </c>
      <c r="U27" s="665">
        <f t="shared" si="13"/>
        <v>100</v>
      </c>
      <c r="V27" s="664" t="s">
        <v>18</v>
      </c>
      <c r="W27" s="665">
        <f t="shared" si="14"/>
        <v>100</v>
      </c>
      <c r="X27" s="666"/>
      <c r="Y27" s="3385"/>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2"/>
      <c r="Q28" s="1263">
        <f t="shared" si="11"/>
        <v>111</v>
      </c>
      <c r="R28" s="667" t="s">
        <v>18</v>
      </c>
      <c r="S28" s="668">
        <f t="shared" si="12"/>
        <v>100</v>
      </c>
      <c r="T28" s="667" t="s">
        <v>18</v>
      </c>
      <c r="U28" s="668">
        <f t="shared" si="13"/>
        <v>100</v>
      </c>
      <c r="V28" s="667" t="s">
        <v>18</v>
      </c>
      <c r="W28" s="668">
        <f t="shared" si="14"/>
        <v>100</v>
      </c>
      <c r="X28" s="1265"/>
      <c r="Y28" s="3385"/>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2"/>
      <c r="Q29" s="1263">
        <f t="shared" si="11"/>
        <v>111</v>
      </c>
      <c r="R29" s="667" t="s">
        <v>18</v>
      </c>
      <c r="S29" s="668">
        <f t="shared" si="12"/>
        <v>100</v>
      </c>
      <c r="T29" s="667" t="s">
        <v>18</v>
      </c>
      <c r="U29" s="668">
        <f t="shared" si="13"/>
        <v>100</v>
      </c>
      <c r="V29" s="667" t="s">
        <v>18</v>
      </c>
      <c r="W29" s="668">
        <f t="shared" si="14"/>
        <v>100</v>
      </c>
      <c r="X29" s="1265"/>
      <c r="Y29" s="3385"/>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2"/>
      <c r="Q30" s="1263">
        <f t="shared" si="11"/>
        <v>111</v>
      </c>
      <c r="R30" s="667" t="s">
        <v>18</v>
      </c>
      <c r="S30" s="668">
        <f t="shared" si="12"/>
        <v>100</v>
      </c>
      <c r="T30" s="667" t="s">
        <v>18</v>
      </c>
      <c r="U30" s="668">
        <f t="shared" si="13"/>
        <v>100</v>
      </c>
      <c r="V30" s="667" t="s">
        <v>18</v>
      </c>
      <c r="W30" s="668">
        <f t="shared" si="14"/>
        <v>100</v>
      </c>
      <c r="X30" s="1265"/>
      <c r="Y30" s="3385"/>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2"/>
      <c r="Q31" s="1263">
        <f t="shared" si="11"/>
        <v>111</v>
      </c>
      <c r="R31" s="667" t="s">
        <v>18</v>
      </c>
      <c r="S31" s="668">
        <f t="shared" si="12"/>
        <v>100</v>
      </c>
      <c r="T31" s="667" t="s">
        <v>18</v>
      </c>
      <c r="U31" s="668">
        <f t="shared" si="13"/>
        <v>100</v>
      </c>
      <c r="V31" s="667" t="s">
        <v>18</v>
      </c>
      <c r="W31" s="668">
        <f t="shared" si="14"/>
        <v>100</v>
      </c>
      <c r="X31" s="1265"/>
      <c r="Y31" s="3385"/>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6" t="s">
        <v>1696</v>
      </c>
      <c r="Q32" s="1263" t="str">
        <f t="shared" si="11"/>
        <v>建筑类型</v>
      </c>
      <c r="R32" s="667" t="s">
        <v>18</v>
      </c>
      <c r="S32" s="668">
        <f t="shared" si="12"/>
        <v>100</v>
      </c>
      <c r="T32" s="667" t="s">
        <v>18</v>
      </c>
      <c r="U32" s="668">
        <f t="shared" si="13"/>
        <v>100</v>
      </c>
      <c r="V32" s="667" t="s">
        <v>18</v>
      </c>
      <c r="W32" s="668">
        <f t="shared" si="14"/>
        <v>100</v>
      </c>
      <c r="X32" s="1265"/>
      <c r="Y32" s="3389"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7"/>
      <c r="Q33" s="531" t="str">
        <f t="shared" si="11"/>
        <v>项目建筑规模</v>
      </c>
      <c r="R33" s="669" t="s">
        <v>18</v>
      </c>
      <c r="S33" s="670" t="e">
        <f t="shared" si="12"/>
        <v>#N/A</v>
      </c>
      <c r="T33" s="669" t="s">
        <v>18</v>
      </c>
      <c r="U33" s="670" t="e">
        <f t="shared" si="13"/>
        <v>#N/A</v>
      </c>
      <c r="V33" s="669" t="s">
        <v>18</v>
      </c>
      <c r="W33" s="670" t="e">
        <f t="shared" si="14"/>
        <v>#N/A</v>
      </c>
      <c r="X33" s="671"/>
      <c r="Y33" s="3389"/>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7"/>
      <c r="Q34" s="1263" t="str">
        <f t="shared" si="11"/>
        <v>建筑结构</v>
      </c>
      <c r="R34" s="667" t="s">
        <v>18</v>
      </c>
      <c r="S34" s="668">
        <f t="shared" si="12"/>
        <v>100</v>
      </c>
      <c r="T34" s="667" t="s">
        <v>18</v>
      </c>
      <c r="U34" s="668">
        <f t="shared" si="13"/>
        <v>100</v>
      </c>
      <c r="V34" s="667" t="s">
        <v>18</v>
      </c>
      <c r="W34" s="668">
        <f t="shared" si="14"/>
        <v>100</v>
      </c>
      <c r="X34" s="1265"/>
      <c r="Y34" s="3389"/>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7"/>
      <c r="Q35" s="1263" t="str">
        <f t="shared" si="11"/>
        <v>建筑品质</v>
      </c>
      <c r="R35" s="667" t="s">
        <v>18</v>
      </c>
      <c r="S35" s="668">
        <f t="shared" si="12"/>
        <v>100</v>
      </c>
      <c r="T35" s="667" t="s">
        <v>18</v>
      </c>
      <c r="U35" s="668">
        <f t="shared" si="13"/>
        <v>100</v>
      </c>
      <c r="V35" s="667" t="s">
        <v>18</v>
      </c>
      <c r="W35" s="668">
        <f t="shared" si="14"/>
        <v>100</v>
      </c>
      <c r="X35" s="1265"/>
      <c r="Y35" s="3389"/>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7"/>
      <c r="Q36" s="1263" t="str">
        <f t="shared" si="11"/>
        <v>公共部分装修</v>
      </c>
      <c r="R36" s="667" t="s">
        <v>18</v>
      </c>
      <c r="S36" s="668">
        <f t="shared" si="12"/>
        <v>100</v>
      </c>
      <c r="T36" s="667" t="s">
        <v>18</v>
      </c>
      <c r="U36" s="668">
        <f t="shared" si="13"/>
        <v>100</v>
      </c>
      <c r="V36" s="667" t="s">
        <v>18</v>
      </c>
      <c r="W36" s="668">
        <f t="shared" si="14"/>
        <v>100</v>
      </c>
      <c r="X36" s="1265"/>
      <c r="Y36" s="3389"/>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7"/>
      <c r="Q37" s="530" t="str">
        <f t="shared" si="11"/>
        <v>成新度</v>
      </c>
      <c r="R37" s="664" t="s">
        <v>18</v>
      </c>
      <c r="S37" s="665" t="e">
        <f t="shared" si="12"/>
        <v>#N/A</v>
      </c>
      <c r="T37" s="664" t="s">
        <v>18</v>
      </c>
      <c r="U37" s="665" t="e">
        <f t="shared" si="13"/>
        <v>#N/A</v>
      </c>
      <c r="V37" s="664" t="s">
        <v>18</v>
      </c>
      <c r="W37" s="665" t="e">
        <f t="shared" si="14"/>
        <v>#N/A</v>
      </c>
      <c r="X37" s="666"/>
      <c r="Y37" s="3389"/>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7" t="s">
        <v>1696</v>
      </c>
      <c r="Q38" s="1263" t="str">
        <f t="shared" si="11"/>
        <v>物业管理</v>
      </c>
      <c r="R38" s="667" t="s">
        <v>18</v>
      </c>
      <c r="S38" s="668">
        <f t="shared" si="12"/>
        <v>100</v>
      </c>
      <c r="T38" s="667" t="s">
        <v>18</v>
      </c>
      <c r="U38" s="668">
        <f t="shared" si="13"/>
        <v>100</v>
      </c>
      <c r="V38" s="667" t="s">
        <v>18</v>
      </c>
      <c r="W38" s="668">
        <f t="shared" si="14"/>
        <v>100</v>
      </c>
      <c r="X38" s="1265"/>
      <c r="Y38" s="3389"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7"/>
      <c r="Q39" s="1263" t="str">
        <f t="shared" si="11"/>
        <v>市政基础设施</v>
      </c>
      <c r="R39" s="667" t="s">
        <v>18</v>
      </c>
      <c r="S39" s="668">
        <f t="shared" si="12"/>
        <v>100</v>
      </c>
      <c r="T39" s="667" t="s">
        <v>18</v>
      </c>
      <c r="U39" s="668">
        <f t="shared" si="13"/>
        <v>100</v>
      </c>
      <c r="V39" s="667" t="s">
        <v>18</v>
      </c>
      <c r="W39" s="668">
        <f t="shared" si="14"/>
        <v>100</v>
      </c>
      <c r="X39" s="1265"/>
      <c r="Y39" s="3389"/>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7"/>
      <c r="Q40" s="1263" t="str">
        <f t="shared" si="11"/>
        <v>房型</v>
      </c>
      <c r="R40" s="667" t="s">
        <v>18</v>
      </c>
      <c r="S40" s="668">
        <f t="shared" si="12"/>
        <v>100</v>
      </c>
      <c r="T40" s="667" t="s">
        <v>18</v>
      </c>
      <c r="U40" s="668">
        <f t="shared" si="13"/>
        <v>100</v>
      </c>
      <c r="V40" s="667" t="s">
        <v>18</v>
      </c>
      <c r="W40" s="668">
        <f t="shared" si="14"/>
        <v>100</v>
      </c>
      <c r="X40" s="1265"/>
      <c r="Y40" s="338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7"/>
      <c r="Q41" s="531" t="str">
        <f t="shared" si="11"/>
        <v>单套/主力户型建筑面积</v>
      </c>
      <c r="R41" s="669" t="s">
        <v>18</v>
      </c>
      <c r="S41" s="670">
        <f t="shared" si="12"/>
        <v>100</v>
      </c>
      <c r="T41" s="669" t="s">
        <v>18</v>
      </c>
      <c r="U41" s="670">
        <f t="shared" si="13"/>
        <v>100</v>
      </c>
      <c r="V41" s="669" t="s">
        <v>18</v>
      </c>
      <c r="W41" s="670">
        <f t="shared" si="14"/>
        <v>100</v>
      </c>
      <c r="X41" s="671"/>
      <c r="Y41" s="3389"/>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7"/>
      <c r="Q42" s="1263" t="str">
        <f t="shared" si="11"/>
        <v>内部装修</v>
      </c>
      <c r="R42" s="667" t="s">
        <v>18</v>
      </c>
      <c r="S42" s="668">
        <f t="shared" si="12"/>
        <v>100</v>
      </c>
      <c r="T42" s="667" t="s">
        <v>18</v>
      </c>
      <c r="U42" s="668">
        <f t="shared" si="13"/>
        <v>100</v>
      </c>
      <c r="V42" s="667" t="s">
        <v>18</v>
      </c>
      <c r="W42" s="668">
        <f t="shared" si="14"/>
        <v>100</v>
      </c>
      <c r="X42" s="1265"/>
      <c r="Y42" s="3389"/>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7"/>
      <c r="Q43" s="1263" t="str">
        <f t="shared" si="11"/>
        <v>内部装修维护情况</v>
      </c>
      <c r="R43" s="667" t="s">
        <v>18</v>
      </c>
      <c r="S43" s="668">
        <f t="shared" si="12"/>
        <v>100</v>
      </c>
      <c r="T43" s="667" t="s">
        <v>18</v>
      </c>
      <c r="U43" s="668">
        <f t="shared" si="13"/>
        <v>100</v>
      </c>
      <c r="V43" s="667" t="s">
        <v>18</v>
      </c>
      <c r="W43" s="668">
        <f t="shared" si="14"/>
        <v>100</v>
      </c>
      <c r="X43" s="1265"/>
      <c r="Y43" s="3389"/>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7"/>
      <c r="Q44" s="530">
        <f t="shared" si="11"/>
        <v>111</v>
      </c>
      <c r="R44" s="664" t="s">
        <v>18</v>
      </c>
      <c r="S44" s="665">
        <f t="shared" si="12"/>
        <v>100</v>
      </c>
      <c r="T44" s="664" t="s">
        <v>18</v>
      </c>
      <c r="U44" s="665">
        <f t="shared" si="13"/>
        <v>100</v>
      </c>
      <c r="V44" s="664" t="s">
        <v>18</v>
      </c>
      <c r="W44" s="665">
        <f t="shared" si="14"/>
        <v>100</v>
      </c>
      <c r="X44" s="666"/>
      <c r="Y44" s="3389"/>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7"/>
      <c r="Q45" s="1263">
        <f t="shared" si="11"/>
        <v>111</v>
      </c>
      <c r="R45" s="667" t="s">
        <v>18</v>
      </c>
      <c r="S45" s="668">
        <f t="shared" si="12"/>
        <v>100</v>
      </c>
      <c r="T45" s="667" t="s">
        <v>18</v>
      </c>
      <c r="U45" s="668">
        <f t="shared" si="13"/>
        <v>100</v>
      </c>
      <c r="V45" s="667" t="s">
        <v>18</v>
      </c>
      <c r="W45" s="668">
        <f t="shared" si="14"/>
        <v>100</v>
      </c>
      <c r="X45" s="1265"/>
      <c r="Y45" s="3389"/>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8"/>
      <c r="Q46" s="1263">
        <f t="shared" si="11"/>
        <v>111</v>
      </c>
      <c r="R46" s="667" t="s">
        <v>17</v>
      </c>
      <c r="S46" s="668">
        <f t="shared" si="12"/>
        <v>100</v>
      </c>
      <c r="T46" s="667" t="s">
        <v>17</v>
      </c>
      <c r="U46" s="668">
        <f t="shared" si="13"/>
        <v>100</v>
      </c>
      <c r="V46" s="667" t="s">
        <v>17</v>
      </c>
      <c r="W46" s="668">
        <f t="shared" si="14"/>
        <v>100</v>
      </c>
      <c r="X46" s="1265"/>
      <c r="Y46" s="3390"/>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382" t="str">
        <f>A47</f>
        <v>成交单价（元/平方米）</v>
      </c>
      <c r="Q47" s="3382"/>
      <c r="R47" s="3383">
        <f>E47</f>
        <v>0</v>
      </c>
      <c r="S47" s="3383"/>
      <c r="T47" s="3383">
        <f>G47</f>
        <v>0</v>
      </c>
      <c r="U47" s="3383"/>
      <c r="V47" s="3383">
        <f>I47</f>
        <v>0</v>
      </c>
      <c r="W47" s="3383"/>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16450.849999999999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83"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83"/>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83"/>
      <c r="AC6" s="3396"/>
    </row>
    <row r="7" spans="1:29" s="102" customFormat="1" ht="14.5" thickBot="1">
      <c r="A7" s="352" t="s">
        <v>1679</v>
      </c>
      <c r="B7" s="353"/>
      <c r="C7" s="354">
        <f>'数据-取费表'!B2</f>
        <v>45947</v>
      </c>
      <c r="D7" s="355">
        <v>100</v>
      </c>
      <c r="E7" s="356"/>
      <c r="F7" s="357">
        <f>SUMIF(58:58,YEAR(E7)&amp;"-"&amp;MONTH(E7),59:59)</f>
        <v>0</v>
      </c>
      <c r="G7" s="356"/>
      <c r="H7" s="355">
        <f>SUMIF(58:58,YEAR(G7)&amp;"-"&amp;MONTH(G7),59:59)</f>
        <v>0</v>
      </c>
      <c r="I7" s="356"/>
      <c r="J7" s="355">
        <f>SUMIF(58:58,YEAR(I7)&amp;"-"&amp;MONTH(I7),59:59)</f>
        <v>0</v>
      </c>
      <c r="K7" s="38"/>
      <c r="L7" s="2487"/>
      <c r="M7" s="2439"/>
      <c r="N7" s="2439"/>
      <c r="O7" s="2439"/>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3"/>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3"/>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3"/>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3"/>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1" t="s">
        <v>1691</v>
      </c>
      <c r="Q15" s="1263" t="str">
        <f t="shared" si="6"/>
        <v>商业繁华度</v>
      </c>
      <c r="R15" s="667" t="s">
        <v>14</v>
      </c>
      <c r="S15" s="668">
        <f t="shared" si="0"/>
        <v>100</v>
      </c>
      <c r="T15" s="667" t="s">
        <v>14</v>
      </c>
      <c r="U15" s="668">
        <f t="shared" si="1"/>
        <v>100</v>
      </c>
      <c r="V15" s="667" t="s">
        <v>14</v>
      </c>
      <c r="W15" s="668">
        <f t="shared" si="2"/>
        <v>100</v>
      </c>
      <c r="X15" s="1265"/>
      <c r="Y15" s="3384"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392"/>
      <c r="Q16" s="1263"/>
      <c r="R16" s="667"/>
      <c r="S16" s="668"/>
      <c r="T16" s="667"/>
      <c r="U16" s="668"/>
      <c r="V16" s="667"/>
      <c r="W16" s="668"/>
      <c r="X16" s="1265"/>
      <c r="Y16" s="338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2"/>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1"/>
      <c r="M18" s="2486"/>
      <c r="N18" s="2486"/>
      <c r="O18" s="2486"/>
      <c r="P18" s="3392"/>
      <c r="Q18" s="1263"/>
      <c r="R18" s="667"/>
      <c r="S18" s="668"/>
      <c r="T18" s="667"/>
      <c r="U18" s="668"/>
      <c r="V18" s="667"/>
      <c r="W18" s="668"/>
      <c r="X18" s="1265"/>
      <c r="Y18" s="3385"/>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2"/>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1"/>
      <c r="M20" s="2486"/>
      <c r="N20" s="2486"/>
      <c r="O20" s="2486"/>
      <c r="P20" s="3392"/>
      <c r="Q20" s="1263"/>
      <c r="R20" s="667"/>
      <c r="S20" s="668"/>
      <c r="T20" s="667"/>
      <c r="U20" s="668"/>
      <c r="V20" s="667"/>
      <c r="W20" s="668"/>
      <c r="X20" s="1265"/>
      <c r="Y20" s="3385"/>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1"/>
      <c r="M22" s="2486"/>
      <c r="N22" s="2486"/>
      <c r="O22" s="2486"/>
      <c r="P22" s="3392"/>
      <c r="Q22" s="1263"/>
      <c r="R22" s="667"/>
      <c r="S22" s="668"/>
      <c r="T22" s="667"/>
      <c r="U22" s="668"/>
      <c r="V22" s="667"/>
      <c r="W22" s="668"/>
      <c r="X22" s="1265"/>
      <c r="Y22" s="3385"/>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2"/>
      <c r="Q23" s="1263" t="str">
        <f>B23</f>
        <v>自然及人文环境</v>
      </c>
      <c r="R23" s="667" t="s">
        <v>14</v>
      </c>
      <c r="S23" s="668">
        <f>F23</f>
        <v>100</v>
      </c>
      <c r="T23" s="667" t="s">
        <v>14</v>
      </c>
      <c r="U23" s="668">
        <f>H23</f>
        <v>100</v>
      </c>
      <c r="V23" s="667" t="s">
        <v>14</v>
      </c>
      <c r="W23" s="668">
        <f>J23</f>
        <v>100</v>
      </c>
      <c r="X23" s="1265"/>
      <c r="Y23" s="3385"/>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1"/>
      <c r="M24" s="2486"/>
      <c r="N24" s="2486"/>
      <c r="O24" s="2486"/>
      <c r="P24" s="3392"/>
      <c r="Q24" s="1263"/>
      <c r="R24" s="667"/>
      <c r="S24" s="668"/>
      <c r="T24" s="667"/>
      <c r="U24" s="668"/>
      <c r="V24" s="667"/>
      <c r="W24" s="668"/>
      <c r="X24" s="1265"/>
      <c r="Y24" s="3385"/>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2"/>
      <c r="Q25" s="1263" t="str">
        <f t="shared" ref="Q25:Q46" si="11">B25</f>
        <v>临街状况</v>
      </c>
      <c r="R25" s="667" t="s">
        <v>14</v>
      </c>
      <c r="S25" s="668">
        <f>F25</f>
        <v>100</v>
      </c>
      <c r="T25" s="667" t="s">
        <v>14</v>
      </c>
      <c r="U25" s="668">
        <f>H25</f>
        <v>100</v>
      </c>
      <c r="V25" s="667" t="s">
        <v>14</v>
      </c>
      <c r="W25" s="668">
        <f>J25</f>
        <v>100</v>
      </c>
      <c r="X25" s="1265"/>
      <c r="Y25" s="3385"/>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2"/>
      <c r="Q26" s="1263" t="str">
        <f t="shared" si="11"/>
        <v>平面位置/可视性</v>
      </c>
      <c r="R26" s="667" t="s">
        <v>14</v>
      </c>
      <c r="S26" s="668">
        <f>F26</f>
        <v>100</v>
      </c>
      <c r="T26" s="667" t="s">
        <v>14</v>
      </c>
      <c r="U26" s="668">
        <f>H26</f>
        <v>100</v>
      </c>
      <c r="V26" s="667" t="s">
        <v>14</v>
      </c>
      <c r="W26" s="668">
        <f>J26</f>
        <v>100</v>
      </c>
      <c r="X26" s="1265"/>
      <c r="Y26" s="3385"/>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92"/>
      <c r="Q27" s="530" t="str">
        <f t="shared" si="11"/>
        <v>人流量</v>
      </c>
      <c r="R27" s="664" t="s">
        <v>14</v>
      </c>
      <c r="S27" s="665">
        <f>F27</f>
        <v>100</v>
      </c>
      <c r="T27" s="664" t="s">
        <v>14</v>
      </c>
      <c r="U27" s="665">
        <f>H27</f>
        <v>100</v>
      </c>
      <c r="V27" s="664" t="s">
        <v>14</v>
      </c>
      <c r="W27" s="665">
        <f>J27</f>
        <v>100</v>
      </c>
      <c r="X27" s="666"/>
      <c r="Y27" s="3385"/>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5"/>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2"/>
      <c r="Q29" s="1263">
        <f t="shared" si="11"/>
        <v>111</v>
      </c>
      <c r="R29" s="667" t="s">
        <v>14</v>
      </c>
      <c r="S29" s="668">
        <f t="shared" si="12"/>
        <v>100</v>
      </c>
      <c r="T29" s="667" t="s">
        <v>14</v>
      </c>
      <c r="U29" s="668">
        <f t="shared" si="13"/>
        <v>100</v>
      </c>
      <c r="V29" s="667" t="s">
        <v>14</v>
      </c>
      <c r="W29" s="668">
        <f t="shared" si="14"/>
        <v>100</v>
      </c>
      <c r="X29" s="1265"/>
      <c r="Y29" s="3385"/>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2"/>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2"/>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86" t="s">
        <v>1696</v>
      </c>
      <c r="Q32" s="1263" t="str">
        <f t="shared" si="11"/>
        <v>商业类型</v>
      </c>
      <c r="R32" s="667" t="s">
        <v>14</v>
      </c>
      <c r="S32" s="668">
        <f t="shared" si="12"/>
        <v>100</v>
      </c>
      <c r="T32" s="667" t="s">
        <v>14</v>
      </c>
      <c r="U32" s="668">
        <f t="shared" si="13"/>
        <v>100</v>
      </c>
      <c r="V32" s="667" t="s">
        <v>14</v>
      </c>
      <c r="W32" s="668">
        <f t="shared" si="14"/>
        <v>100</v>
      </c>
      <c r="X32" s="1265"/>
      <c r="Y32" s="3389"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7"/>
      <c r="Q33" s="531" t="str">
        <f t="shared" si="11"/>
        <v>项目建筑规模</v>
      </c>
      <c r="R33" s="669" t="s">
        <v>14</v>
      </c>
      <c r="S33" s="670" t="e">
        <f t="shared" si="12"/>
        <v>#N/A</v>
      </c>
      <c r="T33" s="669" t="s">
        <v>14</v>
      </c>
      <c r="U33" s="670" t="e">
        <f t="shared" si="13"/>
        <v>#N/A</v>
      </c>
      <c r="V33" s="669" t="s">
        <v>14</v>
      </c>
      <c r="W33" s="670" t="e">
        <f t="shared" si="14"/>
        <v>#N/A</v>
      </c>
      <c r="X33" s="671"/>
      <c r="Y33" s="3389"/>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7"/>
      <c r="Q34" s="1263" t="str">
        <f t="shared" si="11"/>
        <v>建筑结构</v>
      </c>
      <c r="R34" s="667" t="s">
        <v>14</v>
      </c>
      <c r="S34" s="668">
        <f t="shared" si="12"/>
        <v>100</v>
      </c>
      <c r="T34" s="667" t="s">
        <v>14</v>
      </c>
      <c r="U34" s="668">
        <f t="shared" si="13"/>
        <v>100</v>
      </c>
      <c r="V34" s="667" t="s">
        <v>14</v>
      </c>
      <c r="W34" s="668">
        <f t="shared" si="14"/>
        <v>100</v>
      </c>
      <c r="X34" s="1265"/>
      <c r="Y34" s="3389"/>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7"/>
      <c r="Q35" s="1263" t="str">
        <f t="shared" si="11"/>
        <v>公共部分装修</v>
      </c>
      <c r="R35" s="667" t="s">
        <v>14</v>
      </c>
      <c r="S35" s="668">
        <f t="shared" si="12"/>
        <v>100</v>
      </c>
      <c r="T35" s="667" t="s">
        <v>14</v>
      </c>
      <c r="U35" s="668">
        <f t="shared" si="13"/>
        <v>100</v>
      </c>
      <c r="V35" s="667" t="s">
        <v>14</v>
      </c>
      <c r="W35" s="668">
        <f t="shared" si="14"/>
        <v>100</v>
      </c>
      <c r="X35" s="1265"/>
      <c r="Y35" s="3389"/>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7"/>
      <c r="Q36" s="1263" t="str">
        <f t="shared" si="11"/>
        <v>成新度</v>
      </c>
      <c r="R36" s="667" t="s">
        <v>14</v>
      </c>
      <c r="S36" s="668" t="e">
        <f t="shared" si="12"/>
        <v>#N/A</v>
      </c>
      <c r="T36" s="667" t="s">
        <v>14</v>
      </c>
      <c r="U36" s="668" t="e">
        <f t="shared" si="13"/>
        <v>#N/A</v>
      </c>
      <c r="V36" s="667" t="s">
        <v>14</v>
      </c>
      <c r="W36" s="668" t="e">
        <f t="shared" si="14"/>
        <v>#N/A</v>
      </c>
      <c r="X36" s="1265"/>
      <c r="Y36" s="3389"/>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7"/>
      <c r="Q37" s="530" t="str">
        <f t="shared" si="11"/>
        <v>市政基础设施</v>
      </c>
      <c r="R37" s="664" t="s">
        <v>14</v>
      </c>
      <c r="S37" s="665">
        <f t="shared" si="12"/>
        <v>100</v>
      </c>
      <c r="T37" s="664" t="s">
        <v>14</v>
      </c>
      <c r="U37" s="665">
        <f t="shared" si="13"/>
        <v>100</v>
      </c>
      <c r="V37" s="664" t="s">
        <v>14</v>
      </c>
      <c r="W37" s="665">
        <f t="shared" si="14"/>
        <v>100</v>
      </c>
      <c r="X37" s="666"/>
      <c r="Y37" s="3389"/>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7" t="s">
        <v>1696</v>
      </c>
      <c r="Q38" s="1263" t="str">
        <f t="shared" si="11"/>
        <v>业态</v>
      </c>
      <c r="R38" s="667" t="s">
        <v>14</v>
      </c>
      <c r="S38" s="668">
        <f t="shared" si="12"/>
        <v>100</v>
      </c>
      <c r="T38" s="667" t="s">
        <v>14</v>
      </c>
      <c r="U38" s="668">
        <f t="shared" si="13"/>
        <v>100</v>
      </c>
      <c r="V38" s="667" t="s">
        <v>14</v>
      </c>
      <c r="W38" s="668">
        <f t="shared" si="14"/>
        <v>100</v>
      </c>
      <c r="X38" s="1265"/>
      <c r="Y38" s="3389"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7"/>
      <c r="Q39" s="1263" t="str">
        <f t="shared" si="11"/>
        <v>层高</v>
      </c>
      <c r="R39" s="667" t="s">
        <v>14</v>
      </c>
      <c r="S39" s="668">
        <f t="shared" si="12"/>
        <v>100</v>
      </c>
      <c r="T39" s="667" t="s">
        <v>14</v>
      </c>
      <c r="U39" s="668">
        <f t="shared" si="13"/>
        <v>100</v>
      </c>
      <c r="V39" s="667" t="s">
        <v>14</v>
      </c>
      <c r="W39" s="668">
        <f t="shared" si="14"/>
        <v>100</v>
      </c>
      <c r="X39" s="1265"/>
      <c r="Y39" s="3389"/>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7"/>
      <c r="Q40" s="1263" t="str">
        <f t="shared" si="11"/>
        <v>单套建筑面积</v>
      </c>
      <c r="R40" s="667" t="s">
        <v>14</v>
      </c>
      <c r="S40" s="668">
        <f t="shared" si="12"/>
        <v>100</v>
      </c>
      <c r="T40" s="667" t="s">
        <v>14</v>
      </c>
      <c r="U40" s="668">
        <f t="shared" si="13"/>
        <v>100</v>
      </c>
      <c r="V40" s="667" t="s">
        <v>14</v>
      </c>
      <c r="W40" s="668">
        <f t="shared" si="14"/>
        <v>100</v>
      </c>
      <c r="X40" s="1265"/>
      <c r="Y40" s="3389"/>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7"/>
      <c r="Q41" s="531" t="str">
        <f t="shared" si="11"/>
        <v>进深比</v>
      </c>
      <c r="R41" s="669" t="s">
        <v>14</v>
      </c>
      <c r="S41" s="670">
        <f t="shared" si="12"/>
        <v>100</v>
      </c>
      <c r="T41" s="669" t="s">
        <v>14</v>
      </c>
      <c r="U41" s="670">
        <f t="shared" si="13"/>
        <v>100</v>
      </c>
      <c r="V41" s="669" t="s">
        <v>14</v>
      </c>
      <c r="W41" s="670">
        <f t="shared" si="14"/>
        <v>100</v>
      </c>
      <c r="X41" s="671"/>
      <c r="Y41" s="3389"/>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7"/>
      <c r="Q42" s="1263" t="str">
        <f t="shared" si="11"/>
        <v>内部装修</v>
      </c>
      <c r="R42" s="667" t="s">
        <v>14</v>
      </c>
      <c r="S42" s="668">
        <f t="shared" si="12"/>
        <v>100</v>
      </c>
      <c r="T42" s="667" t="s">
        <v>14</v>
      </c>
      <c r="U42" s="668">
        <f t="shared" si="13"/>
        <v>100</v>
      </c>
      <c r="V42" s="667" t="s">
        <v>14</v>
      </c>
      <c r="W42" s="668">
        <f t="shared" si="14"/>
        <v>100</v>
      </c>
      <c r="X42" s="1265"/>
      <c r="Y42" s="3389"/>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7"/>
      <c r="Q43" s="1263" t="str">
        <f t="shared" si="11"/>
        <v>内部装修维护情况</v>
      </c>
      <c r="R43" s="667" t="s">
        <v>14</v>
      </c>
      <c r="S43" s="668">
        <f t="shared" si="12"/>
        <v>100</v>
      </c>
      <c r="T43" s="667" t="s">
        <v>14</v>
      </c>
      <c r="U43" s="668">
        <f t="shared" si="13"/>
        <v>100</v>
      </c>
      <c r="V43" s="667" t="s">
        <v>14</v>
      </c>
      <c r="W43" s="668">
        <f t="shared" si="14"/>
        <v>100</v>
      </c>
      <c r="X43" s="1265"/>
      <c r="Y43" s="3389"/>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7"/>
      <c r="Q44" s="530">
        <f t="shared" si="11"/>
        <v>111</v>
      </c>
      <c r="R44" s="664" t="s">
        <v>14</v>
      </c>
      <c r="S44" s="665">
        <f t="shared" si="12"/>
        <v>100</v>
      </c>
      <c r="T44" s="664" t="s">
        <v>14</v>
      </c>
      <c r="U44" s="665">
        <f t="shared" si="13"/>
        <v>100</v>
      </c>
      <c r="V44" s="664" t="s">
        <v>14</v>
      </c>
      <c r="W44" s="665">
        <f t="shared" si="14"/>
        <v>100</v>
      </c>
      <c r="X44" s="666"/>
      <c r="Y44" s="3389"/>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7"/>
      <c r="Q45" s="1263">
        <f t="shared" si="11"/>
        <v>111</v>
      </c>
      <c r="R45" s="667" t="s">
        <v>14</v>
      </c>
      <c r="S45" s="668">
        <f t="shared" si="12"/>
        <v>100</v>
      </c>
      <c r="T45" s="667" t="s">
        <v>14</v>
      </c>
      <c r="U45" s="668">
        <f t="shared" si="13"/>
        <v>100</v>
      </c>
      <c r="V45" s="667" t="s">
        <v>14</v>
      </c>
      <c r="W45" s="668">
        <f t="shared" si="14"/>
        <v>100</v>
      </c>
      <c r="X45" s="1265"/>
      <c r="Y45" s="3389"/>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8"/>
      <c r="Q46" s="1263">
        <f t="shared" si="11"/>
        <v>111</v>
      </c>
      <c r="R46" s="667" t="s">
        <v>14</v>
      </c>
      <c r="S46" s="668">
        <f t="shared" si="12"/>
        <v>100</v>
      </c>
      <c r="T46" s="667" t="s">
        <v>14</v>
      </c>
      <c r="U46" s="668">
        <f t="shared" si="13"/>
        <v>100</v>
      </c>
      <c r="V46" s="667" t="s">
        <v>14</v>
      </c>
      <c r="W46" s="668">
        <f t="shared" si="14"/>
        <v>100</v>
      </c>
      <c r="X46" s="1265"/>
      <c r="Y46" s="3390"/>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3"/>
      <c r="M47" s="2486"/>
      <c r="N47" s="2486"/>
      <c r="O47" s="2486"/>
      <c r="P47" s="3382" t="str">
        <f>A47</f>
        <v>成交单价（元/平方米）</v>
      </c>
      <c r="Q47" s="3382"/>
      <c r="R47" s="3383">
        <f>E47</f>
        <v>0</v>
      </c>
      <c r="S47" s="3383"/>
      <c r="T47" s="3383">
        <f>G47</f>
        <v>0</v>
      </c>
      <c r="U47" s="3383"/>
      <c r="V47" s="3383">
        <f>I47</f>
        <v>0</v>
      </c>
      <c r="W47" s="3383"/>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3"/>
      <c r="M49" s="2486"/>
      <c r="N49" s="2486"/>
      <c r="O49" s="2486"/>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16450.849999999999</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30" t="s">
        <v>1775</v>
      </c>
      <c r="Q4" s="3431"/>
      <c r="R4" s="3434" t="s">
        <v>1771</v>
      </c>
      <c r="S4" s="3435"/>
      <c r="T4" s="3434" t="s">
        <v>1772</v>
      </c>
      <c r="U4" s="3435"/>
      <c r="V4" s="3436" t="s">
        <v>1773</v>
      </c>
      <c r="W4" s="3436"/>
      <c r="X4" s="1809"/>
      <c r="Y4" s="3434" t="s">
        <v>1775</v>
      </c>
      <c r="Z4" s="3435"/>
      <c r="AA4" s="3438" t="s">
        <v>1771</v>
      </c>
      <c r="AB4" s="3438" t="s">
        <v>1772</v>
      </c>
      <c r="AC4" s="3427" t="s">
        <v>1773</v>
      </c>
    </row>
    <row r="5" spans="1:29">
      <c r="A5" s="348"/>
      <c r="B5" s="349"/>
      <c r="C5" s="3415" t="s">
        <v>1673</v>
      </c>
      <c r="D5" s="3416"/>
      <c r="E5" s="3422" t="s">
        <v>1674</v>
      </c>
      <c r="F5" s="3423"/>
      <c r="G5" s="3415" t="s">
        <v>1675</v>
      </c>
      <c r="H5" s="3416"/>
      <c r="I5" s="3415" t="s">
        <v>1676</v>
      </c>
      <c r="J5" s="3416"/>
      <c r="K5" s="537"/>
      <c r="L5" s="2485"/>
      <c r="M5" s="2486"/>
      <c r="N5" s="2486"/>
      <c r="O5" s="2486"/>
      <c r="P5" s="3432"/>
      <c r="Q5" s="3404"/>
      <c r="R5" s="3409"/>
      <c r="S5" s="3410"/>
      <c r="T5" s="3409"/>
      <c r="U5" s="3410"/>
      <c r="V5" s="3383"/>
      <c r="W5" s="3383"/>
      <c r="X5" s="1265"/>
      <c r="Y5" s="3409"/>
      <c r="Z5" s="3410"/>
      <c r="AA5" s="3395"/>
      <c r="AB5" s="3395"/>
      <c r="AC5" s="3428"/>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33"/>
      <c r="Q6" s="3406"/>
      <c r="R6" s="3409"/>
      <c r="S6" s="3410"/>
      <c r="T6" s="3411"/>
      <c r="U6" s="3412"/>
      <c r="V6" s="3383"/>
      <c r="W6" s="3383"/>
      <c r="X6" s="1265"/>
      <c r="Y6" s="3411"/>
      <c r="Z6" s="3412"/>
      <c r="AA6" s="3396"/>
      <c r="AB6" s="3396"/>
      <c r="AC6" s="3429"/>
    </row>
    <row r="7" spans="1:29" s="102" customFormat="1" ht="14.5" thickBot="1">
      <c r="A7" s="352" t="s">
        <v>1679</v>
      </c>
      <c r="B7" s="353"/>
      <c r="C7" s="354">
        <f>'数据-取费表'!B2</f>
        <v>45947</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7" t="s">
        <v>1683</v>
      </c>
      <c r="Q8" s="3418"/>
      <c r="R8" s="664" t="s">
        <v>14</v>
      </c>
      <c r="S8" s="665">
        <f t="shared" si="0"/>
        <v>100</v>
      </c>
      <c r="T8" s="664" t="s">
        <v>14</v>
      </c>
      <c r="U8" s="665">
        <f t="shared" si="1"/>
        <v>100</v>
      </c>
      <c r="V8" s="664" t="s">
        <v>14</v>
      </c>
      <c r="W8" s="665">
        <f t="shared" si="2"/>
        <v>100</v>
      </c>
      <c r="X8" s="666"/>
      <c r="Y8" s="3417" t="s">
        <v>1683</v>
      </c>
      <c r="Z8" s="341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802">
        <f t="shared" si="5"/>
        <v>1</v>
      </c>
    </row>
    <row r="10" spans="1:29" s="366" customFormat="1" ht="2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3"/>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3"/>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3"/>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3"/>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1" t="s">
        <v>1691</v>
      </c>
      <c r="Q15" s="1263" t="str">
        <f t="shared" si="6"/>
        <v>办公集聚程度</v>
      </c>
      <c r="R15" s="667" t="s">
        <v>14</v>
      </c>
      <c r="S15" s="668">
        <f t="shared" si="0"/>
        <v>100</v>
      </c>
      <c r="T15" s="667" t="s">
        <v>14</v>
      </c>
      <c r="U15" s="668">
        <f t="shared" si="1"/>
        <v>100</v>
      </c>
      <c r="V15" s="667" t="s">
        <v>14</v>
      </c>
      <c r="W15" s="668">
        <f t="shared" si="2"/>
        <v>100</v>
      </c>
      <c r="X15" s="1265"/>
      <c r="Y15" s="3384"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1"/>
      <c r="M16" s="2486"/>
      <c r="N16" s="2486"/>
      <c r="O16" s="2486"/>
      <c r="P16" s="3392"/>
      <c r="Q16" s="1263"/>
      <c r="R16" s="667"/>
      <c r="S16" s="668"/>
      <c r="T16" s="667"/>
      <c r="U16" s="668"/>
      <c r="V16" s="667"/>
      <c r="W16" s="668"/>
      <c r="X16" s="1265"/>
      <c r="Y16" s="3385"/>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2"/>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1"/>
      <c r="M18" s="2486"/>
      <c r="N18" s="2486"/>
      <c r="O18" s="2486"/>
      <c r="P18" s="3392"/>
      <c r="Q18" s="1263"/>
      <c r="R18" s="667"/>
      <c r="S18" s="668"/>
      <c r="T18" s="667"/>
      <c r="U18" s="668"/>
      <c r="V18" s="667"/>
      <c r="W18" s="668"/>
      <c r="X18" s="1265"/>
      <c r="Y18" s="3385"/>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2"/>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1"/>
      <c r="M20" s="2486"/>
      <c r="N20" s="2486"/>
      <c r="O20" s="2486"/>
      <c r="P20" s="3392"/>
      <c r="Q20" s="1263"/>
      <c r="R20" s="667"/>
      <c r="S20" s="668"/>
      <c r="T20" s="667"/>
      <c r="U20" s="668"/>
      <c r="V20" s="667"/>
      <c r="W20" s="668"/>
      <c r="X20" s="1265"/>
      <c r="Y20" s="3385"/>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1"/>
      <c r="M22" s="2486"/>
      <c r="N22" s="2486"/>
      <c r="O22" s="2486"/>
      <c r="P22" s="3392"/>
      <c r="Q22" s="1263"/>
      <c r="R22" s="667"/>
      <c r="S22" s="668"/>
      <c r="T22" s="667"/>
      <c r="U22" s="668"/>
      <c r="V22" s="667"/>
      <c r="W22" s="668"/>
      <c r="X22" s="1265"/>
      <c r="Y22" s="3385"/>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2"/>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1"/>
      <c r="M24" s="2486"/>
      <c r="N24" s="2486"/>
      <c r="O24" s="2486"/>
      <c r="P24" s="3392"/>
      <c r="Q24" s="1263"/>
      <c r="R24" s="667"/>
      <c r="S24" s="668"/>
      <c r="T24" s="667"/>
      <c r="U24" s="668"/>
      <c r="V24" s="667"/>
      <c r="W24" s="668"/>
      <c r="X24" s="1265"/>
      <c r="Y24" s="3385"/>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2"/>
      <c r="Q25" s="1263" t="str">
        <f>B25</f>
        <v>毗邻道路的类型与等级</v>
      </c>
      <c r="R25" s="667" t="s">
        <v>14</v>
      </c>
      <c r="S25" s="668">
        <f>F25</f>
        <v>100</v>
      </c>
      <c r="T25" s="667" t="s">
        <v>14</v>
      </c>
      <c r="U25" s="668">
        <f>H25</f>
        <v>100</v>
      </c>
      <c r="V25" s="667" t="s">
        <v>14</v>
      </c>
      <c r="W25" s="668">
        <f>J25</f>
        <v>100</v>
      </c>
      <c r="X25" s="1265"/>
      <c r="Y25" s="3385"/>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392"/>
      <c r="Q26" s="1263"/>
      <c r="R26" s="667"/>
      <c r="S26" s="668"/>
      <c r="T26" s="667"/>
      <c r="U26" s="668"/>
      <c r="V26" s="667"/>
      <c r="W26" s="668"/>
      <c r="X26" s="1265"/>
      <c r="Y26" s="3385"/>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2"/>
      <c r="Q27" s="1263" t="str">
        <f t="shared" ref="Q27:Q47" si="11">B27</f>
        <v>楼层</v>
      </c>
      <c r="R27" s="667" t="s">
        <v>14</v>
      </c>
      <c r="S27" s="668">
        <f>F27</f>
        <v>100</v>
      </c>
      <c r="T27" s="667" t="s">
        <v>14</v>
      </c>
      <c r="U27" s="668">
        <f>H27</f>
        <v>100</v>
      </c>
      <c r="V27" s="667" t="s">
        <v>14</v>
      </c>
      <c r="W27" s="668">
        <f>J27</f>
        <v>100</v>
      </c>
      <c r="X27" s="1265"/>
      <c r="Y27" s="3385"/>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92"/>
      <c r="Q28" s="530" t="str">
        <f t="shared" si="11"/>
        <v>朝向</v>
      </c>
      <c r="R28" s="664" t="s">
        <v>14</v>
      </c>
      <c r="S28" s="665">
        <f>F28</f>
        <v>100</v>
      </c>
      <c r="T28" s="664" t="s">
        <v>14</v>
      </c>
      <c r="U28" s="665">
        <f>H28</f>
        <v>100</v>
      </c>
      <c r="V28" s="664" t="s">
        <v>14</v>
      </c>
      <c r="W28" s="665">
        <f>J28</f>
        <v>100</v>
      </c>
      <c r="X28" s="666"/>
      <c r="Y28" s="3385"/>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92"/>
      <c r="Q29" s="1263">
        <f t="shared" si="11"/>
        <v>111</v>
      </c>
      <c r="R29" s="667" t="s">
        <v>14</v>
      </c>
      <c r="S29" s="668">
        <f t="shared" ref="S29:S47" si="12">F29</f>
        <v>100</v>
      </c>
      <c r="T29" s="667" t="s">
        <v>14</v>
      </c>
      <c r="U29" s="668">
        <f t="shared" ref="U29:U47" si="13">H29</f>
        <v>100</v>
      </c>
      <c r="V29" s="667" t="s">
        <v>14</v>
      </c>
      <c r="W29" s="668">
        <f t="shared" ref="W29:W47" si="14">J29</f>
        <v>100</v>
      </c>
      <c r="X29" s="1265"/>
      <c r="Y29" s="3385"/>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92"/>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92"/>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92"/>
      <c r="Q32" s="1263">
        <f t="shared" si="11"/>
        <v>111</v>
      </c>
      <c r="R32" s="667" t="s">
        <v>14</v>
      </c>
      <c r="S32" s="668">
        <f t="shared" si="12"/>
        <v>100</v>
      </c>
      <c r="T32" s="667" t="s">
        <v>14</v>
      </c>
      <c r="U32" s="668">
        <f t="shared" si="13"/>
        <v>100</v>
      </c>
      <c r="V32" s="667" t="s">
        <v>14</v>
      </c>
      <c r="W32" s="668">
        <f t="shared" si="14"/>
        <v>100</v>
      </c>
      <c r="X32" s="1265"/>
      <c r="Y32" s="3385"/>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6" t="s">
        <v>1696</v>
      </c>
      <c r="Q33" s="1263" t="str">
        <f t="shared" si="11"/>
        <v>建筑类型</v>
      </c>
      <c r="R33" s="667" t="s">
        <v>14</v>
      </c>
      <c r="S33" s="668">
        <f t="shared" si="12"/>
        <v>100</v>
      </c>
      <c r="T33" s="667" t="s">
        <v>14</v>
      </c>
      <c r="U33" s="668">
        <f t="shared" si="13"/>
        <v>100</v>
      </c>
      <c r="V33" s="667" t="s">
        <v>14</v>
      </c>
      <c r="W33" s="668">
        <f t="shared" si="14"/>
        <v>100</v>
      </c>
      <c r="X33" s="1265"/>
      <c r="Y33" s="3389"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7"/>
      <c r="Q34" s="531" t="str">
        <f t="shared" si="11"/>
        <v>项目建筑规模</v>
      </c>
      <c r="R34" s="669" t="s">
        <v>14</v>
      </c>
      <c r="S34" s="670" t="e">
        <f t="shared" si="12"/>
        <v>#N/A</v>
      </c>
      <c r="T34" s="669" t="s">
        <v>14</v>
      </c>
      <c r="U34" s="670" t="e">
        <f t="shared" si="13"/>
        <v>#N/A</v>
      </c>
      <c r="V34" s="669" t="s">
        <v>14</v>
      </c>
      <c r="W34" s="670" t="e">
        <f t="shared" si="14"/>
        <v>#N/A</v>
      </c>
      <c r="X34" s="671"/>
      <c r="Y34" s="3389"/>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7"/>
      <c r="Q35" s="1263" t="str">
        <f t="shared" si="11"/>
        <v>建筑结构</v>
      </c>
      <c r="R35" s="667" t="s">
        <v>14</v>
      </c>
      <c r="S35" s="668">
        <f t="shared" si="12"/>
        <v>100</v>
      </c>
      <c r="T35" s="667" t="s">
        <v>14</v>
      </c>
      <c r="U35" s="668">
        <f t="shared" si="13"/>
        <v>100</v>
      </c>
      <c r="V35" s="667" t="s">
        <v>14</v>
      </c>
      <c r="W35" s="668">
        <f t="shared" si="14"/>
        <v>100</v>
      </c>
      <c r="X35" s="1265"/>
      <c r="Y35" s="3389"/>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7"/>
      <c r="Q36" s="1263" t="str">
        <f t="shared" si="11"/>
        <v>公共部分装修</v>
      </c>
      <c r="R36" s="667" t="s">
        <v>14</v>
      </c>
      <c r="S36" s="668">
        <f t="shared" si="12"/>
        <v>100</v>
      </c>
      <c r="T36" s="667" t="s">
        <v>14</v>
      </c>
      <c r="U36" s="668">
        <f t="shared" si="13"/>
        <v>100</v>
      </c>
      <c r="V36" s="667" t="s">
        <v>14</v>
      </c>
      <c r="W36" s="668">
        <f t="shared" si="14"/>
        <v>100</v>
      </c>
      <c r="X36" s="1265"/>
      <c r="Y36" s="3389"/>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7"/>
      <c r="Q37" s="1263" t="str">
        <f t="shared" si="11"/>
        <v>成新度</v>
      </c>
      <c r="R37" s="667" t="s">
        <v>14</v>
      </c>
      <c r="S37" s="668" t="e">
        <f t="shared" si="12"/>
        <v>#N/A</v>
      </c>
      <c r="T37" s="667" t="s">
        <v>14</v>
      </c>
      <c r="U37" s="668" t="e">
        <f t="shared" si="13"/>
        <v>#N/A</v>
      </c>
      <c r="V37" s="667" t="s">
        <v>14</v>
      </c>
      <c r="W37" s="668" t="e">
        <f t="shared" si="14"/>
        <v>#N/A</v>
      </c>
      <c r="X37" s="1265"/>
      <c r="Y37" s="3389"/>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7"/>
      <c r="Q38" s="530" t="str">
        <f t="shared" si="11"/>
        <v>写字楼等级</v>
      </c>
      <c r="R38" s="664" t="s">
        <v>14</v>
      </c>
      <c r="S38" s="665">
        <f t="shared" si="12"/>
        <v>100</v>
      </c>
      <c r="T38" s="664" t="s">
        <v>14</v>
      </c>
      <c r="U38" s="665">
        <f t="shared" si="13"/>
        <v>100</v>
      </c>
      <c r="V38" s="664" t="s">
        <v>14</v>
      </c>
      <c r="W38" s="665">
        <f t="shared" si="14"/>
        <v>100</v>
      </c>
      <c r="X38" s="666"/>
      <c r="Y38" s="3389"/>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7" t="s">
        <v>1696</v>
      </c>
      <c r="Q39" s="1263" t="str">
        <f t="shared" si="11"/>
        <v>物业管理</v>
      </c>
      <c r="R39" s="667" t="s">
        <v>14</v>
      </c>
      <c r="S39" s="668">
        <f t="shared" si="12"/>
        <v>100</v>
      </c>
      <c r="T39" s="667" t="s">
        <v>14</v>
      </c>
      <c r="U39" s="668">
        <f t="shared" si="13"/>
        <v>100</v>
      </c>
      <c r="V39" s="667" t="s">
        <v>14</v>
      </c>
      <c r="W39" s="668">
        <f t="shared" si="14"/>
        <v>100</v>
      </c>
      <c r="X39" s="1265"/>
      <c r="Y39" s="3389"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7"/>
      <c r="Q40" s="1263" t="str">
        <f t="shared" si="11"/>
        <v>市政基础设施</v>
      </c>
      <c r="R40" s="667" t="s">
        <v>14</v>
      </c>
      <c r="S40" s="668">
        <f t="shared" si="12"/>
        <v>100</v>
      </c>
      <c r="T40" s="667" t="s">
        <v>14</v>
      </c>
      <c r="U40" s="668">
        <f t="shared" si="13"/>
        <v>100</v>
      </c>
      <c r="V40" s="667" t="s">
        <v>14</v>
      </c>
      <c r="W40" s="668">
        <f t="shared" si="14"/>
        <v>100</v>
      </c>
      <c r="X40" s="1265"/>
      <c r="Y40" s="3389"/>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7"/>
      <c r="Q41" s="1263" t="str">
        <f t="shared" si="11"/>
        <v>层高</v>
      </c>
      <c r="R41" s="667" t="s">
        <v>14</v>
      </c>
      <c r="S41" s="668">
        <f t="shared" si="12"/>
        <v>100</v>
      </c>
      <c r="T41" s="667" t="s">
        <v>14</v>
      </c>
      <c r="U41" s="668">
        <f t="shared" si="13"/>
        <v>100</v>
      </c>
      <c r="V41" s="667" t="s">
        <v>14</v>
      </c>
      <c r="W41" s="668">
        <f t="shared" si="14"/>
        <v>100</v>
      </c>
      <c r="X41" s="1265"/>
      <c r="Y41" s="3389"/>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7"/>
      <c r="Q42" s="531" t="str">
        <f t="shared" si="11"/>
        <v>单套建筑面积</v>
      </c>
      <c r="R42" s="669" t="s">
        <v>14</v>
      </c>
      <c r="S42" s="670">
        <f t="shared" si="12"/>
        <v>100</v>
      </c>
      <c r="T42" s="669" t="s">
        <v>14</v>
      </c>
      <c r="U42" s="670">
        <f t="shared" si="13"/>
        <v>100</v>
      </c>
      <c r="V42" s="669" t="s">
        <v>14</v>
      </c>
      <c r="W42" s="670">
        <f t="shared" si="14"/>
        <v>100</v>
      </c>
      <c r="X42" s="671"/>
      <c r="Y42" s="3389"/>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7"/>
      <c r="Q43" s="1263" t="str">
        <f t="shared" si="11"/>
        <v>内部装修</v>
      </c>
      <c r="R43" s="667" t="s">
        <v>14</v>
      </c>
      <c r="S43" s="668">
        <f t="shared" si="12"/>
        <v>100</v>
      </c>
      <c r="T43" s="667" t="s">
        <v>14</v>
      </c>
      <c r="U43" s="668">
        <f t="shared" si="13"/>
        <v>100</v>
      </c>
      <c r="V43" s="667" t="s">
        <v>14</v>
      </c>
      <c r="W43" s="668">
        <f t="shared" si="14"/>
        <v>100</v>
      </c>
      <c r="X43" s="1265"/>
      <c r="Y43" s="3389"/>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7"/>
      <c r="Q44" s="1263" t="str">
        <f t="shared" si="11"/>
        <v>内部装修维护情况</v>
      </c>
      <c r="R44" s="667" t="s">
        <v>14</v>
      </c>
      <c r="S44" s="668">
        <f t="shared" si="12"/>
        <v>100</v>
      </c>
      <c r="T44" s="667" t="s">
        <v>14</v>
      </c>
      <c r="U44" s="668">
        <f t="shared" si="13"/>
        <v>100</v>
      </c>
      <c r="V44" s="667" t="s">
        <v>14</v>
      </c>
      <c r="W44" s="668">
        <f t="shared" si="14"/>
        <v>100</v>
      </c>
      <c r="X44" s="1265"/>
      <c r="Y44" s="3389"/>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7"/>
      <c r="Q45" s="530">
        <f t="shared" si="11"/>
        <v>111</v>
      </c>
      <c r="R45" s="664" t="s">
        <v>14</v>
      </c>
      <c r="S45" s="665">
        <f t="shared" si="12"/>
        <v>100</v>
      </c>
      <c r="T45" s="664" t="s">
        <v>14</v>
      </c>
      <c r="U45" s="665">
        <f t="shared" si="13"/>
        <v>100</v>
      </c>
      <c r="V45" s="664" t="s">
        <v>14</v>
      </c>
      <c r="W45" s="665">
        <f t="shared" si="14"/>
        <v>100</v>
      </c>
      <c r="X45" s="666"/>
      <c r="Y45" s="3389"/>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8"/>
      <c r="Q47" s="1263">
        <f t="shared" si="11"/>
        <v>111</v>
      </c>
      <c r="R47" s="667" t="s">
        <v>14</v>
      </c>
      <c r="S47" s="668">
        <f t="shared" si="12"/>
        <v>100</v>
      </c>
      <c r="T47" s="667" t="s">
        <v>14</v>
      </c>
      <c r="U47" s="668">
        <f t="shared" si="13"/>
        <v>100</v>
      </c>
      <c r="V47" s="667" t="s">
        <v>14</v>
      </c>
      <c r="W47" s="668">
        <f t="shared" si="14"/>
        <v>100</v>
      </c>
      <c r="X47" s="1265"/>
      <c r="Y47" s="3390"/>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3"/>
      <c r="M48" s="2486"/>
      <c r="N48" s="2486"/>
      <c r="O48" s="2486"/>
      <c r="P48" s="3393" t="str">
        <f>A48</f>
        <v>成交单价（元/平方米）</v>
      </c>
      <c r="Q48" s="3382"/>
      <c r="R48" s="3383">
        <f>E48</f>
        <v>0</v>
      </c>
      <c r="S48" s="3383"/>
      <c r="T48" s="3383">
        <f>G48</f>
        <v>0</v>
      </c>
      <c r="U48" s="3383"/>
      <c r="V48" s="3383">
        <f>I48</f>
        <v>0</v>
      </c>
      <c r="W48" s="3383"/>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93" t="str">
        <f>A49</f>
        <v>比较价值（元/平方米）</v>
      </c>
      <c r="Q49" s="3382"/>
      <c r="R49" s="3383" t="e">
        <f>IF(F1="售价",ROUND(PRODUCT(R48,AA7:AA47),0),ROUND(PRODUCT(R48,AA7:AA47),1))</f>
        <v>#DIV/0!</v>
      </c>
      <c r="S49" s="3383"/>
      <c r="T49" s="3383" t="e">
        <f>IF(F1="售价",ROUND(PRODUCT(T48,AB7:AB47),0),ROUND(PRODUCT(T48,AB7:AB47),1))</f>
        <v>#DIV/0!</v>
      </c>
      <c r="U49" s="3383"/>
      <c r="V49" s="3383" t="e">
        <f>IF(F1="售价",ROUND(PRODUCT(V48,AC7:AC47),0),ROUND(PRODUCT(V48,AC7:AC47),1))</f>
        <v>#DIV/0!</v>
      </c>
      <c r="W49" s="3383"/>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3"/>
      <c r="M50" s="2486"/>
      <c r="N50" s="2486"/>
      <c r="O50" s="2486"/>
      <c r="P50" s="3424" t="str">
        <f>A50</f>
        <v>估价对象XX用房的比较价值（楼面单价，元/平方米）</v>
      </c>
      <c r="Q50" s="3425"/>
      <c r="R50" s="3426" t="e">
        <f>IF(F1="售价",ROUND(IF(D49="简单平均",AVERAGE(R49:V49),R49*F49+T49*H49+V49*J49),0),ROUND(IF(D49="简单平均",AVERAGE(R49:V49),R49*F49+T49*H49+V49*J49),1))</f>
        <v>#DIV/0!</v>
      </c>
      <c r="S50" s="3426"/>
      <c r="T50" s="3426"/>
      <c r="U50" s="3426"/>
      <c r="V50" s="3426"/>
      <c r="W50" s="3426"/>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16450.849999999999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860"/>
      <c r="M4" s="861"/>
      <c r="N4" s="861"/>
      <c r="O4" s="861"/>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860"/>
      <c r="M5" s="861"/>
      <c r="N5" s="861"/>
      <c r="O5" s="861"/>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860"/>
      <c r="M6" s="861"/>
      <c r="N6" s="861"/>
      <c r="O6" s="861"/>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45947</v>
      </c>
      <c r="D7" s="355">
        <v>100</v>
      </c>
      <c r="E7" s="356"/>
      <c r="F7" s="357">
        <f>SUMIF(52:52,YEAR(E7)&amp;"-"&amp;MONTH(E7),53:53)</f>
        <v>0</v>
      </c>
      <c r="G7" s="356"/>
      <c r="H7" s="355">
        <f>SUMIF(52:52,YEAR(G7)&amp;"-"&amp;MONTH(G7),53:53)</f>
        <v>0</v>
      </c>
      <c r="I7" s="356"/>
      <c r="J7" s="355">
        <f>SUMIF(52:52,YEAR(I7)&amp;"-"&amp;MONTH(I7),53:53)</f>
        <v>0</v>
      </c>
      <c r="K7" s="38"/>
      <c r="L7" s="862"/>
      <c r="M7" s="863"/>
      <c r="N7" s="863"/>
      <c r="O7" s="863"/>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7" t="s">
        <v>1683</v>
      </c>
      <c r="Q8" s="3418"/>
      <c r="R8" s="664" t="s">
        <v>14</v>
      </c>
      <c r="S8" s="665">
        <f t="shared" si="0"/>
        <v>100</v>
      </c>
      <c r="T8" s="664" t="s">
        <v>14</v>
      </c>
      <c r="U8" s="665">
        <f t="shared" si="1"/>
        <v>100</v>
      </c>
      <c r="V8" s="664" t="s">
        <v>14</v>
      </c>
      <c r="W8" s="665">
        <f t="shared" si="2"/>
        <v>100</v>
      </c>
      <c r="X8" s="666"/>
      <c r="Y8" s="3417" t="s">
        <v>1683</v>
      </c>
      <c r="Z8" s="341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2"/>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85"/>
      <c r="Q16" s="1263"/>
      <c r="R16" s="667"/>
      <c r="S16" s="668"/>
      <c r="T16" s="667"/>
      <c r="U16" s="668"/>
      <c r="V16" s="667"/>
      <c r="W16" s="668"/>
      <c r="X16" s="1265"/>
      <c r="Y16" s="3385"/>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85"/>
      <c r="Q18" s="1263"/>
      <c r="R18" s="667"/>
      <c r="S18" s="668"/>
      <c r="T18" s="667"/>
      <c r="U18" s="668"/>
      <c r="V18" s="667"/>
      <c r="W18" s="668"/>
      <c r="X18" s="1265"/>
      <c r="Y18" s="3385"/>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5"/>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85"/>
      <c r="Q20" s="1263"/>
      <c r="R20" s="667"/>
      <c r="S20" s="668"/>
      <c r="T20" s="667"/>
      <c r="U20" s="668"/>
      <c r="V20" s="667"/>
      <c r="W20" s="668"/>
      <c r="X20" s="1265"/>
      <c r="Y20" s="3385"/>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5"/>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85"/>
      <c r="Q22" s="1263"/>
      <c r="R22" s="667"/>
      <c r="S22" s="668"/>
      <c r="T22" s="667"/>
      <c r="U22" s="668"/>
      <c r="V22" s="667"/>
      <c r="W22" s="668"/>
      <c r="X22" s="1265"/>
      <c r="Y22" s="3385"/>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5"/>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85"/>
      <c r="Q24" s="1263"/>
      <c r="R24" s="667"/>
      <c r="S24" s="668"/>
      <c r="T24" s="667"/>
      <c r="U24" s="668"/>
      <c r="V24" s="667"/>
      <c r="W24" s="668"/>
      <c r="X24" s="1265"/>
      <c r="Y24" s="3385"/>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5"/>
      <c r="Q25" s="1263">
        <f>B25</f>
        <v>111</v>
      </c>
      <c r="R25" s="667" t="s">
        <v>14</v>
      </c>
      <c r="S25" s="668">
        <f>F25</f>
        <v>100</v>
      </c>
      <c r="T25" s="667" t="s">
        <v>14</v>
      </c>
      <c r="U25" s="668">
        <f>H25</f>
        <v>100</v>
      </c>
      <c r="V25" s="667" t="s">
        <v>14</v>
      </c>
      <c r="W25" s="668">
        <f>J25</f>
        <v>100</v>
      </c>
      <c r="X25" s="1265"/>
      <c r="Y25" s="3385"/>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5"/>
      <c r="Q26" s="1263">
        <f t="shared" ref="Q26:Q40" si="11">B26</f>
        <v>111</v>
      </c>
      <c r="R26" s="667" t="s">
        <v>14</v>
      </c>
      <c r="S26" s="668">
        <f>F26</f>
        <v>100</v>
      </c>
      <c r="T26" s="667" t="s">
        <v>14</v>
      </c>
      <c r="U26" s="668">
        <f>H26</f>
        <v>100</v>
      </c>
      <c r="V26" s="667" t="s">
        <v>14</v>
      </c>
      <c r="W26" s="668">
        <f>J26</f>
        <v>100</v>
      </c>
      <c r="X26" s="1265"/>
      <c r="Y26" s="3385"/>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5"/>
      <c r="Q27" s="530">
        <f t="shared" si="11"/>
        <v>111</v>
      </c>
      <c r="R27" s="664" t="s">
        <v>14</v>
      </c>
      <c r="S27" s="665">
        <f>F27</f>
        <v>100</v>
      </c>
      <c r="T27" s="664" t="s">
        <v>14</v>
      </c>
      <c r="U27" s="665">
        <f>H27</f>
        <v>100</v>
      </c>
      <c r="V27" s="664" t="s">
        <v>14</v>
      </c>
      <c r="W27" s="665">
        <f>J27</f>
        <v>100</v>
      </c>
      <c r="X27" s="666"/>
      <c r="Y27" s="3385"/>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5"/>
      <c r="Q28" s="1263">
        <f t="shared" si="11"/>
        <v>111</v>
      </c>
      <c r="R28" s="667" t="s">
        <v>14</v>
      </c>
      <c r="S28" s="668">
        <f t="shared" ref="S28:S40" si="12">F28</f>
        <v>100</v>
      </c>
      <c r="T28" s="667" t="s">
        <v>14</v>
      </c>
      <c r="U28" s="668">
        <f t="shared" ref="U28:U40" si="13">H28</f>
        <v>100</v>
      </c>
      <c r="V28" s="667" t="s">
        <v>14</v>
      </c>
      <c r="W28" s="668">
        <f t="shared" ref="W28:W40" si="14">J28</f>
        <v>100</v>
      </c>
      <c r="X28" s="1265"/>
      <c r="Y28" s="3385"/>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9" t="s">
        <v>1696</v>
      </c>
      <c r="Q29" s="1263" t="str">
        <f t="shared" si="11"/>
        <v>建筑类型</v>
      </c>
      <c r="R29" s="667" t="s">
        <v>14</v>
      </c>
      <c r="S29" s="668">
        <f t="shared" si="12"/>
        <v>100</v>
      </c>
      <c r="T29" s="667" t="s">
        <v>14</v>
      </c>
      <c r="U29" s="668">
        <f t="shared" si="13"/>
        <v>100</v>
      </c>
      <c r="V29" s="667" t="s">
        <v>14</v>
      </c>
      <c r="W29" s="668">
        <f t="shared" si="14"/>
        <v>100</v>
      </c>
      <c r="X29" s="1265"/>
      <c r="Y29" s="3389"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9"/>
      <c r="Q30" s="531" t="str">
        <f t="shared" si="11"/>
        <v>项目建筑规模</v>
      </c>
      <c r="R30" s="669" t="s">
        <v>14</v>
      </c>
      <c r="S30" s="670" t="e">
        <f t="shared" si="12"/>
        <v>#N/A</v>
      </c>
      <c r="T30" s="669" t="s">
        <v>14</v>
      </c>
      <c r="U30" s="670" t="e">
        <f t="shared" si="13"/>
        <v>#N/A</v>
      </c>
      <c r="V30" s="669" t="s">
        <v>14</v>
      </c>
      <c r="W30" s="670" t="e">
        <f t="shared" si="14"/>
        <v>#N/A</v>
      </c>
      <c r="X30" s="671"/>
      <c r="Y30" s="3389"/>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9"/>
      <c r="Q31" s="1263" t="str">
        <f t="shared" si="11"/>
        <v>建筑结构</v>
      </c>
      <c r="R31" s="667" t="s">
        <v>14</v>
      </c>
      <c r="S31" s="668">
        <f t="shared" si="12"/>
        <v>100</v>
      </c>
      <c r="T31" s="667" t="s">
        <v>14</v>
      </c>
      <c r="U31" s="668">
        <f t="shared" si="13"/>
        <v>100</v>
      </c>
      <c r="V31" s="667" t="s">
        <v>14</v>
      </c>
      <c r="W31" s="668">
        <f t="shared" si="14"/>
        <v>100</v>
      </c>
      <c r="X31" s="1265"/>
      <c r="Y31" s="3389"/>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9"/>
      <c r="Q32" s="1263" t="str">
        <f t="shared" si="11"/>
        <v>公共部分装修</v>
      </c>
      <c r="R32" s="667" t="s">
        <v>14</v>
      </c>
      <c r="S32" s="668">
        <f t="shared" si="12"/>
        <v>100</v>
      </c>
      <c r="T32" s="667" t="s">
        <v>14</v>
      </c>
      <c r="U32" s="668">
        <f t="shared" si="13"/>
        <v>100</v>
      </c>
      <c r="V32" s="667" t="s">
        <v>14</v>
      </c>
      <c r="W32" s="668">
        <f t="shared" si="14"/>
        <v>100</v>
      </c>
      <c r="X32" s="1265"/>
      <c r="Y32" s="3389"/>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9"/>
      <c r="Q33" s="1263" t="str">
        <f t="shared" si="11"/>
        <v>成新度</v>
      </c>
      <c r="R33" s="667" t="s">
        <v>14</v>
      </c>
      <c r="S33" s="668" t="e">
        <f t="shared" si="12"/>
        <v>#N/A</v>
      </c>
      <c r="T33" s="667" t="s">
        <v>14</v>
      </c>
      <c r="U33" s="668" t="e">
        <f t="shared" si="13"/>
        <v>#N/A</v>
      </c>
      <c r="V33" s="667" t="s">
        <v>14</v>
      </c>
      <c r="W33" s="668" t="e">
        <f t="shared" si="14"/>
        <v>#N/A</v>
      </c>
      <c r="X33" s="1265"/>
      <c r="Y33" s="3389"/>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9"/>
      <c r="Q34" s="530" t="str">
        <f t="shared" si="11"/>
        <v>物业管理</v>
      </c>
      <c r="R34" s="664" t="s">
        <v>14</v>
      </c>
      <c r="S34" s="665">
        <f t="shared" si="12"/>
        <v>100</v>
      </c>
      <c r="T34" s="664" t="s">
        <v>14</v>
      </c>
      <c r="U34" s="665">
        <f t="shared" si="13"/>
        <v>100</v>
      </c>
      <c r="V34" s="664" t="s">
        <v>14</v>
      </c>
      <c r="W34" s="665">
        <f t="shared" si="14"/>
        <v>100</v>
      </c>
      <c r="X34" s="666"/>
      <c r="Y34" s="3389"/>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9" t="s">
        <v>1696</v>
      </c>
      <c r="Q35" s="1263" t="str">
        <f t="shared" si="11"/>
        <v>市政基础设施</v>
      </c>
      <c r="R35" s="667" t="s">
        <v>14</v>
      </c>
      <c r="S35" s="668">
        <f t="shared" si="12"/>
        <v>100</v>
      </c>
      <c r="T35" s="667" t="s">
        <v>14</v>
      </c>
      <c r="U35" s="668">
        <f t="shared" si="13"/>
        <v>100</v>
      </c>
      <c r="V35" s="667" t="s">
        <v>14</v>
      </c>
      <c r="W35" s="668">
        <f t="shared" si="14"/>
        <v>100</v>
      </c>
      <c r="X35" s="1265"/>
      <c r="Y35" s="3389"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9"/>
      <c r="Q36" s="1263" t="str">
        <f t="shared" si="11"/>
        <v>内部装修</v>
      </c>
      <c r="R36" s="667" t="s">
        <v>14</v>
      </c>
      <c r="S36" s="668">
        <f t="shared" si="12"/>
        <v>100</v>
      </c>
      <c r="T36" s="667" t="s">
        <v>14</v>
      </c>
      <c r="U36" s="668">
        <f t="shared" si="13"/>
        <v>100</v>
      </c>
      <c r="V36" s="667" t="s">
        <v>14</v>
      </c>
      <c r="W36" s="668">
        <f t="shared" si="14"/>
        <v>100</v>
      </c>
      <c r="X36" s="1265"/>
      <c r="Y36" s="3389"/>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9"/>
      <c r="Q37" s="1263" t="str">
        <f t="shared" si="11"/>
        <v>内部装修状况</v>
      </c>
      <c r="R37" s="667" t="s">
        <v>14</v>
      </c>
      <c r="S37" s="668">
        <f t="shared" si="12"/>
        <v>100</v>
      </c>
      <c r="T37" s="667" t="s">
        <v>14</v>
      </c>
      <c r="U37" s="668">
        <f t="shared" si="13"/>
        <v>100</v>
      </c>
      <c r="V37" s="667" t="s">
        <v>14</v>
      </c>
      <c r="W37" s="668">
        <f t="shared" si="14"/>
        <v>100</v>
      </c>
      <c r="X37" s="1265"/>
      <c r="Y37" s="3389"/>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9"/>
      <c r="Q38" s="531">
        <f t="shared" si="11"/>
        <v>111</v>
      </c>
      <c r="R38" s="669" t="s">
        <v>14</v>
      </c>
      <c r="S38" s="670">
        <f t="shared" si="12"/>
        <v>100</v>
      </c>
      <c r="T38" s="669" t="s">
        <v>14</v>
      </c>
      <c r="U38" s="670">
        <f t="shared" si="13"/>
        <v>100</v>
      </c>
      <c r="V38" s="669" t="s">
        <v>14</v>
      </c>
      <c r="W38" s="670">
        <f t="shared" si="14"/>
        <v>100</v>
      </c>
      <c r="X38" s="671"/>
      <c r="Y38" s="3389"/>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9"/>
      <c r="Q39" s="1263">
        <f t="shared" si="11"/>
        <v>111</v>
      </c>
      <c r="R39" s="667" t="s">
        <v>14</v>
      </c>
      <c r="S39" s="668">
        <f t="shared" si="12"/>
        <v>100</v>
      </c>
      <c r="T39" s="667" t="s">
        <v>14</v>
      </c>
      <c r="U39" s="668">
        <f t="shared" si="13"/>
        <v>100</v>
      </c>
      <c r="V39" s="667" t="s">
        <v>14</v>
      </c>
      <c r="W39" s="668">
        <f t="shared" si="14"/>
        <v>100</v>
      </c>
      <c r="X39" s="1265"/>
      <c r="Y39" s="3389"/>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0"/>
      <c r="Q40" s="1263">
        <f t="shared" si="11"/>
        <v>111</v>
      </c>
      <c r="R40" s="667" t="s">
        <v>14</v>
      </c>
      <c r="S40" s="668">
        <f t="shared" si="12"/>
        <v>100</v>
      </c>
      <c r="T40" s="667" t="s">
        <v>14</v>
      </c>
      <c r="U40" s="668">
        <f t="shared" si="13"/>
        <v>100</v>
      </c>
      <c r="V40" s="667" t="s">
        <v>14</v>
      </c>
      <c r="W40" s="668">
        <f t="shared" si="14"/>
        <v>100</v>
      </c>
      <c r="X40" s="1265"/>
      <c r="Y40" s="3390"/>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82" t="str">
        <f>A41</f>
        <v>成交单价（元/平方米）</v>
      </c>
      <c r="Q41" s="3382"/>
      <c r="R41" s="3383">
        <f>E41</f>
        <v>0</v>
      </c>
      <c r="S41" s="3383"/>
      <c r="T41" s="3383">
        <f>G41</f>
        <v>0</v>
      </c>
      <c r="U41" s="3383"/>
      <c r="V41" s="3383">
        <f>I41</f>
        <v>0</v>
      </c>
      <c r="W41" s="3383"/>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2" t="str">
        <f>A42</f>
        <v>比较价值（元/平方米）</v>
      </c>
      <c r="Q42" s="3382"/>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79" t="str">
        <f>A43</f>
        <v>估价对象XX用房的比较价值（楼面单价，元/平方米）</v>
      </c>
      <c r="Q43" s="3380"/>
      <c r="R43" s="3381" t="e">
        <f>IF(F1="售价",ROUND(IF(D42="简单平均",AVERAGE(R42:V42),R42*F42+T42*H42+V42*J42),0),ROUND(IF(D42="简单平均",AVERAGE(R42:V42),R42*F42+T42*H42+V42*J42),1))</f>
        <v>#DIV/0!</v>
      </c>
      <c r="S43" s="3381"/>
      <c r="T43" s="3381"/>
      <c r="U43" s="3381"/>
      <c r="V43" s="3381"/>
      <c r="W43" s="338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受贵公司委托，我公司对北京市平谷区平谷大街甲16号房地产抵押价值进行了预评估。</v>
      </c>
    </row>
    <row r="5" spans="1:1" ht="18">
      <c r="A5" s="1383" t="s">
        <v>899</v>
      </c>
    </row>
    <row r="6" spans="1:1" ht="17.5">
      <c r="A6" s="1384" t="s">
        <v>900</v>
      </c>
    </row>
    <row r="7" spans="1:1" ht="17.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估价对象为北京市平谷区平谷大街甲16号房地产，为北京市老才臣食品有限公司所有。根据《国有土地使用证》[]，估价对象（分摊）出让国有建设用地使用权面积为27183.86平方米，建筑面积为16450.85平方米。</v>
      </c>
    </row>
    <row r="8" spans="1:1" ht="53.5">
      <c r="A8" s="1385" t="s">
        <v>901</v>
      </c>
    </row>
    <row r="9" spans="1:1" ht="17.5">
      <c r="A9" s="1384" t="s">
        <v>902</v>
      </c>
    </row>
    <row r="10" spans="1:1" ht="17.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谷大街甲16号房地产,属北京市老才臣食品有限公司开发建设的工业项目，该项目尚在开发建设中。根据《国有土地使用证》[]，估价对象（分摊）出让国有建设用地使用权面积为27183.86平方米，规划建筑面积为16450.85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平谷区平谷大街甲16号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2025年10月17日</v>
      </c>
    </row>
    <row r="16" spans="1:1" ht="18">
      <c r="A16" s="1381" t="s">
        <v>906</v>
      </c>
    </row>
    <row r="17" spans="1:1" ht="70">
      <c r="A17" s="1382" t="s">
        <v>907</v>
      </c>
    </row>
    <row r="18" spans="1:1" ht="52.5">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本次评估采用的主估价方法为成本法和收益法。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45947</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7" t="s">
        <v>1680</v>
      </c>
      <c r="Q7" s="3419"/>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82"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2"/>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385"/>
      <c r="Q15" s="1263"/>
      <c r="R15" s="667"/>
      <c r="S15" s="668"/>
      <c r="T15" s="667"/>
      <c r="U15" s="668"/>
      <c r="V15" s="667"/>
      <c r="W15" s="668"/>
      <c r="X15" s="1265"/>
      <c r="Y15" s="3385"/>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385"/>
      <c r="Q17" s="1263"/>
      <c r="R17" s="667"/>
      <c r="S17" s="668"/>
      <c r="T17" s="667"/>
      <c r="U17" s="668"/>
      <c r="V17" s="667"/>
      <c r="W17" s="668"/>
      <c r="X17" s="1265"/>
      <c r="Y17" s="3385"/>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385"/>
      <c r="Q19" s="1263"/>
      <c r="R19" s="667"/>
      <c r="S19" s="668"/>
      <c r="T19" s="667"/>
      <c r="U19" s="668"/>
      <c r="V19" s="667"/>
      <c r="W19" s="668"/>
      <c r="X19" s="1265"/>
      <c r="Y19" s="3385"/>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385"/>
      <c r="Q21" s="1263"/>
      <c r="R21" s="667"/>
      <c r="S21" s="668"/>
      <c r="T21" s="667"/>
      <c r="U21" s="668"/>
      <c r="V21" s="667"/>
      <c r="W21" s="668"/>
      <c r="X21" s="1265"/>
      <c r="Y21" s="3385"/>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5"/>
      <c r="Q24" s="1263">
        <f t="shared" ref="Q24:Q36"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9"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9"/>
      <c r="Q27" s="531" t="str">
        <f t="shared" si="11"/>
        <v>项目停车位配比</v>
      </c>
      <c r="R27" s="669" t="s">
        <v>14</v>
      </c>
      <c r="S27" s="670">
        <f t="shared" si="12"/>
        <v>100</v>
      </c>
      <c r="T27" s="669" t="s">
        <v>14</v>
      </c>
      <c r="U27" s="670">
        <f t="shared" si="13"/>
        <v>100</v>
      </c>
      <c r="V27" s="669" t="s">
        <v>14</v>
      </c>
      <c r="W27" s="670">
        <f t="shared" si="14"/>
        <v>100</v>
      </c>
      <c r="X27" s="671"/>
      <c r="Y27" s="3389"/>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9"/>
      <c r="Q28" s="1263" t="str">
        <f t="shared" si="11"/>
        <v>公共部分装修</v>
      </c>
      <c r="R28" s="667" t="s">
        <v>14</v>
      </c>
      <c r="S28" s="668">
        <f t="shared" si="12"/>
        <v>100</v>
      </c>
      <c r="T28" s="667" t="s">
        <v>14</v>
      </c>
      <c r="U28" s="668">
        <f t="shared" si="13"/>
        <v>100</v>
      </c>
      <c r="V28" s="667" t="s">
        <v>14</v>
      </c>
      <c r="W28" s="668">
        <f t="shared" si="14"/>
        <v>100</v>
      </c>
      <c r="X28" s="1265"/>
      <c r="Y28" s="3389"/>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9"/>
      <c r="Q29" s="1263" t="str">
        <f t="shared" si="11"/>
        <v>成新率</v>
      </c>
      <c r="R29" s="667" t="s">
        <v>14</v>
      </c>
      <c r="S29" s="668" t="e">
        <f t="shared" si="12"/>
        <v>#N/A</v>
      </c>
      <c r="T29" s="667" t="s">
        <v>14</v>
      </c>
      <c r="U29" s="668" t="e">
        <f t="shared" si="13"/>
        <v>#N/A</v>
      </c>
      <c r="V29" s="667" t="s">
        <v>14</v>
      </c>
      <c r="W29" s="668" t="e">
        <f t="shared" si="14"/>
        <v>#N/A</v>
      </c>
      <c r="X29" s="1265"/>
      <c r="Y29" s="3389"/>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9"/>
      <c r="Q30" s="1263" t="str">
        <f t="shared" si="11"/>
        <v>物业等级</v>
      </c>
      <c r="R30" s="667" t="s">
        <v>14</v>
      </c>
      <c r="S30" s="668">
        <f t="shared" si="12"/>
        <v>100</v>
      </c>
      <c r="T30" s="667" t="s">
        <v>14</v>
      </c>
      <c r="U30" s="668">
        <f t="shared" si="13"/>
        <v>100</v>
      </c>
      <c r="V30" s="667" t="s">
        <v>14</v>
      </c>
      <c r="W30" s="668">
        <f t="shared" si="14"/>
        <v>100</v>
      </c>
      <c r="X30" s="1265"/>
      <c r="Y30" s="3389"/>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9"/>
      <c r="Q31" s="530" t="str">
        <f t="shared" si="11"/>
        <v>停车位面积</v>
      </c>
      <c r="R31" s="664" t="s">
        <v>14</v>
      </c>
      <c r="S31" s="665" t="e">
        <f t="shared" si="12"/>
        <v>#N/A</v>
      </c>
      <c r="T31" s="664" t="s">
        <v>14</v>
      </c>
      <c r="U31" s="665" t="e">
        <f t="shared" si="13"/>
        <v>#N/A</v>
      </c>
      <c r="V31" s="664" t="s">
        <v>14</v>
      </c>
      <c r="W31" s="665" t="e">
        <f t="shared" si="14"/>
        <v>#N/A</v>
      </c>
      <c r="X31" s="666"/>
      <c r="Y31" s="3389"/>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9" t="s">
        <v>1696</v>
      </c>
      <c r="Q32" s="1263" t="str">
        <f t="shared" si="11"/>
        <v>车位类型</v>
      </c>
      <c r="R32" s="667" t="s">
        <v>14</v>
      </c>
      <c r="S32" s="668">
        <f t="shared" si="12"/>
        <v>100</v>
      </c>
      <c r="T32" s="667" t="s">
        <v>14</v>
      </c>
      <c r="U32" s="668">
        <f t="shared" si="13"/>
        <v>100</v>
      </c>
      <c r="V32" s="667" t="s">
        <v>14</v>
      </c>
      <c r="W32" s="668">
        <f t="shared" si="14"/>
        <v>100</v>
      </c>
      <c r="X32" s="1265"/>
      <c r="Y32" s="3389"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9"/>
      <c r="Q33" s="1263" t="str">
        <f t="shared" si="11"/>
        <v>是否直接入户</v>
      </c>
      <c r="R33" s="667" t="s">
        <v>14</v>
      </c>
      <c r="S33" s="668">
        <f t="shared" si="12"/>
        <v>100</v>
      </c>
      <c r="T33" s="667" t="s">
        <v>14</v>
      </c>
      <c r="U33" s="668">
        <f t="shared" si="13"/>
        <v>100</v>
      </c>
      <c r="V33" s="667" t="s">
        <v>14</v>
      </c>
      <c r="W33" s="668">
        <f t="shared" si="14"/>
        <v>100</v>
      </c>
      <c r="X33" s="1265"/>
      <c r="Y33" s="3389"/>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9"/>
      <c r="Q35" s="531">
        <f t="shared" si="11"/>
        <v>111</v>
      </c>
      <c r="R35" s="669" t="s">
        <v>14</v>
      </c>
      <c r="S35" s="670">
        <f t="shared" si="12"/>
        <v>100</v>
      </c>
      <c r="T35" s="669" t="s">
        <v>14</v>
      </c>
      <c r="U35" s="670">
        <f t="shared" si="13"/>
        <v>100</v>
      </c>
      <c r="V35" s="669" t="s">
        <v>14</v>
      </c>
      <c r="W35" s="670">
        <f t="shared" si="14"/>
        <v>100</v>
      </c>
      <c r="X35" s="671"/>
      <c r="Y35" s="3389"/>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9"/>
      <c r="Q36" s="1263">
        <f t="shared" si="11"/>
        <v>111</v>
      </c>
      <c r="R36" s="667" t="s">
        <v>14</v>
      </c>
      <c r="S36" s="668">
        <f t="shared" si="12"/>
        <v>100</v>
      </c>
      <c r="T36" s="667" t="s">
        <v>14</v>
      </c>
      <c r="U36" s="668">
        <f t="shared" si="13"/>
        <v>100</v>
      </c>
      <c r="V36" s="667" t="s">
        <v>14</v>
      </c>
      <c r="W36" s="668">
        <f t="shared" si="14"/>
        <v>100</v>
      </c>
      <c r="X36" s="1265"/>
      <c r="Y36" s="3389"/>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3"/>
      <c r="M37" s="2486"/>
      <c r="N37" s="2486"/>
      <c r="O37" s="2486"/>
      <c r="P37" s="3382" t="str">
        <f>A37</f>
        <v>成交单价</v>
      </c>
      <c r="Q37" s="3382"/>
      <c r="R37" s="3383">
        <f>E37</f>
        <v>0</v>
      </c>
      <c r="S37" s="3383"/>
      <c r="T37" s="3383">
        <f>G37</f>
        <v>0</v>
      </c>
      <c r="U37" s="3383"/>
      <c r="V37" s="3383">
        <f>I37</f>
        <v>0</v>
      </c>
      <c r="W37" s="3383"/>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82" t="str">
        <f>A38</f>
        <v>比较价值（元/平方米）</v>
      </c>
      <c r="Q38" s="3382"/>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379" t="str">
        <f>A39</f>
        <v>估价对象XX用房的比较价值（楼面单价，元/平方米）</v>
      </c>
      <c r="Q39" s="3380"/>
      <c r="R39" s="3440" t="e">
        <f>IF(F1="售价",ROUND(IF(D38="简单平均",AVERAGE(R38:W38),R38*F38+T38*H38+V38*J38),0),ROUND(IF(D38="简单平均",AVERAGE(R38:V38),R38*F38+T38*H38+V38*J38),1))</f>
        <v>#DIV/0!</v>
      </c>
      <c r="S39" s="3440"/>
      <c r="T39" s="3440"/>
      <c r="U39" s="3440"/>
      <c r="V39" s="3440"/>
      <c r="W39" s="3440"/>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45947</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7" t="s">
        <v>1680</v>
      </c>
      <c r="Q7" s="3419"/>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82"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2"/>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385"/>
      <c r="Q15" s="1263"/>
      <c r="R15" s="667"/>
      <c r="S15" s="668"/>
      <c r="T15" s="667"/>
      <c r="U15" s="668"/>
      <c r="V15" s="667"/>
      <c r="W15" s="668"/>
      <c r="X15" s="1265"/>
      <c r="Y15" s="3385"/>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385"/>
      <c r="Q17" s="1263"/>
      <c r="R17" s="667"/>
      <c r="S17" s="668"/>
      <c r="T17" s="667"/>
      <c r="U17" s="668"/>
      <c r="V17" s="667"/>
      <c r="W17" s="668"/>
      <c r="X17" s="1265"/>
      <c r="Y17" s="3385"/>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385"/>
      <c r="Q19" s="1263"/>
      <c r="R19" s="667"/>
      <c r="S19" s="668"/>
      <c r="T19" s="667"/>
      <c r="U19" s="668"/>
      <c r="V19" s="667"/>
      <c r="W19" s="668"/>
      <c r="X19" s="1265"/>
      <c r="Y19" s="3385"/>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385"/>
      <c r="Q21" s="1263"/>
      <c r="R21" s="667"/>
      <c r="S21" s="668"/>
      <c r="T21" s="667"/>
      <c r="U21" s="668"/>
      <c r="V21" s="667"/>
      <c r="W21" s="668"/>
      <c r="X21" s="1265"/>
      <c r="Y21" s="3385"/>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5"/>
      <c r="Q24" s="1263">
        <f t="shared" ref="Q24:Q34"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9"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9"/>
      <c r="Q27" s="531" t="str">
        <f t="shared" si="11"/>
        <v>成新率</v>
      </c>
      <c r="R27" s="669" t="s">
        <v>14</v>
      </c>
      <c r="S27" s="670" t="e">
        <f t="shared" si="12"/>
        <v>#N/A</v>
      </c>
      <c r="T27" s="669" t="s">
        <v>14</v>
      </c>
      <c r="U27" s="670" t="e">
        <f t="shared" si="13"/>
        <v>#N/A</v>
      </c>
      <c r="V27" s="669" t="s">
        <v>14</v>
      </c>
      <c r="W27" s="670" t="e">
        <f t="shared" si="14"/>
        <v>#N/A</v>
      </c>
      <c r="X27" s="671"/>
      <c r="Y27" s="3389"/>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9"/>
      <c r="Q28" s="1263" t="str">
        <f t="shared" si="11"/>
        <v>物业等级</v>
      </c>
      <c r="R28" s="667" t="s">
        <v>14</v>
      </c>
      <c r="S28" s="668">
        <f t="shared" si="12"/>
        <v>100</v>
      </c>
      <c r="T28" s="667" t="s">
        <v>14</v>
      </c>
      <c r="U28" s="668">
        <f t="shared" si="13"/>
        <v>100</v>
      </c>
      <c r="V28" s="667" t="s">
        <v>14</v>
      </c>
      <c r="W28" s="668">
        <f t="shared" si="14"/>
        <v>100</v>
      </c>
      <c r="X28" s="1265"/>
      <c r="Y28" s="3389"/>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9"/>
      <c r="Q29" s="1263" t="str">
        <f t="shared" si="11"/>
        <v>有无电梯</v>
      </c>
      <c r="R29" s="667" t="s">
        <v>14</v>
      </c>
      <c r="S29" s="668">
        <f t="shared" si="12"/>
        <v>100</v>
      </c>
      <c r="T29" s="667" t="s">
        <v>14</v>
      </c>
      <c r="U29" s="668">
        <f t="shared" si="13"/>
        <v>100</v>
      </c>
      <c r="V29" s="667" t="s">
        <v>14</v>
      </c>
      <c r="W29" s="668">
        <f t="shared" si="14"/>
        <v>100</v>
      </c>
      <c r="X29" s="1265"/>
      <c r="Y29" s="3389"/>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9"/>
      <c r="Q30" s="1263" t="str">
        <f t="shared" si="11"/>
        <v>建筑面积</v>
      </c>
      <c r="R30" s="667" t="s">
        <v>14</v>
      </c>
      <c r="S30" s="668" t="e">
        <f t="shared" si="12"/>
        <v>#N/A</v>
      </c>
      <c r="T30" s="667" t="s">
        <v>14</v>
      </c>
      <c r="U30" s="668" t="e">
        <f t="shared" si="13"/>
        <v>#N/A</v>
      </c>
      <c r="V30" s="667" t="s">
        <v>14</v>
      </c>
      <c r="W30" s="668" t="e">
        <f t="shared" si="14"/>
        <v>#N/A</v>
      </c>
      <c r="X30" s="1265"/>
      <c r="Y30" s="3389"/>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9"/>
      <c r="Q31" s="530" t="str">
        <f t="shared" si="11"/>
        <v>是否封闭</v>
      </c>
      <c r="R31" s="664" t="s">
        <v>14</v>
      </c>
      <c r="S31" s="665">
        <f t="shared" si="12"/>
        <v>100</v>
      </c>
      <c r="T31" s="664" t="s">
        <v>14</v>
      </c>
      <c r="U31" s="665">
        <f t="shared" si="13"/>
        <v>100</v>
      </c>
      <c r="V31" s="664" t="s">
        <v>14</v>
      </c>
      <c r="W31" s="665">
        <f t="shared" si="14"/>
        <v>100</v>
      </c>
      <c r="X31" s="666"/>
      <c r="Y31" s="3389"/>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9" t="s">
        <v>1696</v>
      </c>
      <c r="Q32" s="1263">
        <f t="shared" si="11"/>
        <v>111</v>
      </c>
      <c r="R32" s="667" t="s">
        <v>14</v>
      </c>
      <c r="S32" s="668">
        <f t="shared" si="12"/>
        <v>100</v>
      </c>
      <c r="T32" s="667" t="s">
        <v>14</v>
      </c>
      <c r="U32" s="668">
        <f t="shared" si="13"/>
        <v>100</v>
      </c>
      <c r="V32" s="667" t="s">
        <v>14</v>
      </c>
      <c r="W32" s="668">
        <f t="shared" si="14"/>
        <v>100</v>
      </c>
      <c r="X32" s="1265"/>
      <c r="Y32" s="3389"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9"/>
      <c r="Q33" s="1263">
        <f t="shared" si="11"/>
        <v>111</v>
      </c>
      <c r="R33" s="667" t="s">
        <v>14</v>
      </c>
      <c r="S33" s="668">
        <f t="shared" si="12"/>
        <v>100</v>
      </c>
      <c r="T33" s="667" t="s">
        <v>14</v>
      </c>
      <c r="U33" s="668">
        <f t="shared" si="13"/>
        <v>100</v>
      </c>
      <c r="V33" s="667" t="s">
        <v>14</v>
      </c>
      <c r="W33" s="668">
        <f t="shared" si="14"/>
        <v>100</v>
      </c>
      <c r="X33" s="1265"/>
      <c r="Y33" s="3389"/>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382" t="str">
        <f>A35</f>
        <v>成交单价（元/平方米）</v>
      </c>
      <c r="Q35" s="3382"/>
      <c r="R35" s="3383">
        <f>E35</f>
        <v>0</v>
      </c>
      <c r="S35" s="3383"/>
      <c r="T35" s="3383">
        <f>G35</f>
        <v>0</v>
      </c>
      <c r="U35" s="3383"/>
      <c r="V35" s="3383">
        <f>I35</f>
        <v>0</v>
      </c>
      <c r="W35" s="3383"/>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82" t="str">
        <f>A36</f>
        <v>比较价值（元/平方米）</v>
      </c>
      <c r="Q36" s="3382"/>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379" t="str">
        <f>A37</f>
        <v>估价对象XX用房的比较价值（楼面单价，元/平方米）</v>
      </c>
      <c r="Q37" s="3380"/>
      <c r="R37" s="3440" t="e">
        <f>IF(F1="售价",ROUND(IF(D36="简单平均",AVERAGE(R36:W36),R36*F36+T36*H36+V36*J36),0),ROUND(IF(D36="简单平均",AVERAGE(R36:V36),R36*F36+T36*H36+V36*J36),1))</f>
        <v>#DIV/0!</v>
      </c>
      <c r="S37" s="3440"/>
      <c r="T37" s="3440"/>
      <c r="U37" s="3440"/>
      <c r="V37" s="3440"/>
      <c r="W37" s="3440"/>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45947</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7" t="s">
        <v>1683</v>
      </c>
      <c r="Q8" s="3418"/>
      <c r="R8" s="664" t="s">
        <v>14</v>
      </c>
      <c r="S8" s="665">
        <f t="shared" si="0"/>
        <v>0</v>
      </c>
      <c r="T8" s="664" t="s">
        <v>14</v>
      </c>
      <c r="U8" s="665">
        <f t="shared" si="1"/>
        <v>0</v>
      </c>
      <c r="V8" s="664" t="s">
        <v>14</v>
      </c>
      <c r="W8" s="665">
        <f t="shared" si="2"/>
        <v>0</v>
      </c>
      <c r="X8" s="666"/>
      <c r="Y8" s="3417" t="s">
        <v>1683</v>
      </c>
      <c r="Z8" s="341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125</v>
      </c>
      <c r="G10" s="402"/>
      <c r="H10" s="119">
        <f>ROUND(100/'数据-取费表'!G16,0)</f>
        <v>125</v>
      </c>
      <c r="I10" s="402"/>
      <c r="J10" s="119">
        <f>ROUND(100/'数据-取费表'!G16,0)</f>
        <v>125</v>
      </c>
      <c r="K10" s="592"/>
      <c r="L10" s="2488"/>
      <c r="M10" s="2489"/>
      <c r="N10" s="2489"/>
      <c r="O10" s="2540"/>
      <c r="P10" s="3382"/>
      <c r="Q10" s="530" t="str">
        <f t="shared" si="6"/>
        <v>土地使用年限（年）</v>
      </c>
      <c r="R10" s="664" t="s">
        <v>14</v>
      </c>
      <c r="S10" s="665">
        <f t="shared" si="0"/>
        <v>125</v>
      </c>
      <c r="T10" s="664" t="s">
        <v>14</v>
      </c>
      <c r="U10" s="665">
        <f t="shared" si="1"/>
        <v>125</v>
      </c>
      <c r="V10" s="664" t="s">
        <v>14</v>
      </c>
      <c r="W10" s="665">
        <f t="shared" si="2"/>
        <v>125</v>
      </c>
      <c r="X10" s="666"/>
      <c r="Y10" s="3257"/>
      <c r="Z10" s="50" t="str">
        <f t="shared" si="7"/>
        <v>土地使用年限（年）</v>
      </c>
      <c r="AA10" s="50">
        <f t="shared" si="3"/>
        <v>0.8</v>
      </c>
      <c r="AB10" s="50">
        <f t="shared" si="4"/>
        <v>0.8</v>
      </c>
      <c r="AC10" s="50">
        <f t="shared" si="5"/>
        <v>0.8</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2"/>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82"/>
      <c r="Q12" s="530" t="str">
        <f t="shared" si="6"/>
        <v>配建</v>
      </c>
      <c r="R12" s="664" t="s">
        <v>14</v>
      </c>
      <c r="S12" s="665">
        <f t="shared" si="0"/>
        <v>100</v>
      </c>
      <c r="T12" s="664" t="s">
        <v>14</v>
      </c>
      <c r="U12" s="665">
        <f t="shared" si="1"/>
        <v>100</v>
      </c>
      <c r="V12" s="664" t="s">
        <v>14</v>
      </c>
      <c r="W12" s="665">
        <f t="shared" si="2"/>
        <v>100</v>
      </c>
      <c r="X12" s="666"/>
      <c r="Y12" s="325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4" t="s">
        <v>1691</v>
      </c>
      <c r="Q15" s="1263" t="str">
        <f t="shared" si="6"/>
        <v>居住社区成熟度</v>
      </c>
      <c r="R15" s="667" t="s">
        <v>14</v>
      </c>
      <c r="S15" s="668">
        <f t="shared" si="0"/>
        <v>100</v>
      </c>
      <c r="T15" s="667" t="s">
        <v>14</v>
      </c>
      <c r="U15" s="668">
        <f t="shared" si="1"/>
        <v>100</v>
      </c>
      <c r="V15" s="667" t="s">
        <v>14</v>
      </c>
      <c r="W15" s="668">
        <f t="shared" si="2"/>
        <v>100</v>
      </c>
      <c r="X15" s="1265"/>
      <c r="Y15" s="3384"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385"/>
      <c r="Q16" s="1263"/>
      <c r="R16" s="667"/>
      <c r="S16" s="668"/>
      <c r="T16" s="667"/>
      <c r="U16" s="668"/>
      <c r="V16" s="667"/>
      <c r="W16" s="668"/>
      <c r="X16" s="1265"/>
      <c r="Y16" s="3385"/>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5"/>
      <c r="Q17" s="1263" t="str">
        <f>B17</f>
        <v>商业繁华度</v>
      </c>
      <c r="R17" s="667" t="s">
        <v>14</v>
      </c>
      <c r="S17" s="668">
        <f>F17</f>
        <v>100</v>
      </c>
      <c r="T17" s="667" t="s">
        <v>14</v>
      </c>
      <c r="U17" s="668">
        <f>H17</f>
        <v>100</v>
      </c>
      <c r="V17" s="667" t="s">
        <v>14</v>
      </c>
      <c r="W17" s="668">
        <f>J17</f>
        <v>100</v>
      </c>
      <c r="X17" s="1265"/>
      <c r="Y17" s="3385"/>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385"/>
      <c r="Q18" s="1263"/>
      <c r="R18" s="667"/>
      <c r="S18" s="668"/>
      <c r="T18" s="667"/>
      <c r="U18" s="668"/>
      <c r="V18" s="667"/>
      <c r="W18" s="668"/>
      <c r="X18" s="1265"/>
      <c r="Y18" s="3385"/>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5"/>
      <c r="Q19" s="1263" t="str">
        <f>B19</f>
        <v>办公集聚程度</v>
      </c>
      <c r="R19" s="667" t="s">
        <v>14</v>
      </c>
      <c r="S19" s="668">
        <f>F19</f>
        <v>100</v>
      </c>
      <c r="T19" s="667" t="s">
        <v>14</v>
      </c>
      <c r="U19" s="668">
        <f>H19</f>
        <v>100</v>
      </c>
      <c r="V19" s="667" t="s">
        <v>14</v>
      </c>
      <c r="W19" s="668">
        <f>J19</f>
        <v>100</v>
      </c>
      <c r="X19" s="1265"/>
      <c r="Y19" s="3385"/>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385"/>
      <c r="Q20" s="1263"/>
      <c r="R20" s="667"/>
      <c r="S20" s="668"/>
      <c r="T20" s="667"/>
      <c r="U20" s="668"/>
      <c r="V20" s="667"/>
      <c r="W20" s="668"/>
      <c r="X20" s="1265"/>
      <c r="Y20" s="3385"/>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5"/>
      <c r="Q21" s="1263" t="str">
        <f>B21</f>
        <v>交通便捷度</v>
      </c>
      <c r="R21" s="667" t="s">
        <v>14</v>
      </c>
      <c r="S21" s="668">
        <f>F21</f>
        <v>100</v>
      </c>
      <c r="T21" s="667" t="s">
        <v>14</v>
      </c>
      <c r="U21" s="668">
        <f>H21</f>
        <v>100</v>
      </c>
      <c r="V21" s="667" t="s">
        <v>14</v>
      </c>
      <c r="W21" s="668">
        <f>J21</f>
        <v>100</v>
      </c>
      <c r="X21" s="1265"/>
      <c r="Y21" s="3385"/>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385"/>
      <c r="Q22" s="1263"/>
      <c r="R22" s="667"/>
      <c r="S22" s="668"/>
      <c r="T22" s="667"/>
      <c r="U22" s="668"/>
      <c r="V22" s="667"/>
      <c r="W22" s="668"/>
      <c r="X22" s="1265"/>
      <c r="Y22" s="3385"/>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5"/>
      <c r="Q23" s="1263" t="str">
        <f t="shared" ref="Q23:Q37" si="8">B23</f>
        <v>区域土地利用方向</v>
      </c>
      <c r="R23" s="667" t="s">
        <v>14</v>
      </c>
      <c r="S23" s="668">
        <f>F23</f>
        <v>100</v>
      </c>
      <c r="T23" s="667" t="s">
        <v>14</v>
      </c>
      <c r="U23" s="668">
        <f>H23</f>
        <v>100</v>
      </c>
      <c r="V23" s="667" t="s">
        <v>14</v>
      </c>
      <c r="W23" s="668">
        <f>J23</f>
        <v>100</v>
      </c>
      <c r="X23" s="1265"/>
      <c r="Y23" s="3385"/>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385"/>
      <c r="Q24" s="1263"/>
      <c r="R24" s="667"/>
      <c r="S24" s="668"/>
      <c r="T24" s="667"/>
      <c r="U24" s="668"/>
      <c r="V24" s="667"/>
      <c r="W24" s="668"/>
      <c r="X24" s="1265"/>
      <c r="Y24" s="3385"/>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5"/>
      <c r="Q25" s="1263" t="str">
        <f t="shared" si="8"/>
        <v>自然及人文环境状况</v>
      </c>
      <c r="R25" s="667" t="s">
        <v>14</v>
      </c>
      <c r="S25" s="668">
        <f>F25</f>
        <v>100</v>
      </c>
      <c r="T25" s="667" t="s">
        <v>14</v>
      </c>
      <c r="U25" s="668">
        <f>H25</f>
        <v>100</v>
      </c>
      <c r="V25" s="667" t="s">
        <v>14</v>
      </c>
      <c r="W25" s="668">
        <f>J25</f>
        <v>100</v>
      </c>
      <c r="X25" s="1265"/>
      <c r="Y25" s="3385"/>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385"/>
      <c r="Q26" s="1263"/>
      <c r="R26" s="667"/>
      <c r="S26" s="668"/>
      <c r="T26" s="667"/>
      <c r="U26" s="668"/>
      <c r="V26" s="667"/>
      <c r="W26" s="668"/>
      <c r="X26" s="1265"/>
      <c r="Y26" s="3385"/>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5"/>
      <c r="Q27" s="530" t="str">
        <f t="shared" si="8"/>
        <v>公共配套设施</v>
      </c>
      <c r="R27" s="664" t="s">
        <v>14</v>
      </c>
      <c r="S27" s="665">
        <f>F27</f>
        <v>100</v>
      </c>
      <c r="T27" s="664" t="s">
        <v>14</v>
      </c>
      <c r="U27" s="665">
        <f>H27</f>
        <v>100</v>
      </c>
      <c r="V27" s="664" t="s">
        <v>14</v>
      </c>
      <c r="W27" s="665">
        <f>J27</f>
        <v>100</v>
      </c>
      <c r="X27" s="666"/>
      <c r="Y27" s="3385"/>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385"/>
      <c r="Q28" s="530"/>
      <c r="R28" s="664"/>
      <c r="S28" s="665"/>
      <c r="T28" s="664"/>
      <c r="U28" s="665"/>
      <c r="V28" s="664"/>
      <c r="W28" s="665"/>
      <c r="X28" s="666"/>
      <c r="Y28" s="3385"/>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5"/>
      <c r="Q29" s="530" t="str">
        <f t="shared" ref="Q29" si="9">B29</f>
        <v>基础设施水平</v>
      </c>
      <c r="R29" s="664" t="s">
        <v>14</v>
      </c>
      <c r="S29" s="665">
        <f>F29</f>
        <v>100</v>
      </c>
      <c r="T29" s="664" t="s">
        <v>14</v>
      </c>
      <c r="U29" s="665">
        <f>H29</f>
        <v>100</v>
      </c>
      <c r="V29" s="664" t="s">
        <v>14</v>
      </c>
      <c r="W29" s="665">
        <f>J29</f>
        <v>100</v>
      </c>
      <c r="X29" s="666"/>
      <c r="Y29" s="3385"/>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385"/>
      <c r="Q30" s="530"/>
      <c r="R30" s="664"/>
      <c r="S30" s="665"/>
      <c r="T30" s="664"/>
      <c r="U30" s="665"/>
      <c r="V30" s="664"/>
      <c r="W30" s="665"/>
      <c r="X30" s="666"/>
      <c r="Y30" s="3385"/>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5"/>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5"/>
      <c r="Q32" s="1263" t="str">
        <f t="shared" si="8"/>
        <v>毗邻道路的类型与等级</v>
      </c>
      <c r="R32" s="667" t="s">
        <v>14</v>
      </c>
      <c r="S32" s="668">
        <f t="shared" si="10"/>
        <v>100</v>
      </c>
      <c r="T32" s="667" t="s">
        <v>14</v>
      </c>
      <c r="U32" s="668">
        <f t="shared" si="11"/>
        <v>100</v>
      </c>
      <c r="V32" s="667" t="s">
        <v>14</v>
      </c>
      <c r="W32" s="668">
        <f t="shared" si="12"/>
        <v>100</v>
      </c>
      <c r="X32" s="1265"/>
      <c r="Y32" s="3385"/>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385"/>
      <c r="Q33" s="1263"/>
      <c r="R33" s="667"/>
      <c r="S33" s="668"/>
      <c r="T33" s="667"/>
      <c r="U33" s="668"/>
      <c r="V33" s="667"/>
      <c r="W33" s="668"/>
      <c r="X33" s="1265"/>
      <c r="Y33" s="3385"/>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5"/>
      <c r="Q34" s="1263" t="str">
        <f t="shared" si="8"/>
        <v>土地级别</v>
      </c>
      <c r="R34" s="667" t="s">
        <v>14</v>
      </c>
      <c r="S34" s="668">
        <f t="shared" si="10"/>
        <v>100</v>
      </c>
      <c r="T34" s="667" t="s">
        <v>14</v>
      </c>
      <c r="U34" s="668">
        <f t="shared" si="11"/>
        <v>100</v>
      </c>
      <c r="V34" s="667" t="s">
        <v>14</v>
      </c>
      <c r="W34" s="668">
        <f t="shared" si="12"/>
        <v>100</v>
      </c>
      <c r="X34" s="1265"/>
      <c r="Y34" s="3385"/>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5"/>
      <c r="Q35" s="1263">
        <f t="shared" si="8"/>
        <v>111</v>
      </c>
      <c r="R35" s="667" t="s">
        <v>14</v>
      </c>
      <c r="S35" s="668">
        <f t="shared" si="10"/>
        <v>100</v>
      </c>
      <c r="T35" s="667" t="s">
        <v>14</v>
      </c>
      <c r="U35" s="668">
        <f t="shared" si="11"/>
        <v>100</v>
      </c>
      <c r="V35" s="667" t="s">
        <v>14</v>
      </c>
      <c r="W35" s="668">
        <f t="shared" si="12"/>
        <v>100</v>
      </c>
      <c r="X35" s="1265"/>
      <c r="Y35" s="3385"/>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9" t="s">
        <v>1696</v>
      </c>
      <c r="Q36" s="1263">
        <f t="shared" si="8"/>
        <v>111</v>
      </c>
      <c r="R36" s="667" t="s">
        <v>14</v>
      </c>
      <c r="S36" s="668">
        <f t="shared" si="10"/>
        <v>100</v>
      </c>
      <c r="T36" s="667" t="s">
        <v>14</v>
      </c>
      <c r="U36" s="668">
        <f t="shared" si="11"/>
        <v>100</v>
      </c>
      <c r="V36" s="667" t="s">
        <v>14</v>
      </c>
      <c r="W36" s="668">
        <f t="shared" si="12"/>
        <v>100</v>
      </c>
      <c r="X36" s="1265"/>
      <c r="Y36" s="3389"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9"/>
      <c r="Q37" s="1263">
        <f t="shared" si="8"/>
        <v>111</v>
      </c>
      <c r="R37" s="669" t="s">
        <v>14</v>
      </c>
      <c r="S37" s="670">
        <f t="shared" si="10"/>
        <v>100</v>
      </c>
      <c r="T37" s="669" t="s">
        <v>14</v>
      </c>
      <c r="U37" s="670">
        <f t="shared" si="11"/>
        <v>100</v>
      </c>
      <c r="V37" s="669" t="s">
        <v>14</v>
      </c>
      <c r="W37" s="670">
        <f t="shared" si="12"/>
        <v>100</v>
      </c>
      <c r="X37" s="671"/>
      <c r="Y37" s="3389"/>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9"/>
      <c r="Q38" s="1263" t="str">
        <f>B38</f>
        <v>宗地面积</v>
      </c>
      <c r="R38" s="667" t="s">
        <v>14</v>
      </c>
      <c r="S38" s="668" t="e">
        <f t="shared" si="10"/>
        <v>#N/A</v>
      </c>
      <c r="T38" s="667" t="s">
        <v>14</v>
      </c>
      <c r="U38" s="668" t="e">
        <f t="shared" si="11"/>
        <v>#N/A</v>
      </c>
      <c r="V38" s="667" t="s">
        <v>14</v>
      </c>
      <c r="W38" s="668" t="e">
        <f t="shared" si="12"/>
        <v>#N/A</v>
      </c>
      <c r="X38" s="1265"/>
      <c r="Y38" s="3389"/>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9"/>
      <c r="Q39" s="1263" t="str">
        <f t="shared" ref="Q39:Q45" si="14">B39</f>
        <v>宗地形状</v>
      </c>
      <c r="R39" s="667" t="s">
        <v>14</v>
      </c>
      <c r="S39" s="668">
        <f t="shared" si="10"/>
        <v>100</v>
      </c>
      <c r="T39" s="667" t="s">
        <v>14</v>
      </c>
      <c r="U39" s="668">
        <f t="shared" si="11"/>
        <v>100</v>
      </c>
      <c r="V39" s="667" t="s">
        <v>14</v>
      </c>
      <c r="W39" s="668">
        <f t="shared" si="12"/>
        <v>100</v>
      </c>
      <c r="X39" s="1265"/>
      <c r="Y39" s="3389"/>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9"/>
      <c r="Q40" s="1263" t="str">
        <f t="shared" si="14"/>
        <v>临街宽度及深度</v>
      </c>
      <c r="R40" s="667" t="s">
        <v>14</v>
      </c>
      <c r="S40" s="668">
        <f t="shared" si="10"/>
        <v>100</v>
      </c>
      <c r="T40" s="667" t="s">
        <v>14</v>
      </c>
      <c r="U40" s="668">
        <f t="shared" si="11"/>
        <v>100</v>
      </c>
      <c r="V40" s="667" t="s">
        <v>14</v>
      </c>
      <c r="W40" s="668">
        <f t="shared" si="12"/>
        <v>100</v>
      </c>
      <c r="X40" s="1265"/>
      <c r="Y40" s="3389"/>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9"/>
      <c r="Q41" s="1263" t="str">
        <f t="shared" si="14"/>
        <v>宗地开发程度</v>
      </c>
      <c r="R41" s="664" t="s">
        <v>14</v>
      </c>
      <c r="S41" s="665">
        <f t="shared" si="10"/>
        <v>100</v>
      </c>
      <c r="T41" s="664" t="s">
        <v>14</v>
      </c>
      <c r="U41" s="665">
        <f t="shared" si="11"/>
        <v>100</v>
      </c>
      <c r="V41" s="664" t="s">
        <v>14</v>
      </c>
      <c r="W41" s="665">
        <f t="shared" si="12"/>
        <v>100</v>
      </c>
      <c r="X41" s="666"/>
      <c r="Y41" s="3389"/>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9" t="s">
        <v>1696</v>
      </c>
      <c r="Q42" s="1263" t="str">
        <f t="shared" si="14"/>
        <v>工程地质条件</v>
      </c>
      <c r="R42" s="667" t="s">
        <v>14</v>
      </c>
      <c r="S42" s="668">
        <f t="shared" si="10"/>
        <v>100</v>
      </c>
      <c r="T42" s="667" t="s">
        <v>14</v>
      </c>
      <c r="U42" s="668">
        <f t="shared" si="11"/>
        <v>100</v>
      </c>
      <c r="V42" s="667" t="s">
        <v>14</v>
      </c>
      <c r="W42" s="668">
        <f t="shared" si="12"/>
        <v>100</v>
      </c>
      <c r="X42" s="1265"/>
      <c r="Y42" s="3389"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9"/>
      <c r="Q43" s="1263">
        <f t="shared" si="14"/>
        <v>111</v>
      </c>
      <c r="R43" s="667" t="s">
        <v>14</v>
      </c>
      <c r="S43" s="668">
        <f t="shared" si="10"/>
        <v>100</v>
      </c>
      <c r="T43" s="667" t="s">
        <v>14</v>
      </c>
      <c r="U43" s="668">
        <f t="shared" si="11"/>
        <v>100</v>
      </c>
      <c r="V43" s="667" t="s">
        <v>14</v>
      </c>
      <c r="W43" s="668">
        <f t="shared" si="12"/>
        <v>100</v>
      </c>
      <c r="X43" s="1265"/>
      <c r="Y43" s="3389"/>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9"/>
      <c r="Q44" s="1263">
        <f t="shared" si="14"/>
        <v>111</v>
      </c>
      <c r="R44" s="667" t="s">
        <v>14</v>
      </c>
      <c r="S44" s="668">
        <f t="shared" si="10"/>
        <v>100</v>
      </c>
      <c r="T44" s="667" t="s">
        <v>14</v>
      </c>
      <c r="U44" s="668">
        <f t="shared" si="11"/>
        <v>100</v>
      </c>
      <c r="V44" s="667" t="s">
        <v>14</v>
      </c>
      <c r="W44" s="668">
        <f t="shared" si="12"/>
        <v>100</v>
      </c>
      <c r="X44" s="1265"/>
      <c r="Y44" s="3389"/>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9"/>
      <c r="Q45" s="1263">
        <f t="shared" si="14"/>
        <v>111</v>
      </c>
      <c r="R45" s="669" t="s">
        <v>14</v>
      </c>
      <c r="S45" s="670">
        <f t="shared" si="10"/>
        <v>100</v>
      </c>
      <c r="T45" s="669" t="s">
        <v>14</v>
      </c>
      <c r="U45" s="670">
        <f t="shared" si="11"/>
        <v>100</v>
      </c>
      <c r="V45" s="669" t="s">
        <v>14</v>
      </c>
      <c r="W45" s="670">
        <f t="shared" si="12"/>
        <v>100</v>
      </c>
      <c r="X45" s="671"/>
      <c r="Y45" s="3389"/>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382" t="str">
        <f>A46</f>
        <v>成交单价</v>
      </c>
      <c r="Q46" s="3382"/>
      <c r="R46" s="3383">
        <f>E46</f>
        <v>0</v>
      </c>
      <c r="S46" s="3383"/>
      <c r="T46" s="3383">
        <f>G46</f>
        <v>0</v>
      </c>
      <c r="U46" s="3383"/>
      <c r="V46" s="3383">
        <f>I46</f>
        <v>0</v>
      </c>
      <c r="W46" s="3383"/>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82" t="str">
        <f>A47</f>
        <v>比较价值（元/平方米）</v>
      </c>
      <c r="Q47" s="3382"/>
      <c r="R47" s="3441" t="e">
        <f>ROUND(PRODUCT(R46,AA7:AA45),0)</f>
        <v>#DIV/0!</v>
      </c>
      <c r="S47" s="3441"/>
      <c r="T47" s="3441" t="e">
        <f>ROUND(PRODUCT(T46,AB7:AB45),0)</f>
        <v>#DIV/0!</v>
      </c>
      <c r="U47" s="3441"/>
      <c r="V47" s="3441" t="e">
        <f>ROUND(PRODUCT(V46,AC7:AC45),0)</f>
        <v>#DIV/0!</v>
      </c>
      <c r="W47" s="3441"/>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379" t="str">
        <f>A48</f>
        <v>估价对象XX用房的比较价值（楼面单价，元/平方米）</v>
      </c>
      <c r="Q48" s="3380"/>
      <c r="R48" s="3442" t="e">
        <f>ROUND(IF(D47="简单平均",AVERAGE(R47:W47),R47*F47+T47*H47+V47*J47),0)</f>
        <v>#DIV/0!</v>
      </c>
      <c r="S48" s="3442"/>
      <c r="T48" s="3442"/>
      <c r="U48" s="3442"/>
      <c r="V48" s="3442"/>
      <c r="W48" s="344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7" t="s">
        <v>1887</v>
      </c>
      <c r="H55" s="3443"/>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16450.849999999999</v>
      </c>
      <c r="F56" s="833" t="e">
        <f t="shared" ref="F56:F64" si="15">ROUND(B56*E56/10000,0)</f>
        <v>#DIV/0!</v>
      </c>
      <c r="G56" s="3393"/>
      <c r="H56" s="3382"/>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16450.849999999999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B65" sqref="B65:H66"/>
      <selection pane="bottomLeft" activeCell="B65" sqref="B65:H66"/>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1" t="s">
        <v>2084</v>
      </c>
      <c r="D1" s="3452"/>
      <c r="E1" s="3452"/>
      <c r="F1" s="3452"/>
      <c r="G1" s="3452"/>
      <c r="H1" s="3452"/>
      <c r="I1" s="3452"/>
      <c r="J1" s="3452"/>
      <c r="K1" s="3452"/>
      <c r="L1" s="3452"/>
      <c r="M1" s="3452"/>
      <c r="N1" s="3452"/>
      <c r="O1" s="3452"/>
      <c r="P1" s="3452"/>
      <c r="Q1" s="3452"/>
      <c r="R1" s="3452"/>
      <c r="S1" s="3453"/>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48" t="s">
        <v>27</v>
      </c>
      <c r="D22" s="3449"/>
      <c r="E22" s="3449"/>
      <c r="F22" s="3449"/>
      <c r="G22" s="3449"/>
      <c r="H22" s="3449"/>
      <c r="I22" s="3449"/>
      <c r="J22" s="3449"/>
      <c r="K22" s="3449"/>
      <c r="L22" s="3449"/>
      <c r="M22" s="3449"/>
      <c r="N22" s="3449"/>
      <c r="O22" s="3449"/>
      <c r="P22" s="3449"/>
      <c r="Q22" s="3450"/>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B65" sqref="B65:H66"/>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f ca="1">SUMIF(B6:B13,"&lt;&gt;#ref!",B6:B13)</f>
        <v>2305</v>
      </c>
      <c r="C2" s="1984" t="s">
        <v>2074</v>
      </c>
      <c r="D2" s="1984" t="s">
        <v>2075</v>
      </c>
      <c r="E2" s="2397">
        <f ca="1">SUMIF(E6:E13,"&lt;&gt;#ref!",E6:E13)</f>
        <v>27183.86</v>
      </c>
      <c r="F2" s="2543"/>
      <c r="G2" s="2543"/>
      <c r="H2" s="2543"/>
      <c r="I2" s="2543"/>
      <c r="J2" s="2543"/>
      <c r="K2" s="2543"/>
      <c r="L2" s="2543"/>
      <c r="M2" s="2543"/>
      <c r="N2" s="2543"/>
      <c r="O2" s="2543"/>
      <c r="P2" s="2543"/>
    </row>
    <row r="3" spans="1:16" ht="15.5">
      <c r="A3" s="1984" t="s">
        <v>2076</v>
      </c>
      <c r="B3" s="2387">
        <f ca="1">ROUND(B2*10000/E2,0)</f>
        <v>848</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2305</v>
      </c>
      <c r="C6" s="1984" t="s">
        <v>2074</v>
      </c>
      <c r="D6" s="2543"/>
      <c r="E6" s="2397">
        <f ca="1">SUMIF(INDIRECT("'"&amp;A6&amp;"'"&amp;"!C:C"),"建筑面积",INDIRECT("'"&amp;A6&amp;"'"&amp;"!D:D"))</f>
        <v>27183.86</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5" zoomScaleNormal="80" zoomScaleSheetLayoutView="100" workbookViewId="0">
      <selection activeCell="G83" sqref="G83:G90"/>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27183.86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2305</v>
      </c>
      <c r="C2" s="1846" t="s">
        <v>1935</v>
      </c>
      <c r="D2" s="162" t="s">
        <v>1936</v>
      </c>
      <c r="E2" s="3119" t="s">
        <v>3</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Ⅸ-兴谷开发区A</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1307</v>
      </c>
      <c r="U2" s="1130"/>
      <c r="V2" s="3062">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848</v>
      </c>
      <c r="C3" s="1846" t="s">
        <v>1941</v>
      </c>
      <c r="D3" s="162" t="s">
        <v>1942</v>
      </c>
      <c r="E3" s="3117" t="s">
        <v>2479</v>
      </c>
      <c r="F3" s="1848" t="s">
        <v>3476</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1008</v>
      </c>
      <c r="U3" s="1130"/>
      <c r="V3" s="3062">
        <f t="shared" ref="V3:V16" si="1">ROUND(T3*U3/10000,0)</f>
        <v>0</v>
      </c>
      <c r="W3" s="1133"/>
      <c r="X3" s="1133"/>
      <c r="Y3" s="1133"/>
      <c r="Z3" s="1133"/>
      <c r="AA3" s="1133"/>
      <c r="AB3" s="1133"/>
      <c r="AC3" s="1134"/>
      <c r="AD3" s="1135"/>
      <c r="AE3" s="1135"/>
      <c r="AF3" s="1135"/>
      <c r="AG3" s="1135"/>
      <c r="AH3" s="1135"/>
      <c r="AI3" s="1135"/>
      <c r="AJ3" s="1136"/>
    </row>
    <row r="4" spans="1:36" ht="15.5">
      <c r="A4" s="3461"/>
      <c r="B4" s="3462"/>
      <c r="C4" s="3462"/>
      <c r="D4" s="3463"/>
      <c r="E4" s="3463"/>
      <c r="F4" s="3463"/>
      <c r="G4" s="3463"/>
      <c r="H4" s="3463"/>
      <c r="I4" s="3463"/>
      <c r="J4" s="346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822</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960</v>
      </c>
      <c r="D5" s="1252">
        <f>ROUND(C6*C17+C20,0)</f>
        <v>960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698</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960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636</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九级</v>
      </c>
      <c r="Y7" s="1131" t="s">
        <v>1956</v>
      </c>
      <c r="Z7" s="1132">
        <f>G3</f>
        <v>1</v>
      </c>
      <c r="AA7" s="1133"/>
      <c r="AB7" s="1133"/>
      <c r="AC7" s="1134"/>
      <c r="AD7" s="1135"/>
      <c r="AE7" s="1135"/>
      <c r="AF7" s="1135"/>
      <c r="AG7" s="1135"/>
      <c r="AH7" s="1135"/>
      <c r="AI7" s="1135"/>
      <c r="AJ7" s="1136"/>
    </row>
    <row r="8" spans="1:36" ht="25">
      <c r="A8" s="3008"/>
      <c r="B8" s="162" t="s">
        <v>1957</v>
      </c>
      <c r="C8" s="1870" t="s">
        <v>3477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58" t="s">
        <v>1960</v>
      </c>
      <c r="X8" s="345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960</v>
      </c>
      <c r="N9" s="813">
        <f>SUMPRODUCT((因素修正幅度!B277:B326=I2)*(因素修正幅度!C3:G3=E2)*(因素修正幅度!C277:G326))</f>
        <v>0.05</v>
      </c>
      <c r="O9" s="1056"/>
      <c r="P9" s="1056"/>
      <c r="Q9" s="1056"/>
      <c r="R9" s="1129">
        <v>8</v>
      </c>
      <c r="S9" s="1130"/>
      <c r="T9" s="3062">
        <f t="shared" si="0"/>
        <v>0</v>
      </c>
      <c r="U9" s="1130"/>
      <c r="V9" s="3062">
        <f t="shared" si="1"/>
        <v>0</v>
      </c>
      <c r="W9" s="3460"/>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0.91279999999999994</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65" t="s">
        <v>3254</v>
      </c>
      <c r="B20" s="159" t="s">
        <v>1994</v>
      </c>
      <c r="C20" s="3030">
        <f>ROUND(IF(F21="与级别开发程度一致",0,(G21-E21)/C21),0)</f>
        <v>0</v>
      </c>
      <c r="D20" s="3045" t="s">
        <v>1998</v>
      </c>
      <c r="E20" s="3046"/>
      <c r="F20" s="3471" t="s">
        <v>1995</v>
      </c>
      <c r="G20" s="3472"/>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466"/>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3478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1896" t="s">
        <v>2002</v>
      </c>
      <c r="E23" s="717">
        <v>44197</v>
      </c>
      <c r="F23" s="1896" t="s">
        <v>2003</v>
      </c>
      <c r="G23" s="718">
        <f>'数据-取费表'!B2</f>
        <v>45947</v>
      </c>
      <c r="H23" s="3047" t="s">
        <v>3479</v>
      </c>
      <c r="I23" s="3048" t="str">
        <f>IF(H23="季度增幅（自定义）",SUMIF(N25:N28,E2,O25:O28),"")</f>
        <v/>
      </c>
      <c r="J23" s="3140" t="s">
        <v>3480</v>
      </c>
      <c r="K23" s="1061"/>
      <c r="L23" s="1897" t="s">
        <v>2004</v>
      </c>
      <c r="M23" s="1241">
        <f>ROUND(SUMIF(地价!B2:G2,E2,地价!B16:G16),0)</f>
        <v>318</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0.80010000000000003</v>
      </c>
      <c r="D24" s="1902" t="s">
        <v>2007</v>
      </c>
      <c r="E24" s="1248">
        <f>存贷款利率!E28/100</f>
        <v>4.3499999999999997E-2</v>
      </c>
      <c r="F24" s="1902" t="s">
        <v>1999</v>
      </c>
      <c r="G24" s="724">
        <f>SUMIF(M30:Q30,E2,M33:Q33)</f>
        <v>0.05</v>
      </c>
      <c r="H24" s="1902" t="s">
        <v>2008</v>
      </c>
      <c r="I24" s="725">
        <f>SUMIF('数据-取费表'!C6:C15,E2,'数据-取费表'!F6:F15)/COUNTIF('数据-取费表'!C6:C15,E2)</f>
        <v>26.86</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3333</v>
      </c>
      <c r="C25" s="461">
        <f>IF(B25="容积率修正",IF(G3&lt;10,D26,J26),C27)</f>
        <v>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1.0132000000000001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2305</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848</v>
      </c>
      <c r="D33" s="1940">
        <f>'数据-汇总表'!D3</f>
        <v>27183.86</v>
      </c>
      <c r="E33" s="727">
        <f>ROUND(C33*D33/10000,0)</f>
        <v>2305</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127</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69"/>
      <c r="B37" s="1955" t="s">
        <v>2036</v>
      </c>
      <c r="C37" s="167">
        <f>ROUND(D5*C22*C23*C24*C28*F37,0)</f>
        <v>424</v>
      </c>
      <c r="D37" s="1940"/>
      <c r="E37" s="163">
        <f>ROUND(C37*D37/10000,0)</f>
        <v>0</v>
      </c>
      <c r="F37" s="163">
        <f>SUMIF(修正!A59:A70,G2,修正!B59:B70)</f>
        <v>0.5</v>
      </c>
      <c r="G37" s="163">
        <f>ROUND(IF(E2="工业",C37*$M$42,C37*$M$41),0)</f>
        <v>64</v>
      </c>
      <c r="H37" s="163">
        <f>D37</f>
        <v>0</v>
      </c>
      <c r="I37" s="163">
        <f>ROUND(G37*H37/10000,0)</f>
        <v>0</v>
      </c>
      <c r="J37" s="2753"/>
      <c r="K37" s="3060" t="s">
        <v>3264</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70"/>
      <c r="B38" s="1884" t="s">
        <v>2037</v>
      </c>
      <c r="C38" s="167">
        <f>ROUND(D5*C22*C23*C24*C28*F38,0)</f>
        <v>170</v>
      </c>
      <c r="D38" s="1940"/>
      <c r="E38" s="163">
        <f t="shared" ref="E38:E42" si="4">ROUND(C38*D38/10000,0)</f>
        <v>0</v>
      </c>
      <c r="F38" s="163">
        <f>SUMIF(修正!A59:A70,G2,修正!C59:C70)</f>
        <v>0.2</v>
      </c>
      <c r="G38" s="163">
        <f>ROUND(IF(E2="工业",C38*$M$42,C38*$M$41),0)</f>
        <v>26</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0"/>
      <c r="B39" s="1884" t="s">
        <v>3257</v>
      </c>
      <c r="C39" s="167">
        <f>ROUND(D5*C22*C23*C24*C28*F39,0)</f>
        <v>170</v>
      </c>
      <c r="D39" s="1940"/>
      <c r="E39" s="163">
        <f t="shared" si="4"/>
        <v>0</v>
      </c>
      <c r="F39" s="163">
        <f>SUMIF(修正!A59:A70,G2,修正!D59:D70)</f>
        <v>0.2</v>
      </c>
      <c r="G39" s="163">
        <f>ROUND(IF(E2="工业",C39*$M$42,C39*$M$41),0)</f>
        <v>26</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170</v>
      </c>
      <c r="D40" s="1940"/>
      <c r="E40" s="163">
        <f t="shared" si="4"/>
        <v>0</v>
      </c>
      <c r="F40" s="167">
        <f>SUMIF(修正!A59:A70,G2,修正!E59:E70)</f>
        <v>0.2</v>
      </c>
      <c r="G40" s="163">
        <f>ROUND(IF(E2="工业",C40*$M$42,C40*$M$41),0)</f>
        <v>26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1.0132000000000001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t="s">
        <v>3521</v>
      </c>
      <c r="D83" s="1002">
        <f t="shared" ref="D83:D90" si="22">SUMIF($J$82:$N$82,C83,J83:N83)</f>
        <v>6.4999999999999997E-3</v>
      </c>
      <c r="E83" s="702">
        <f>ROUND(SUM(D83:D90),4)</f>
        <v>1.32E-2</v>
      </c>
      <c r="F83" s="1675">
        <f>IF(E2="工业",SUMIF(L1:L12,G2,N1:N12),"——")</f>
        <v>0.05</v>
      </c>
      <c r="G83" s="1000">
        <v>6.4999999999999997E-3</v>
      </c>
      <c r="H83" s="1003">
        <f t="shared" ref="H83:H90" si="23">IFERROR(ROUNDDOWN($F$83*I83/2,4),"——")</f>
        <v>6.4999999999999997E-3</v>
      </c>
      <c r="I83" s="3067">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t="s">
        <v>3522</v>
      </c>
      <c r="D84" s="1002">
        <f t="shared" si="22"/>
        <v>0</v>
      </c>
      <c r="E84" s="705"/>
      <c r="F84" s="1675"/>
      <c r="G84" s="1000">
        <v>7.4999999999999997E-3</v>
      </c>
      <c r="H84" s="1003">
        <f t="shared" si="23"/>
        <v>7.4999999999999997E-3</v>
      </c>
      <c r="I84" s="3067">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9">
      <c r="A85" s="3069" t="s">
        <v>3268</v>
      </c>
      <c r="B85" s="1262">
        <f>估价对象房地状况!G17</f>
        <v>0</v>
      </c>
      <c r="C85" s="1887" t="s">
        <v>3521</v>
      </c>
      <c r="D85" s="1002">
        <f t="shared" si="22"/>
        <v>2.5000000000000001E-3</v>
      </c>
      <c r="E85" s="705"/>
      <c r="F85" s="1675"/>
      <c r="G85" s="1000">
        <v>2.5000000000000001E-3</v>
      </c>
      <c r="H85" s="1003">
        <f t="shared" si="23"/>
        <v>2.5000000000000001E-3</v>
      </c>
      <c r="I85" s="3067">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
      <c r="A86" s="1970" t="s">
        <v>2067</v>
      </c>
      <c r="B86" s="1262">
        <f>估价对象房地状况!G22</f>
        <v>0</v>
      </c>
      <c r="C86" s="1887" t="s">
        <v>3522</v>
      </c>
      <c r="D86" s="1002">
        <f t="shared" si="22"/>
        <v>0</v>
      </c>
      <c r="E86" s="705"/>
      <c r="F86" s="1675"/>
      <c r="G86" s="1000">
        <v>1.1999999999999999E-3</v>
      </c>
      <c r="H86" s="1003">
        <f t="shared" si="23"/>
        <v>1.1999999999999999E-3</v>
      </c>
      <c r="I86" s="3067">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6">
      <c r="A87" s="1970" t="s">
        <v>2059</v>
      </c>
      <c r="B87" s="1240" t="str">
        <f>估价对象房地状况!G19</f>
        <v>估价对象所在区域公共配套设施齐备情况</v>
      </c>
      <c r="C87" s="1887" t="s">
        <v>3521</v>
      </c>
      <c r="D87" s="1002">
        <f t="shared" si="22"/>
        <v>1.5E-3</v>
      </c>
      <c r="E87" s="705"/>
      <c r="F87" s="1675"/>
      <c r="G87" s="1000">
        <v>1.5E-3</v>
      </c>
      <c r="H87" s="1003">
        <f t="shared" si="23"/>
        <v>1.5E-3</v>
      </c>
      <c r="I87" s="3067">
        <v>0.06</v>
      </c>
      <c r="J87" s="1001">
        <f t="shared" si="24"/>
        <v>3.0000000000000001E-3</v>
      </c>
      <c r="K87" s="1001">
        <f t="shared" si="25"/>
        <v>1.5E-3</v>
      </c>
      <c r="L87" s="1001">
        <v>0</v>
      </c>
      <c r="M87" s="1001">
        <f t="shared" si="26"/>
        <v>-1.5E-3</v>
      </c>
      <c r="N87" s="1001">
        <f t="shared" si="26"/>
        <v>-3.0000000000000001E-3</v>
      </c>
    </row>
    <row r="88" spans="1:37" ht="26">
      <c r="A88" s="1970" t="s">
        <v>2060</v>
      </c>
      <c r="B88" s="1240" t="str">
        <f>估价对象房地状况!G20</f>
        <v>估价对象所在区域基础设施水平</v>
      </c>
      <c r="C88" s="1887" t="s">
        <v>3522</v>
      </c>
      <c r="D88" s="1002">
        <f t="shared" si="22"/>
        <v>0</v>
      </c>
      <c r="E88" s="705"/>
      <c r="F88" s="1675"/>
      <c r="G88" s="1000">
        <v>3.0000000000000001E-3</v>
      </c>
      <c r="H88" s="1003">
        <f t="shared" si="23"/>
        <v>3.0000000000000001E-3</v>
      </c>
      <c r="I88" s="3067">
        <v>0.12</v>
      </c>
      <c r="J88" s="1001">
        <f t="shared" si="24"/>
        <v>6.0000000000000001E-3</v>
      </c>
      <c r="K88" s="1001">
        <f t="shared" si="25"/>
        <v>3.0000000000000001E-3</v>
      </c>
      <c r="L88" s="1001">
        <v>0</v>
      </c>
      <c r="M88" s="1001">
        <f t="shared" si="26"/>
        <v>-3.0000000000000001E-3</v>
      </c>
      <c r="N88" s="1001">
        <f t="shared" si="26"/>
        <v>-6.0000000000000001E-3</v>
      </c>
    </row>
    <row r="89" spans="1:37" ht="26">
      <c r="A89" s="1970" t="s">
        <v>2057</v>
      </c>
      <c r="B89" s="1975" t="s">
        <v>2071</v>
      </c>
      <c r="C89" s="1887" t="s">
        <v>3521</v>
      </c>
      <c r="D89" s="1002">
        <f t="shared" si="22"/>
        <v>1.5E-3</v>
      </c>
      <c r="E89" s="705"/>
      <c r="F89" s="1675"/>
      <c r="G89" s="1000">
        <v>1.5E-3</v>
      </c>
      <c r="H89" s="1003">
        <f t="shared" si="23"/>
        <v>1.5E-3</v>
      </c>
      <c r="I89" s="3067">
        <v>0.06</v>
      </c>
      <c r="J89" s="1001">
        <f t="shared" si="24"/>
        <v>3.0000000000000001E-3</v>
      </c>
      <c r="K89" s="1001">
        <f t="shared" si="25"/>
        <v>1.5E-3</v>
      </c>
      <c r="L89" s="1001">
        <v>0</v>
      </c>
      <c r="M89" s="1001">
        <f t="shared" si="26"/>
        <v>-1.5E-3</v>
      </c>
      <c r="N89" s="1001">
        <f t="shared" si="26"/>
        <v>-3.0000000000000001E-3</v>
      </c>
    </row>
    <row r="90" spans="1:37" ht="38" thickBot="1">
      <c r="A90" s="1977" t="s">
        <v>2072</v>
      </c>
      <c r="B90" s="1982" t="str">
        <f>估价对象房地状况!G18</f>
        <v>该园区内是否有污染型企业，绿化情况，卫生条件，整体环境状况判断</v>
      </c>
      <c r="C90" s="1887" t="s">
        <v>3521</v>
      </c>
      <c r="D90" s="1002">
        <f t="shared" si="22"/>
        <v>1.1999999999999999E-3</v>
      </c>
      <c r="E90" s="706"/>
      <c r="F90" s="1675"/>
      <c r="G90" s="1000">
        <v>1.1999999999999999E-3</v>
      </c>
      <c r="H90" s="1003">
        <f t="shared" si="23"/>
        <v>1.1999999999999999E-3</v>
      </c>
      <c r="I90" s="3068">
        <v>0.05</v>
      </c>
      <c r="J90" s="1001">
        <f t="shared" si="24"/>
        <v>2.3999999999999998E-3</v>
      </c>
      <c r="K90" s="1001">
        <f t="shared" si="25"/>
        <v>1.1999999999999999E-3</v>
      </c>
      <c r="L90" s="1001">
        <v>0</v>
      </c>
      <c r="M90" s="1001">
        <f t="shared" si="26"/>
        <v>-1.1999999999999999E-3</v>
      </c>
      <c r="N90" s="1001">
        <f t="shared" si="26"/>
        <v>-2.3999999999999998E-3</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67" t="s">
        <v>3292</v>
      </c>
      <c r="B103" s="3467"/>
      <c r="C103" s="3467"/>
      <c r="D103" s="3467"/>
      <c r="E103" s="3467"/>
      <c r="F103" s="3467"/>
      <c r="G103" s="3467"/>
      <c r="H103" s="3467"/>
      <c r="I103" s="3467"/>
      <c r="J103" s="3467"/>
      <c r="K103" s="1667"/>
      <c r="L103" s="1667"/>
      <c r="M103" s="1667"/>
      <c r="N103" s="1667"/>
    </row>
    <row r="104" spans="1:14" ht="13">
      <c r="A104" s="3468" t="s">
        <v>3293</v>
      </c>
      <c r="B104" s="3468" t="s">
        <v>3294</v>
      </c>
      <c r="C104" s="3089" t="s">
        <v>3295</v>
      </c>
      <c r="D104" s="3090"/>
      <c r="E104" s="3090"/>
      <c r="F104" s="3090"/>
      <c r="G104" s="3090"/>
      <c r="H104" s="3090"/>
      <c r="I104" s="3090"/>
      <c r="J104" s="3091"/>
      <c r="K104" s="3092"/>
      <c r="L104" s="3092"/>
      <c r="M104" s="3092"/>
      <c r="N104" s="3092"/>
    </row>
    <row r="105" spans="1:14" ht="13">
      <c r="A105" s="3468"/>
      <c r="B105" s="3468"/>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54"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55"/>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6"/>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57" t="s">
        <v>3309</v>
      </c>
      <c r="B113" s="3457"/>
      <c r="C113" s="3457"/>
      <c r="D113" s="3457"/>
      <c r="E113" s="3457"/>
      <c r="F113" s="3457"/>
      <c r="G113" s="3457"/>
      <c r="H113" s="3457"/>
      <c r="I113" s="3457"/>
      <c r="J113" s="3457"/>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1</v>
      </c>
      <c r="C116" s="3098" t="s">
        <v>3311</v>
      </c>
      <c r="D116" s="3099">
        <f>SUMPRODUCT((A118:A122=F116)*(B117:M117=H116)*B118:M122)</f>
        <v>0.57150000000000001</v>
      </c>
      <c r="E116" s="162" t="s">
        <v>3312</v>
      </c>
      <c r="F116" s="3100" t="str">
        <f>E2</f>
        <v>工业</v>
      </c>
      <c r="G116" s="162" t="s">
        <v>3313</v>
      </c>
      <c r="H116" s="3100" t="str">
        <f>G2</f>
        <v>九级</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0.98580000000000001</v>
      </c>
      <c r="C118" s="3088">
        <f>B118</f>
        <v>0.98580000000000001</v>
      </c>
      <c r="D118" s="3088">
        <f>ROUND(0.949-0.014*B116,4)</f>
        <v>0.93500000000000005</v>
      </c>
      <c r="E118" s="3088">
        <f>D118</f>
        <v>0.93500000000000005</v>
      </c>
      <c r="F118" s="3088">
        <f>E118</f>
        <v>0.93500000000000005</v>
      </c>
      <c r="G118" s="3088">
        <f>F118</f>
        <v>0.93500000000000005</v>
      </c>
      <c r="H118" s="3088">
        <f>G118</f>
        <v>0.93500000000000005</v>
      </c>
      <c r="I118" s="3088">
        <f>ROUND(0.8486-0.018*B116,4)</f>
        <v>0.8306</v>
      </c>
      <c r="J118" s="3088">
        <f t="shared" ref="J118:M122" si="35">I118</f>
        <v>0.8306</v>
      </c>
      <c r="K118" s="3088">
        <f t="shared" si="35"/>
        <v>0.8306</v>
      </c>
      <c r="L118" s="3088">
        <f t="shared" si="35"/>
        <v>0.8306</v>
      </c>
      <c r="M118" s="3108">
        <f t="shared" si="35"/>
        <v>0.8306</v>
      </c>
      <c r="N118" s="3096"/>
    </row>
    <row r="119" spans="1:14" ht="13">
      <c r="A119" s="3056" t="s">
        <v>3327</v>
      </c>
      <c r="B119" s="3088">
        <f>ROUND(0.993-0.0112*B116,4)</f>
        <v>0.98180000000000001</v>
      </c>
      <c r="C119" s="3088">
        <f>B119</f>
        <v>0.98180000000000001</v>
      </c>
      <c r="D119" s="3088">
        <f>ROUND(0.9415-0.0142*B116,4)</f>
        <v>0.92730000000000001</v>
      </c>
      <c r="E119" s="3088">
        <f t="shared" ref="E119:H120" si="36">D119</f>
        <v>0.92730000000000001</v>
      </c>
      <c r="F119" s="3088">
        <f t="shared" si="36"/>
        <v>0.92730000000000001</v>
      </c>
      <c r="G119" s="3088">
        <f t="shared" si="36"/>
        <v>0.92730000000000001</v>
      </c>
      <c r="H119" s="3088">
        <f t="shared" si="36"/>
        <v>0.92730000000000001</v>
      </c>
      <c r="I119" s="3088">
        <f>ROUND(0.838-0.0182*B116,4)</f>
        <v>0.81979999999999997</v>
      </c>
      <c r="J119" s="3088">
        <f t="shared" si="35"/>
        <v>0.81979999999999997</v>
      </c>
      <c r="K119" s="3088">
        <f t="shared" si="35"/>
        <v>0.81979999999999997</v>
      </c>
      <c r="L119" s="3088">
        <f t="shared" si="35"/>
        <v>0.81979999999999997</v>
      </c>
      <c r="M119" s="3108">
        <f t="shared" si="35"/>
        <v>0.81979999999999997</v>
      </c>
      <c r="N119" s="3096"/>
    </row>
    <row r="120" spans="1:14" ht="13">
      <c r="A120" s="3056" t="s">
        <v>3328</v>
      </c>
      <c r="B120" s="3088">
        <f>ROUND(0.9448-0.0115*B116,4)</f>
        <v>0.93330000000000002</v>
      </c>
      <c r="C120" s="3088">
        <f>B120</f>
        <v>0.93330000000000002</v>
      </c>
      <c r="D120" s="3088">
        <f>ROUND(0.937-0.0145*B116,4)</f>
        <v>0.92249999999999999</v>
      </c>
      <c r="E120" s="3088">
        <f t="shared" si="36"/>
        <v>0.92249999999999999</v>
      </c>
      <c r="F120" s="3088">
        <f t="shared" si="36"/>
        <v>0.92249999999999999</v>
      </c>
      <c r="G120" s="3088">
        <f t="shared" si="36"/>
        <v>0.92249999999999999</v>
      </c>
      <c r="H120" s="3088">
        <f t="shared" si="36"/>
        <v>0.92249999999999999</v>
      </c>
      <c r="I120" s="3088">
        <f>ROUND(0.7965-0.0185*B116,4)</f>
        <v>0.77800000000000002</v>
      </c>
      <c r="J120" s="3088">
        <f t="shared" si="35"/>
        <v>0.77800000000000002</v>
      </c>
      <c r="K120" s="3088">
        <f t="shared" si="35"/>
        <v>0.77800000000000002</v>
      </c>
      <c r="L120" s="3088">
        <f t="shared" si="35"/>
        <v>0.77800000000000002</v>
      </c>
      <c r="M120" s="3108">
        <f t="shared" si="35"/>
        <v>0.77800000000000002</v>
      </c>
      <c r="N120" s="3096"/>
    </row>
    <row r="121" spans="1:14" ht="13.5" thickBot="1">
      <c r="A121" s="3109" t="s">
        <v>3329</v>
      </c>
      <c r="B121" s="3110">
        <f>ROUND(0.7836-0.012*B116,4)</f>
        <v>0.77159999999999995</v>
      </c>
      <c r="C121" s="3110">
        <f>B121</f>
        <v>0.77159999999999995</v>
      </c>
      <c r="D121" s="3110">
        <f>ROUND(0.753-0.015*B116,4)</f>
        <v>0.73799999999999999</v>
      </c>
      <c r="E121" s="3110">
        <f>D121</f>
        <v>0.73799999999999999</v>
      </c>
      <c r="F121" s="3110">
        <f>E121</f>
        <v>0.73799999999999999</v>
      </c>
      <c r="G121" s="3110">
        <f>ROUND(0.6612-0.018*B116,4)</f>
        <v>0.64319999999999999</v>
      </c>
      <c r="H121" s="3110">
        <f>G121</f>
        <v>0.64319999999999999</v>
      </c>
      <c r="I121" s="3110">
        <f>ROUND(0.5905-0.019*B116,4)</f>
        <v>0.57150000000000001</v>
      </c>
      <c r="J121" s="3110">
        <f t="shared" si="35"/>
        <v>0.57150000000000001</v>
      </c>
      <c r="K121" s="3110">
        <f t="shared" si="35"/>
        <v>0.57150000000000001</v>
      </c>
      <c r="L121" s="3110">
        <f t="shared" si="35"/>
        <v>0.57150000000000001</v>
      </c>
      <c r="M121" s="3111">
        <f t="shared" si="35"/>
        <v>0.57150000000000001</v>
      </c>
      <c r="N121" s="3096"/>
    </row>
    <row r="122" spans="1:14" ht="13">
      <c r="A122" s="3112" t="s">
        <v>2612</v>
      </c>
      <c r="B122" s="3088">
        <f>ROUND(0.9404-0.0106*B116,4)</f>
        <v>0.92979999999999996</v>
      </c>
      <c r="C122" s="3088">
        <f>B122</f>
        <v>0.92979999999999996</v>
      </c>
      <c r="D122" s="3088">
        <f>ROUND(0.8955-0.0135*B116,4)</f>
        <v>0.88200000000000001</v>
      </c>
      <c r="E122" s="3088">
        <f t="shared" ref="E122:H122" si="37">D122</f>
        <v>0.88200000000000001</v>
      </c>
      <c r="F122" s="3088">
        <f t="shared" si="37"/>
        <v>0.88200000000000001</v>
      </c>
      <c r="G122" s="3088">
        <f t="shared" si="37"/>
        <v>0.88200000000000001</v>
      </c>
      <c r="H122" s="3088">
        <f t="shared" si="37"/>
        <v>0.88200000000000001</v>
      </c>
      <c r="I122" s="3088">
        <f>ROUND(0.7632-0.0166*B116,4)</f>
        <v>0.74660000000000004</v>
      </c>
      <c r="J122" s="3088">
        <f t="shared" si="35"/>
        <v>0.74660000000000004</v>
      </c>
      <c r="K122" s="3088">
        <f t="shared" si="35"/>
        <v>0.74660000000000004</v>
      </c>
      <c r="L122" s="3088">
        <f t="shared" si="35"/>
        <v>0.74660000000000004</v>
      </c>
      <c r="M122" s="3108">
        <f t="shared" si="35"/>
        <v>0.74660000000000004</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4" t="s">
        <v>2607</v>
      </c>
      <c r="B20" s="3477" t="s">
        <v>2628</v>
      </c>
      <c r="C20" s="3167" t="s">
        <v>2439</v>
      </c>
      <c r="D20" s="3167"/>
      <c r="E20" s="2843">
        <v>1</v>
      </c>
      <c r="F20" s="2844" t="s">
        <v>2440</v>
      </c>
      <c r="G20" s="2844"/>
    </row>
    <row r="21" spans="1:13" ht="19.5" customHeight="1">
      <c r="A21" s="3485"/>
      <c r="B21" s="3473"/>
      <c r="C21" s="2856" t="s">
        <v>2441</v>
      </c>
      <c r="D21" s="2856"/>
      <c r="E21" s="2847">
        <v>1</v>
      </c>
      <c r="F21" s="2844" t="s">
        <v>2442</v>
      </c>
      <c r="G21" s="2844"/>
    </row>
    <row r="22" spans="1:13" ht="19.5" customHeight="1">
      <c r="A22" s="3485"/>
      <c r="B22" s="3473"/>
      <c r="C22" s="2856" t="s">
        <v>2443</v>
      </c>
      <c r="D22" s="2856"/>
      <c r="E22" s="2847">
        <v>0.9</v>
      </c>
      <c r="F22" s="2844" t="s">
        <v>2444</v>
      </c>
      <c r="G22" s="2844"/>
    </row>
    <row r="23" spans="1:13" ht="19.5" customHeight="1">
      <c r="A23" s="3485"/>
      <c r="B23" s="3473"/>
      <c r="C23" s="2856" t="s">
        <v>2445</v>
      </c>
      <c r="D23" s="2856"/>
      <c r="E23" s="2847">
        <v>0.9</v>
      </c>
      <c r="F23" s="2844" t="s">
        <v>2446</v>
      </c>
      <c r="G23" s="2844"/>
    </row>
    <row r="24" spans="1:13" ht="19.5" customHeight="1">
      <c r="A24" s="3485"/>
      <c r="B24" s="3473"/>
      <c r="C24" s="2856" t="s">
        <v>2447</v>
      </c>
      <c r="D24" s="2856"/>
      <c r="E24" s="2847">
        <v>0.8</v>
      </c>
      <c r="F24" s="2844" t="s">
        <v>2448</v>
      </c>
      <c r="G24" s="2844"/>
    </row>
    <row r="25" spans="1:13" ht="19.5" customHeight="1">
      <c r="A25" s="3485"/>
      <c r="B25" s="3473"/>
      <c r="C25" s="2856" t="s">
        <v>2449</v>
      </c>
      <c r="D25" s="2856"/>
      <c r="E25" s="2847">
        <v>0.8</v>
      </c>
      <c r="F25" s="2844"/>
      <c r="G25" s="2844"/>
    </row>
    <row r="26" spans="1:13" ht="19.5" customHeight="1">
      <c r="A26" s="3485"/>
      <c r="B26" s="3473"/>
      <c r="C26" s="2856" t="s">
        <v>3407</v>
      </c>
      <c r="D26" s="2856"/>
      <c r="E26" s="2847">
        <v>0.43</v>
      </c>
      <c r="F26" s="2844"/>
      <c r="G26" s="2844"/>
    </row>
    <row r="27" spans="1:13" ht="19.5" customHeight="1" thickBot="1">
      <c r="A27" s="3486"/>
      <c r="B27" s="3478"/>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79" t="s">
        <v>2631</v>
      </c>
      <c r="B29" s="3482" t="s">
        <v>2612</v>
      </c>
      <c r="C29" s="2841" t="s">
        <v>2452</v>
      </c>
      <c r="D29" s="2842"/>
      <c r="E29" s="2843">
        <v>1</v>
      </c>
      <c r="F29" s="2844" t="s">
        <v>2453</v>
      </c>
      <c r="G29" s="2844"/>
    </row>
    <row r="30" spans="1:13" ht="19.5" customHeight="1">
      <c r="A30" s="3480"/>
      <c r="B30" s="3476"/>
      <c r="C30" s="2845" t="s">
        <v>2454</v>
      </c>
      <c r="D30" s="2846"/>
      <c r="E30" s="2847">
        <v>1</v>
      </c>
      <c r="F30" s="2844" t="s">
        <v>2455</v>
      </c>
      <c r="G30" s="2844"/>
    </row>
    <row r="31" spans="1:13" ht="19.5" customHeight="1">
      <c r="A31" s="3480"/>
      <c r="B31" s="3476"/>
      <c r="C31" s="2845" t="s">
        <v>2456</v>
      </c>
      <c r="D31" s="2846"/>
      <c r="E31" s="2847">
        <v>0.8</v>
      </c>
      <c r="F31" s="2844" t="s">
        <v>2457</v>
      </c>
      <c r="G31" s="2844"/>
    </row>
    <row r="32" spans="1:13" ht="19.5" customHeight="1">
      <c r="A32" s="3480"/>
      <c r="B32" s="3476"/>
      <c r="C32" s="2845" t="s">
        <v>2458</v>
      </c>
      <c r="D32" s="2846"/>
      <c r="E32" s="2847">
        <v>0.8</v>
      </c>
      <c r="F32" s="2844" t="s">
        <v>2459</v>
      </c>
      <c r="G32" s="2844"/>
    </row>
    <row r="33" spans="1:7" ht="19.5" customHeight="1">
      <c r="A33" s="3480"/>
      <c r="B33" s="3476"/>
      <c r="C33" s="2845" t="s">
        <v>2460</v>
      </c>
      <c r="D33" s="2846"/>
      <c r="E33" s="2847">
        <v>0.8</v>
      </c>
      <c r="F33" s="2844" t="s">
        <v>2461</v>
      </c>
      <c r="G33" s="2844"/>
    </row>
    <row r="34" spans="1:7" ht="19.5" customHeight="1">
      <c r="A34" s="3480"/>
      <c r="B34" s="3476"/>
      <c r="C34" s="2845" t="s">
        <v>2462</v>
      </c>
      <c r="D34" s="2846"/>
      <c r="E34" s="2847">
        <v>0.7</v>
      </c>
      <c r="F34" s="2844" t="s">
        <v>2463</v>
      </c>
      <c r="G34" s="2844"/>
    </row>
    <row r="35" spans="1:7" ht="19.5" customHeight="1">
      <c r="A35" s="3480"/>
      <c r="B35" s="3476"/>
      <c r="C35" s="2845" t="s">
        <v>2464</v>
      </c>
      <c r="D35" s="2846"/>
      <c r="E35" s="2847">
        <v>0.8</v>
      </c>
      <c r="F35" s="2844" t="s">
        <v>2465</v>
      </c>
      <c r="G35" s="2844"/>
    </row>
    <row r="36" spans="1:7" ht="19.5" customHeight="1">
      <c r="A36" s="3480"/>
      <c r="B36" s="3476"/>
      <c r="C36" s="2845" t="s">
        <v>2466</v>
      </c>
      <c r="D36" s="2846"/>
      <c r="E36" s="2847">
        <v>0.6</v>
      </c>
      <c r="F36" s="2844" t="s">
        <v>2467</v>
      </c>
      <c r="G36" s="2844"/>
    </row>
    <row r="37" spans="1:7" ht="19.5" customHeight="1">
      <c r="A37" s="3480"/>
      <c r="B37" s="3476"/>
      <c r="C37" s="2845" t="s">
        <v>2468</v>
      </c>
      <c r="D37" s="2846"/>
      <c r="E37" s="2847">
        <v>0.2</v>
      </c>
      <c r="F37" s="2844" t="s">
        <v>2469</v>
      </c>
      <c r="G37" s="2844"/>
    </row>
    <row r="38" spans="1:7" ht="19.5" customHeight="1">
      <c r="A38" s="3480"/>
      <c r="B38" s="3476"/>
      <c r="C38" s="2845" t="s">
        <v>2470</v>
      </c>
      <c r="D38" s="2846"/>
      <c r="E38" s="2847">
        <v>0.2</v>
      </c>
      <c r="F38" s="2844" t="s">
        <v>2471</v>
      </c>
      <c r="G38" s="2844"/>
    </row>
    <row r="39" spans="1:7" ht="19.5" customHeight="1">
      <c r="A39" s="3480"/>
      <c r="B39" s="3474" t="s">
        <v>2632</v>
      </c>
      <c r="C39" s="2845" t="s">
        <v>2472</v>
      </c>
      <c r="D39" s="2846"/>
      <c r="E39" s="2847">
        <v>0.6</v>
      </c>
      <c r="F39" s="2844" t="s">
        <v>2473</v>
      </c>
      <c r="G39" s="2844"/>
    </row>
    <row r="40" spans="1:7" ht="19.5" customHeight="1">
      <c r="A40" s="3480"/>
      <c r="B40" s="3476"/>
      <c r="C40" s="2845" t="s">
        <v>2474</v>
      </c>
      <c r="D40" s="2846"/>
      <c r="E40" s="2847">
        <v>0.6</v>
      </c>
      <c r="F40" s="2844" t="s">
        <v>2475</v>
      </c>
      <c r="G40" s="2844"/>
    </row>
    <row r="41" spans="1:7" ht="19.5" customHeight="1" thickBot="1">
      <c r="A41" s="3481"/>
      <c r="B41" s="3483"/>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84" t="s">
        <v>2610</v>
      </c>
      <c r="B43" s="3482" t="s">
        <v>2634</v>
      </c>
      <c r="C43" s="2841" t="s">
        <v>2479</v>
      </c>
      <c r="D43" s="2842"/>
      <c r="E43" s="2843">
        <v>1</v>
      </c>
      <c r="F43" s="2844" t="s">
        <v>2480</v>
      </c>
      <c r="G43" s="2844"/>
    </row>
    <row r="44" spans="1:7" ht="19.5" customHeight="1">
      <c r="A44" s="3485"/>
      <c r="B44" s="3476"/>
      <c r="C44" s="2845" t="s">
        <v>2481</v>
      </c>
      <c r="D44" s="2846"/>
      <c r="E44" s="2847">
        <v>1</v>
      </c>
      <c r="F44" s="2844" t="s">
        <v>2482</v>
      </c>
      <c r="G44" s="2844"/>
    </row>
    <row r="45" spans="1:7" ht="19.5" customHeight="1">
      <c r="A45" s="3485"/>
      <c r="B45" s="3475"/>
      <c r="C45" s="2845" t="s">
        <v>2483</v>
      </c>
      <c r="D45" s="2846"/>
      <c r="E45" s="2847">
        <v>1.5</v>
      </c>
      <c r="F45" s="2844" t="s">
        <v>2484</v>
      </c>
      <c r="G45" s="2844"/>
    </row>
    <row r="46" spans="1:7" ht="19.5" customHeight="1">
      <c r="A46" s="3485"/>
      <c r="B46" s="2856" t="s">
        <v>2635</v>
      </c>
      <c r="C46" s="2845" t="s">
        <v>2636</v>
      </c>
      <c r="D46" s="2846"/>
      <c r="E46" s="2847">
        <v>2</v>
      </c>
      <c r="F46" s="2844" t="s">
        <v>2485</v>
      </c>
      <c r="G46" s="2844"/>
    </row>
    <row r="47" spans="1:7" ht="19.5" customHeight="1">
      <c r="A47" s="3485"/>
      <c r="B47" s="3474" t="s">
        <v>2637</v>
      </c>
      <c r="C47" s="2845" t="s">
        <v>2486</v>
      </c>
      <c r="D47" s="2846"/>
      <c r="E47" s="2847">
        <v>1</v>
      </c>
      <c r="F47" s="2844" t="s">
        <v>2487</v>
      </c>
      <c r="G47" s="2844"/>
    </row>
    <row r="48" spans="1:7" ht="19.5" customHeight="1">
      <c r="A48" s="3485"/>
      <c r="B48" s="3476"/>
      <c r="C48" s="2845" t="s">
        <v>2488</v>
      </c>
      <c r="D48" s="2846"/>
      <c r="E48" s="2847">
        <v>1</v>
      </c>
      <c r="F48" s="2844" t="s">
        <v>2489</v>
      </c>
      <c r="G48" s="2844"/>
    </row>
    <row r="49" spans="1:7" ht="19.5" customHeight="1">
      <c r="A49" s="3485"/>
      <c r="B49" s="3476"/>
      <c r="C49" s="2845" t="s">
        <v>2490</v>
      </c>
      <c r="D49" s="2846"/>
      <c r="E49" s="2847">
        <v>1</v>
      </c>
      <c r="F49" s="2844" t="s">
        <v>2491</v>
      </c>
      <c r="G49" s="2844"/>
    </row>
    <row r="50" spans="1:7" ht="19.5" customHeight="1">
      <c r="A50" s="3485"/>
      <c r="B50" s="3476"/>
      <c r="C50" s="2845" t="s">
        <v>2492</v>
      </c>
      <c r="D50" s="2846"/>
      <c r="E50" s="2847">
        <v>1</v>
      </c>
      <c r="F50" s="2844" t="s">
        <v>2493</v>
      </c>
      <c r="G50" s="2844"/>
    </row>
    <row r="51" spans="1:7" ht="19.5" customHeight="1">
      <c r="A51" s="3485"/>
      <c r="B51" s="3476"/>
      <c r="C51" s="2845" t="s">
        <v>2494</v>
      </c>
      <c r="D51" s="2846"/>
      <c r="E51" s="2847">
        <v>1</v>
      </c>
      <c r="F51" s="2844" t="s">
        <v>2495</v>
      </c>
      <c r="G51" s="2844"/>
    </row>
    <row r="52" spans="1:7" ht="19.5" customHeight="1">
      <c r="A52" s="3485"/>
      <c r="B52" s="3476"/>
      <c r="C52" s="2845" t="s">
        <v>2496</v>
      </c>
      <c r="D52" s="2846"/>
      <c r="E52" s="2847">
        <v>1</v>
      </c>
      <c r="F52" s="2844" t="s">
        <v>2497</v>
      </c>
      <c r="G52" s="2844"/>
    </row>
    <row r="53" spans="1:7" ht="19.5" customHeight="1" thickBot="1">
      <c r="A53" s="3486"/>
      <c r="B53" s="3483"/>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74" t="s">
        <v>2651</v>
      </c>
      <c r="C75" s="2830" t="s">
        <v>2652</v>
      </c>
      <c r="D75" s="2830" t="s">
        <v>2653</v>
      </c>
      <c r="E75" s="2856">
        <v>0.2</v>
      </c>
      <c r="F75" s="2856">
        <v>25</v>
      </c>
    </row>
    <row r="76" spans="1:7" ht="26">
      <c r="A76" s="2856">
        <v>2</v>
      </c>
      <c r="B76" s="3476"/>
      <c r="C76" s="2830" t="s">
        <v>2654</v>
      </c>
      <c r="D76" s="2830" t="s">
        <v>2655</v>
      </c>
      <c r="E76" s="2856">
        <v>0.2</v>
      </c>
      <c r="F76" s="2856">
        <v>25</v>
      </c>
    </row>
    <row r="77" spans="1:7" ht="26">
      <c r="A77" s="2856">
        <v>3</v>
      </c>
      <c r="B77" s="3476"/>
      <c r="C77" s="2830" t="s">
        <v>2656</v>
      </c>
      <c r="D77" s="2830" t="s">
        <v>2657</v>
      </c>
      <c r="E77" s="2856">
        <v>0.2</v>
      </c>
      <c r="F77" s="2856">
        <v>25</v>
      </c>
    </row>
    <row r="78" spans="1:7" ht="14">
      <c r="A78" s="2856">
        <v>4</v>
      </c>
      <c r="B78" s="3476"/>
      <c r="C78" s="2830" t="s">
        <v>2658</v>
      </c>
      <c r="D78" s="2830" t="s">
        <v>2659</v>
      </c>
      <c r="E78" s="2856">
        <v>0.15</v>
      </c>
      <c r="F78" s="2856">
        <v>20</v>
      </c>
    </row>
    <row r="79" spans="1:7" ht="26">
      <c r="A79" s="2856">
        <v>5</v>
      </c>
      <c r="B79" s="3476"/>
      <c r="C79" s="2830" t="s">
        <v>2660</v>
      </c>
      <c r="D79" s="2830" t="s">
        <v>2661</v>
      </c>
      <c r="E79" s="2856">
        <v>0.15</v>
      </c>
      <c r="F79" s="2856">
        <v>20</v>
      </c>
    </row>
    <row r="80" spans="1:7" ht="26">
      <c r="A80" s="2856">
        <v>6</v>
      </c>
      <c r="B80" s="3476"/>
      <c r="C80" s="2830" t="s">
        <v>2662</v>
      </c>
      <c r="D80" s="2830" t="s">
        <v>2663</v>
      </c>
      <c r="E80" s="2856">
        <v>0.15</v>
      </c>
      <c r="F80" s="2856">
        <v>20</v>
      </c>
    </row>
    <row r="81" spans="1:6" ht="26">
      <c r="A81" s="2856">
        <v>7</v>
      </c>
      <c r="B81" s="3476"/>
      <c r="C81" s="2830" t="s">
        <v>2664</v>
      </c>
      <c r="D81" s="2830" t="s">
        <v>2665</v>
      </c>
      <c r="E81" s="2856">
        <v>0.15</v>
      </c>
      <c r="F81" s="2856">
        <v>20</v>
      </c>
    </row>
    <row r="82" spans="1:6" ht="26">
      <c r="A82" s="2856">
        <v>8</v>
      </c>
      <c r="B82" s="3476"/>
      <c r="C82" s="2830" t="s">
        <v>2666</v>
      </c>
      <c r="D82" s="2830" t="s">
        <v>2667</v>
      </c>
      <c r="E82" s="2856">
        <v>0.1</v>
      </c>
      <c r="F82" s="2856">
        <v>15</v>
      </c>
    </row>
    <row r="83" spans="1:6" ht="26">
      <c r="A83" s="2856">
        <v>9</v>
      </c>
      <c r="B83" s="3476"/>
      <c r="C83" s="2830" t="s">
        <v>2668</v>
      </c>
      <c r="D83" s="2830" t="s">
        <v>2669</v>
      </c>
      <c r="E83" s="2856">
        <v>0.1</v>
      </c>
      <c r="F83" s="2856">
        <v>15</v>
      </c>
    </row>
    <row r="84" spans="1:6" ht="26">
      <c r="A84" s="2856">
        <v>10</v>
      </c>
      <c r="B84" s="3476"/>
      <c r="C84" s="2830" t="s">
        <v>2670</v>
      </c>
      <c r="D84" s="2830" t="s">
        <v>2671</v>
      </c>
      <c r="E84" s="2856">
        <v>0.1</v>
      </c>
      <c r="F84" s="2856">
        <v>15</v>
      </c>
    </row>
    <row r="85" spans="1:6" ht="26">
      <c r="A85" s="2856">
        <v>11</v>
      </c>
      <c r="B85" s="3476"/>
      <c r="C85" s="2830" t="s">
        <v>2672</v>
      </c>
      <c r="D85" s="2830" t="s">
        <v>2673</v>
      </c>
      <c r="E85" s="2856">
        <v>0.1</v>
      </c>
      <c r="F85" s="2856">
        <v>15</v>
      </c>
    </row>
    <row r="86" spans="1:6" ht="26">
      <c r="A86" s="2856">
        <v>12</v>
      </c>
      <c r="B86" s="3476"/>
      <c r="C86" s="2830" t="s">
        <v>2674</v>
      </c>
      <c r="D86" s="2830" t="s">
        <v>2675</v>
      </c>
      <c r="E86" s="2856">
        <v>0.1</v>
      </c>
      <c r="F86" s="2856">
        <v>15</v>
      </c>
    </row>
    <row r="87" spans="1:6" ht="14">
      <c r="A87" s="2856">
        <v>13</v>
      </c>
      <c r="B87" s="3476"/>
      <c r="C87" s="2830" t="s">
        <v>2676</v>
      </c>
      <c r="D87" s="2830" t="s">
        <v>2677</v>
      </c>
      <c r="E87" s="2856">
        <v>0.1</v>
      </c>
      <c r="F87" s="2856">
        <v>15</v>
      </c>
    </row>
    <row r="88" spans="1:6" ht="14">
      <c r="A88" s="2856">
        <v>14</v>
      </c>
      <c r="B88" s="3476"/>
      <c r="C88" s="2830" t="s">
        <v>2678</v>
      </c>
      <c r="D88" s="2830" t="s">
        <v>2679</v>
      </c>
      <c r="E88" s="2856">
        <v>0.1</v>
      </c>
      <c r="F88" s="2856">
        <v>15</v>
      </c>
    </row>
    <row r="89" spans="1:6" ht="14">
      <c r="A89" s="2856">
        <v>15</v>
      </c>
      <c r="B89" s="3476"/>
      <c r="C89" s="2830" t="s">
        <v>2680</v>
      </c>
      <c r="D89" s="2830" t="s">
        <v>2681</v>
      </c>
      <c r="E89" s="2856">
        <v>0.1</v>
      </c>
      <c r="F89" s="2856">
        <v>15</v>
      </c>
    </row>
    <row r="90" spans="1:6" ht="26">
      <c r="A90" s="2856">
        <v>16</v>
      </c>
      <c r="B90" s="3476"/>
      <c r="C90" s="2830" t="s">
        <v>2682</v>
      </c>
      <c r="D90" s="2830" t="s">
        <v>2683</v>
      </c>
      <c r="E90" s="2856">
        <v>0.1</v>
      </c>
      <c r="F90" s="2856">
        <v>15</v>
      </c>
    </row>
    <row r="91" spans="1:6" ht="26">
      <c r="A91" s="2856">
        <v>17</v>
      </c>
      <c r="B91" s="3475"/>
      <c r="C91" s="2830" t="s">
        <v>2684</v>
      </c>
      <c r="D91" s="2830" t="s">
        <v>2685</v>
      </c>
      <c r="E91" s="2856">
        <v>0.1</v>
      </c>
      <c r="F91" s="2856">
        <v>15</v>
      </c>
    </row>
    <row r="92" spans="1:6" ht="14">
      <c r="A92" s="2856">
        <v>18</v>
      </c>
      <c r="B92" s="3474" t="s">
        <v>2686</v>
      </c>
      <c r="C92" s="2830" t="s">
        <v>2687</v>
      </c>
      <c r="D92" s="2830" t="s">
        <v>2688</v>
      </c>
      <c r="E92" s="2856">
        <v>0.2</v>
      </c>
      <c r="F92" s="2856">
        <v>25</v>
      </c>
    </row>
    <row r="93" spans="1:6" ht="26">
      <c r="A93" s="2856">
        <v>19</v>
      </c>
      <c r="B93" s="3476"/>
      <c r="C93" s="2830" t="s">
        <v>2689</v>
      </c>
      <c r="D93" s="2830" t="s">
        <v>2690</v>
      </c>
      <c r="E93" s="2856">
        <v>0.2</v>
      </c>
      <c r="F93" s="2856">
        <v>25</v>
      </c>
    </row>
    <row r="94" spans="1:6" ht="14">
      <c r="A94" s="2856">
        <v>20</v>
      </c>
      <c r="B94" s="3476"/>
      <c r="C94" s="2830" t="s">
        <v>2691</v>
      </c>
      <c r="D94" s="2830" t="s">
        <v>2692</v>
      </c>
      <c r="E94" s="2856">
        <v>0.15</v>
      </c>
      <c r="F94" s="2856">
        <v>20</v>
      </c>
    </row>
    <row r="95" spans="1:6" ht="26">
      <c r="A95" s="2856">
        <v>21</v>
      </c>
      <c r="B95" s="3476"/>
      <c r="C95" s="2830" t="s">
        <v>2693</v>
      </c>
      <c r="D95" s="2830" t="s">
        <v>2694</v>
      </c>
      <c r="E95" s="2856">
        <v>0.15</v>
      </c>
      <c r="F95" s="2856">
        <v>20</v>
      </c>
    </row>
    <row r="96" spans="1:6" ht="26">
      <c r="A96" s="2856">
        <v>22</v>
      </c>
      <c r="B96" s="3476"/>
      <c r="C96" s="2830" t="s">
        <v>2695</v>
      </c>
      <c r="D96" s="2830" t="s">
        <v>2696</v>
      </c>
      <c r="E96" s="2856">
        <v>0.15</v>
      </c>
      <c r="F96" s="2856">
        <v>20</v>
      </c>
    </row>
    <row r="97" spans="1:6" ht="39">
      <c r="A97" s="2856">
        <v>23</v>
      </c>
      <c r="B97" s="3476"/>
      <c r="C97" s="2830" t="s">
        <v>2697</v>
      </c>
      <c r="D97" s="2830" t="s">
        <v>2698</v>
      </c>
      <c r="E97" s="2856">
        <v>0.15</v>
      </c>
      <c r="F97" s="2856">
        <v>20</v>
      </c>
    </row>
    <row r="98" spans="1:6" ht="14">
      <c r="A98" s="2856">
        <v>24</v>
      </c>
      <c r="B98" s="3476"/>
      <c r="C98" s="2830" t="s">
        <v>2699</v>
      </c>
      <c r="D98" s="2830" t="s">
        <v>2700</v>
      </c>
      <c r="E98" s="2856">
        <v>0.1</v>
      </c>
      <c r="F98" s="2856">
        <v>15</v>
      </c>
    </row>
    <row r="99" spans="1:6" ht="26">
      <c r="A99" s="2856">
        <v>25</v>
      </c>
      <c r="B99" s="3476"/>
      <c r="C99" s="2830" t="s">
        <v>2701</v>
      </c>
      <c r="D99" s="2830" t="s">
        <v>2702</v>
      </c>
      <c r="E99" s="2856">
        <v>0.1</v>
      </c>
      <c r="F99" s="2856">
        <v>15</v>
      </c>
    </row>
    <row r="100" spans="1:6" ht="26">
      <c r="A100" s="2856">
        <v>26</v>
      </c>
      <c r="B100" s="3476"/>
      <c r="C100" s="2830" t="s">
        <v>2703</v>
      </c>
      <c r="D100" s="2830" t="s">
        <v>2704</v>
      </c>
      <c r="E100" s="2856">
        <v>0.1</v>
      </c>
      <c r="F100" s="2856">
        <v>15</v>
      </c>
    </row>
    <row r="101" spans="1:6" ht="26">
      <c r="A101" s="2856">
        <v>27</v>
      </c>
      <c r="B101" s="3476"/>
      <c r="C101" s="2830" t="s">
        <v>2705</v>
      </c>
      <c r="D101" s="2830" t="s">
        <v>2706</v>
      </c>
      <c r="E101" s="2856">
        <v>0.1</v>
      </c>
      <c r="F101" s="2856">
        <v>15</v>
      </c>
    </row>
    <row r="102" spans="1:6" ht="26">
      <c r="A102" s="2856">
        <v>28</v>
      </c>
      <c r="B102" s="3476"/>
      <c r="C102" s="2830" t="s">
        <v>2707</v>
      </c>
      <c r="D102" s="2830" t="s">
        <v>2708</v>
      </c>
      <c r="E102" s="2856">
        <v>0.1</v>
      </c>
      <c r="F102" s="2856">
        <v>15</v>
      </c>
    </row>
    <row r="103" spans="1:6" ht="26">
      <c r="A103" s="2856">
        <v>29</v>
      </c>
      <c r="B103" s="3476"/>
      <c r="C103" s="2830" t="s">
        <v>2709</v>
      </c>
      <c r="D103" s="2830" t="s">
        <v>2710</v>
      </c>
      <c r="E103" s="2856">
        <v>0.1</v>
      </c>
      <c r="F103" s="2856">
        <v>15</v>
      </c>
    </row>
    <row r="104" spans="1:6" ht="26">
      <c r="A104" s="2856">
        <v>30</v>
      </c>
      <c r="B104" s="3476"/>
      <c r="C104" s="2830" t="s">
        <v>2711</v>
      </c>
      <c r="D104" s="2830" t="s">
        <v>2712</v>
      </c>
      <c r="E104" s="2856">
        <v>0.1</v>
      </c>
      <c r="F104" s="2856">
        <v>15</v>
      </c>
    </row>
    <row r="105" spans="1:6" ht="26">
      <c r="A105" s="2856">
        <v>31</v>
      </c>
      <c r="B105" s="3476"/>
      <c r="C105" s="2830" t="s">
        <v>2713</v>
      </c>
      <c r="D105" s="2830" t="s">
        <v>2714</v>
      </c>
      <c r="E105" s="2856">
        <v>0.1</v>
      </c>
      <c r="F105" s="2856">
        <v>15</v>
      </c>
    </row>
    <row r="106" spans="1:6" ht="26">
      <c r="A106" s="2856">
        <v>32</v>
      </c>
      <c r="B106" s="3476"/>
      <c r="C106" s="2830" t="s">
        <v>2715</v>
      </c>
      <c r="D106" s="2830" t="s">
        <v>2716</v>
      </c>
      <c r="E106" s="2856">
        <v>0.1</v>
      </c>
      <c r="F106" s="2856">
        <v>15</v>
      </c>
    </row>
    <row r="107" spans="1:6" ht="26">
      <c r="A107" s="2856">
        <v>33</v>
      </c>
      <c r="B107" s="3476"/>
      <c r="C107" s="2830" t="s">
        <v>2717</v>
      </c>
      <c r="D107" s="2830" t="s">
        <v>2718</v>
      </c>
      <c r="E107" s="2856">
        <v>0.1</v>
      </c>
      <c r="F107" s="2856">
        <v>15</v>
      </c>
    </row>
    <row r="108" spans="1:6" ht="26">
      <c r="A108" s="2856">
        <v>34</v>
      </c>
      <c r="B108" s="3475"/>
      <c r="C108" s="2830" t="s">
        <v>2719</v>
      </c>
      <c r="D108" s="2830" t="s">
        <v>2720</v>
      </c>
      <c r="E108" s="2856">
        <v>0.1</v>
      </c>
      <c r="F108" s="2856">
        <v>15</v>
      </c>
    </row>
    <row r="109" spans="1:6" ht="26">
      <c r="A109" s="2856">
        <v>35</v>
      </c>
      <c r="B109" s="3474" t="s">
        <v>2721</v>
      </c>
      <c r="C109" s="2856" t="s">
        <v>2722</v>
      </c>
      <c r="D109" s="2830" t="s">
        <v>2723</v>
      </c>
      <c r="E109" s="2856">
        <v>0.15</v>
      </c>
      <c r="F109" s="2856">
        <v>20</v>
      </c>
    </row>
    <row r="110" spans="1:6" ht="26">
      <c r="A110" s="2856">
        <v>36</v>
      </c>
      <c r="B110" s="3476"/>
      <c r="C110" s="2856" t="s">
        <v>2724</v>
      </c>
      <c r="D110" s="2830" t="s">
        <v>2725</v>
      </c>
      <c r="E110" s="2856">
        <v>0.15</v>
      </c>
      <c r="F110" s="2856">
        <v>20</v>
      </c>
    </row>
    <row r="111" spans="1:6" ht="26">
      <c r="A111" s="2856">
        <v>37</v>
      </c>
      <c r="B111" s="3476"/>
      <c r="C111" s="2856" t="s">
        <v>2726</v>
      </c>
      <c r="D111" s="2830" t="s">
        <v>2727</v>
      </c>
      <c r="E111" s="2856">
        <v>0.15</v>
      </c>
      <c r="F111" s="2856">
        <v>20</v>
      </c>
    </row>
    <row r="112" spans="1:6" ht="14">
      <c r="A112" s="2856">
        <v>38</v>
      </c>
      <c r="B112" s="3476"/>
      <c r="C112" s="2856" t="s">
        <v>2728</v>
      </c>
      <c r="D112" s="2830" t="s">
        <v>2729</v>
      </c>
      <c r="E112" s="2856">
        <v>0.1</v>
      </c>
      <c r="F112" s="2856">
        <v>15</v>
      </c>
    </row>
    <row r="113" spans="1:6" ht="26">
      <c r="A113" s="2856">
        <v>39</v>
      </c>
      <c r="B113" s="3476"/>
      <c r="C113" s="2856" t="s">
        <v>2730</v>
      </c>
      <c r="D113" s="2830" t="s">
        <v>2731</v>
      </c>
      <c r="E113" s="2856">
        <v>0.1</v>
      </c>
      <c r="F113" s="2856">
        <v>15</v>
      </c>
    </row>
    <row r="114" spans="1:6" ht="26">
      <c r="A114" s="2856">
        <v>40</v>
      </c>
      <c r="B114" s="3475"/>
      <c r="C114" s="2856" t="s">
        <v>2732</v>
      </c>
      <c r="D114" s="2830" t="s">
        <v>2733</v>
      </c>
      <c r="E114" s="2856">
        <v>0.1</v>
      </c>
      <c r="F114" s="2856">
        <v>15</v>
      </c>
    </row>
    <row r="115" spans="1:6" ht="26">
      <c r="A115" s="2856">
        <v>41</v>
      </c>
      <c r="B115" s="3473" t="s">
        <v>2734</v>
      </c>
      <c r="C115" s="2856" t="s">
        <v>2735</v>
      </c>
      <c r="D115" s="2830" t="s">
        <v>2736</v>
      </c>
      <c r="E115" s="2856">
        <v>0.1</v>
      </c>
      <c r="F115" s="2856">
        <v>15</v>
      </c>
    </row>
    <row r="116" spans="1:6" ht="14">
      <c r="A116" s="2856">
        <v>42</v>
      </c>
      <c r="B116" s="3473"/>
      <c r="C116" s="2856" t="s">
        <v>2737</v>
      </c>
      <c r="D116" s="2830" t="s">
        <v>2738</v>
      </c>
      <c r="E116" s="2856">
        <v>0.1</v>
      </c>
      <c r="F116" s="2856">
        <v>15</v>
      </c>
    </row>
    <row r="117" spans="1:6" ht="26">
      <c r="A117" s="2856">
        <v>43</v>
      </c>
      <c r="B117" s="3473"/>
      <c r="C117" s="2856" t="s">
        <v>2739</v>
      </c>
      <c r="D117" s="2830" t="s">
        <v>2740</v>
      </c>
      <c r="E117" s="2856">
        <v>0.1</v>
      </c>
      <c r="F117" s="2856">
        <v>15</v>
      </c>
    </row>
    <row r="118" spans="1:6" ht="26">
      <c r="A118" s="2856">
        <v>44</v>
      </c>
      <c r="B118" s="3474" t="s">
        <v>2741</v>
      </c>
      <c r="C118" s="2856" t="s">
        <v>2742</v>
      </c>
      <c r="D118" s="2830" t="s">
        <v>2743</v>
      </c>
      <c r="E118" s="2856">
        <v>0.1</v>
      </c>
      <c r="F118" s="2856">
        <v>15</v>
      </c>
    </row>
    <row r="119" spans="1:6" ht="26">
      <c r="A119" s="2856">
        <v>45</v>
      </c>
      <c r="B119" s="3475"/>
      <c r="C119" s="2830" t="s">
        <v>2744</v>
      </c>
      <c r="D119" s="2830" t="s">
        <v>2745</v>
      </c>
      <c r="E119" s="2856">
        <v>0.1</v>
      </c>
      <c r="F119" s="2856">
        <v>15</v>
      </c>
    </row>
    <row r="120" spans="1:6" ht="26">
      <c r="A120" s="2856">
        <v>46</v>
      </c>
      <c r="B120" s="3474" t="s">
        <v>2746</v>
      </c>
      <c r="C120" s="2856" t="s">
        <v>2747</v>
      </c>
      <c r="D120" s="2830" t="s">
        <v>2748</v>
      </c>
      <c r="E120" s="2856">
        <v>0.1</v>
      </c>
      <c r="F120" s="2856">
        <v>15</v>
      </c>
    </row>
    <row r="121" spans="1:6" ht="26">
      <c r="A121" s="2856">
        <v>47</v>
      </c>
      <c r="B121" s="3475"/>
      <c r="C121" s="2856" t="s">
        <v>2749</v>
      </c>
      <c r="D121" s="2830" t="s">
        <v>2750</v>
      </c>
      <c r="E121" s="2856">
        <v>0.1</v>
      </c>
      <c r="F121" s="2856">
        <v>15</v>
      </c>
    </row>
    <row r="122" spans="1:6" ht="26">
      <c r="A122" s="2856">
        <v>48</v>
      </c>
      <c r="B122" s="3474" t="s">
        <v>2751</v>
      </c>
      <c r="C122" s="2856" t="s">
        <v>2752</v>
      </c>
      <c r="D122" s="2830" t="s">
        <v>2753</v>
      </c>
      <c r="E122" s="2856">
        <v>0.1</v>
      </c>
      <c r="F122" s="2856">
        <v>15</v>
      </c>
    </row>
    <row r="123" spans="1:6" ht="14">
      <c r="A123" s="2856">
        <v>49</v>
      </c>
      <c r="B123" s="3475"/>
      <c r="C123" s="2856" t="s">
        <v>2754</v>
      </c>
      <c r="D123" s="2830" t="s">
        <v>2755</v>
      </c>
      <c r="E123" s="2856">
        <v>0.1</v>
      </c>
      <c r="F123" s="2856">
        <v>15</v>
      </c>
    </row>
    <row r="124" spans="1:6" ht="26">
      <c r="A124" s="2856">
        <v>50</v>
      </c>
      <c r="B124" s="3473" t="s">
        <v>2756</v>
      </c>
      <c r="C124" s="2856" t="s">
        <v>2757</v>
      </c>
      <c r="D124" s="2830" t="s">
        <v>2758</v>
      </c>
      <c r="E124" s="2856">
        <v>0.1</v>
      </c>
      <c r="F124" s="2856">
        <v>15</v>
      </c>
    </row>
    <row r="125" spans="1:6" ht="26">
      <c r="A125" s="2856">
        <v>51</v>
      </c>
      <c r="B125" s="3473"/>
      <c r="C125" s="2856" t="s">
        <v>2759</v>
      </c>
      <c r="D125" s="2830" t="s">
        <v>2760</v>
      </c>
      <c r="E125" s="2856">
        <v>0.1</v>
      </c>
      <c r="F125" s="2856">
        <v>15</v>
      </c>
    </row>
    <row r="126" spans="1:6" ht="26">
      <c r="A126" s="2856">
        <v>52</v>
      </c>
      <c r="B126" s="3473" t="s">
        <v>2761</v>
      </c>
      <c r="C126" s="2856" t="s">
        <v>2762</v>
      </c>
      <c r="D126" s="2830" t="s">
        <v>2763</v>
      </c>
      <c r="E126" s="2856">
        <v>0.1</v>
      </c>
      <c r="F126" s="2856">
        <v>15</v>
      </c>
    </row>
    <row r="127" spans="1:6" ht="26">
      <c r="A127" s="2856">
        <v>53</v>
      </c>
      <c r="B127" s="3473"/>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73" t="s">
        <v>2769</v>
      </c>
      <c r="C129" s="2856" t="s">
        <v>2770</v>
      </c>
      <c r="D129" s="2830" t="s">
        <v>2771</v>
      </c>
      <c r="E129" s="2856">
        <v>0.1</v>
      </c>
      <c r="F129" s="2856">
        <v>15</v>
      </c>
    </row>
    <row r="130" spans="1:6" ht="14">
      <c r="A130" s="2856">
        <v>56</v>
      </c>
      <c r="B130" s="3473"/>
      <c r="C130" s="2856" t="s">
        <v>2772</v>
      </c>
      <c r="D130" s="2830" t="s">
        <v>2773</v>
      </c>
      <c r="E130" s="2856">
        <v>0.1</v>
      </c>
      <c r="F130" s="2856">
        <v>15</v>
      </c>
    </row>
    <row r="131" spans="1:6" ht="26">
      <c r="A131" s="2856">
        <v>57</v>
      </c>
      <c r="B131" s="3473"/>
      <c r="C131" s="2856" t="s">
        <v>2774</v>
      </c>
      <c r="D131" s="2830" t="s">
        <v>2775</v>
      </c>
      <c r="E131" s="2856">
        <v>0.1</v>
      </c>
      <c r="F131" s="2856">
        <v>15</v>
      </c>
    </row>
    <row r="132" spans="1:6" ht="26">
      <c r="A132" s="2856">
        <v>58</v>
      </c>
      <c r="B132" s="3473" t="s">
        <v>2776</v>
      </c>
      <c r="C132" s="2856" t="s">
        <v>2777</v>
      </c>
      <c r="D132" s="2830" t="s">
        <v>2778</v>
      </c>
      <c r="E132" s="2856">
        <v>0.1</v>
      </c>
      <c r="F132" s="2856">
        <v>15</v>
      </c>
    </row>
    <row r="133" spans="1:6" ht="26">
      <c r="A133" s="2856">
        <v>59</v>
      </c>
      <c r="B133" s="3473"/>
      <c r="C133" s="2856" t="s">
        <v>2779</v>
      </c>
      <c r="D133" s="2830" t="s">
        <v>2780</v>
      </c>
      <c r="E133" s="2856">
        <v>0.1</v>
      </c>
      <c r="F133" s="2856">
        <v>15</v>
      </c>
    </row>
    <row r="134" spans="1:6" ht="26">
      <c r="A134" s="2856">
        <v>60</v>
      </c>
      <c r="B134" s="3474" t="s">
        <v>2781</v>
      </c>
      <c r="C134" s="2856" t="s">
        <v>2782</v>
      </c>
      <c r="D134" s="2830" t="s">
        <v>2783</v>
      </c>
      <c r="E134" s="2856">
        <v>0.1</v>
      </c>
      <c r="F134" s="2856">
        <v>15</v>
      </c>
    </row>
    <row r="135" spans="1:6" ht="26">
      <c r="A135" s="2856">
        <v>61</v>
      </c>
      <c r="B135" s="3475"/>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73" t="s">
        <v>2789</v>
      </c>
      <c r="C137" s="2856" t="s">
        <v>2790</v>
      </c>
      <c r="D137" s="2830" t="s">
        <v>2791</v>
      </c>
      <c r="E137" s="2856">
        <v>0.1</v>
      </c>
      <c r="F137" s="2856">
        <v>15</v>
      </c>
    </row>
    <row r="138" spans="1:6" ht="14">
      <c r="A138" s="2856">
        <v>64</v>
      </c>
      <c r="B138" s="3473"/>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C36" sqref="C36:C3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3</v>
      </c>
      <c r="D1" s="1271" t="s">
        <v>43</v>
      </c>
      <c r="E1" s="1272" t="s">
        <v>678</v>
      </c>
      <c r="F1" s="999">
        <f ca="1">J53</f>
        <v>26.86</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6239</v>
      </c>
      <c r="C2" s="1289" t="s">
        <v>805</v>
      </c>
      <c r="D2" s="1289"/>
      <c r="E2" s="1295"/>
      <c r="F2" s="1296"/>
      <c r="G2" s="2477"/>
      <c r="H2" s="2467"/>
      <c r="I2" s="2467"/>
      <c r="J2" s="2467"/>
      <c r="K2" s="2468"/>
      <c r="L2" s="2467"/>
      <c r="M2" s="2467"/>
    </row>
    <row r="3" spans="1:37" ht="18" customHeight="1" thickBot="1">
      <c r="A3" s="1297" t="s">
        <v>806</v>
      </c>
      <c r="B3" s="1298">
        <f ca="1">IF(ISERROR(B2*10000/F43),0,ROUND(B2*10000/F43,0))</f>
        <v>3793</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477</v>
      </c>
      <c r="D5" s="1273" t="s">
        <v>693</v>
      </c>
      <c r="E5" s="1008"/>
      <c r="F5" s="1009"/>
      <c r="G5" s="1292"/>
      <c r="H5" s="291">
        <v>1</v>
      </c>
      <c r="I5" s="292" t="s">
        <v>692</v>
      </c>
      <c r="J5" s="1007">
        <f ca="1">J6+J10+J12</f>
        <v>0</v>
      </c>
      <c r="K5" s="1273" t="s">
        <v>693</v>
      </c>
      <c r="L5" s="1008"/>
      <c r="M5" s="1009"/>
    </row>
    <row r="6" spans="1:37" ht="18" customHeight="1">
      <c r="A6" s="1006" t="s">
        <v>398</v>
      </c>
      <c r="B6" s="3355" t="s">
        <v>694</v>
      </c>
      <c r="C6" s="1011">
        <f ca="1">ROUND(F6*F8*F7*(1-F9)/10000,0)</f>
        <v>476</v>
      </c>
      <c r="D6" s="147" t="s">
        <v>2109</v>
      </c>
      <c r="E6" s="294" t="s">
        <v>696</v>
      </c>
      <c r="F6" s="295">
        <f ca="1">INDIRECT("'数据-取费表'!u"&amp;$G$1)</f>
        <v>0.88</v>
      </c>
      <c r="G6" s="1292"/>
      <c r="H6" s="1006" t="s">
        <v>398</v>
      </c>
      <c r="I6" s="3355" t="s">
        <v>694</v>
      </c>
      <c r="J6" s="293">
        <f ca="1">ROUND(M6*M8*M7*(1-M9)/10000,0)</f>
        <v>0</v>
      </c>
      <c r="K6" s="147" t="s">
        <v>2108</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16450.849999999999</v>
      </c>
      <c r="G7" s="1292"/>
      <c r="H7" s="296"/>
      <c r="I7" s="3356"/>
      <c r="J7" s="298"/>
      <c r="K7" s="299"/>
      <c r="L7" s="294" t="s">
        <v>697</v>
      </c>
      <c r="M7" s="295">
        <f ca="1">F7</f>
        <v>16450.849999999999</v>
      </c>
    </row>
    <row r="8" spans="1:37" ht="18" customHeight="1">
      <c r="A8" s="296"/>
      <c r="B8" s="3356"/>
      <c r="C8" s="298"/>
      <c r="D8" s="299"/>
      <c r="E8" s="294" t="s">
        <v>698</v>
      </c>
      <c r="F8" s="295">
        <f ca="1">INDIRECT("'数据-取费表'!ai"&amp;$G$1)</f>
        <v>365</v>
      </c>
      <c r="G8" s="1292"/>
      <c r="H8" s="296"/>
      <c r="I8" s="3356"/>
      <c r="J8" s="298"/>
      <c r="K8" s="299"/>
      <c r="L8" s="294" t="s">
        <v>698</v>
      </c>
      <c r="M8" s="295">
        <f ca="1">INDIRECT("'数据-取费表'!ai"&amp;$G$1)</f>
        <v>365</v>
      </c>
    </row>
    <row r="9" spans="1:37" ht="18" customHeight="1">
      <c r="A9" s="296"/>
      <c r="B9" s="3357"/>
      <c r="C9" s="298"/>
      <c r="D9" s="299"/>
      <c r="E9" s="294" t="s">
        <v>699</v>
      </c>
      <c r="F9" s="304">
        <f ca="1">INDIRECT("'数据-取费表'!w"&amp;$G$1)</f>
        <v>0.1</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3518</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3421</v>
      </c>
      <c r="D13" s="1018" t="s">
        <v>705</v>
      </c>
      <c r="E13" s="1018" t="s">
        <v>706</v>
      </c>
      <c r="F13" s="1019">
        <f ca="1">INDIRECT("'数据-取费表'!y"&amp;$G$1)</f>
        <v>0.66</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3820</v>
      </c>
      <c r="D14" s="1257" t="s">
        <v>708</v>
      </c>
      <c r="E14" s="1255"/>
      <c r="F14" s="311"/>
      <c r="G14" s="1292"/>
      <c r="H14" s="928" t="s">
        <v>398</v>
      </c>
      <c r="I14" s="294" t="s">
        <v>709</v>
      </c>
      <c r="J14" s="21">
        <f ca="1">C29</f>
        <v>5183</v>
      </c>
      <c r="K14" s="12"/>
      <c r="L14" s="759"/>
      <c r="M14" s="760"/>
    </row>
    <row r="15" spans="1:37" s="1304" customFormat="1" ht="18" customHeight="1" thickBot="1">
      <c r="A15" s="928" t="s">
        <v>399</v>
      </c>
      <c r="B15" s="294" t="s">
        <v>710</v>
      </c>
      <c r="C15" s="21">
        <f ca="1">ROUND(C14*F15,0)</f>
        <v>191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40</v>
      </c>
      <c r="K16" s="1024" t="s">
        <v>715</v>
      </c>
      <c r="L16" s="1025"/>
      <c r="M16" s="1009"/>
    </row>
    <row r="17" spans="1:37" s="1304" customFormat="1" ht="18" customHeight="1">
      <c r="A17" s="928" t="s">
        <v>681</v>
      </c>
      <c r="B17" s="294" t="s">
        <v>716</v>
      </c>
      <c r="C17" s="21">
        <f ca="1">ROUND(F17*(F43+INDIRECT("'数据-取费表'!S"&amp;$G$1))/10000,0)</f>
        <v>329</v>
      </c>
      <c r="D17" s="294" t="s">
        <v>717</v>
      </c>
      <c r="E17" s="294" t="s">
        <v>718</v>
      </c>
      <c r="F17" s="23">
        <f>'数据-取费表'!B35</f>
        <v>200</v>
      </c>
      <c r="G17" s="1303"/>
      <c r="H17" s="928" t="s">
        <v>398</v>
      </c>
      <c r="I17" s="294" t="s">
        <v>719</v>
      </c>
      <c r="J17" s="2140">
        <f ca="1">ROUND(IF(AND(项目基本情况!B11="自然人",项目基本情况!B10="北京市"),J6*M17/(1+'数据-取费表'!C42),J18+J19+J20),2)</f>
        <v>4.08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76</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4416</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88</v>
      </c>
      <c r="D20" s="315" t="s">
        <v>729</v>
      </c>
      <c r="E20" s="294" t="s">
        <v>712</v>
      </c>
      <c r="F20" s="314">
        <f>'数据-取费表'!B37</f>
        <v>0.02</v>
      </c>
      <c r="G20" s="1303"/>
      <c r="H20" s="928" t="s">
        <v>680</v>
      </c>
      <c r="I20" s="147" t="s">
        <v>730</v>
      </c>
      <c r="J20" s="22">
        <f ca="1">ROUND(M20*M21/10000,2)</f>
        <v>4.08</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27183.86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36.28</v>
      </c>
      <c r="K22" s="1256" t="s">
        <v>739</v>
      </c>
      <c r="L22" s="294" t="s">
        <v>712</v>
      </c>
      <c r="M22" s="320">
        <f ca="1">INDIRECT("'数据-取费表'!Ak"&amp;$G$1)</f>
        <v>7.0000000000000001E-3</v>
      </c>
    </row>
    <row r="23" spans="1:37" s="1304" customFormat="1" ht="18" customHeight="1">
      <c r="A23" s="928" t="s">
        <v>397</v>
      </c>
      <c r="B23" s="294" t="s">
        <v>740</v>
      </c>
      <c r="C23" s="21">
        <f ca="1">IF('数据-取费表'!B22&lt;=1,ROUND(C19*F24*F23/2,0)+ROUND(C20*F24*F23/2,0),ROUND(C19*(POWER((1+F24),F23/2)-1),0)+ROUND(C20*(POWER((1+F24),F23/2)-1),0))</f>
        <v>67</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-40</v>
      </c>
      <c r="K25" s="1032" t="s">
        <v>753</v>
      </c>
      <c r="L25" s="1033"/>
      <c r="M25" s="1034"/>
    </row>
    <row r="26" spans="1:37" ht="13">
      <c r="A26" s="928" t="s">
        <v>397</v>
      </c>
      <c r="B26" s="294" t="s">
        <v>754</v>
      </c>
      <c r="C26" s="21">
        <f ca="1">ROUND((C19+C20)*F26,0)</f>
        <v>225</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5183</v>
      </c>
      <c r="D29" s="1029"/>
      <c r="E29" s="1027"/>
      <c r="F29" s="1030"/>
      <c r="G29" s="1303"/>
      <c r="H29" s="325" t="s">
        <v>396</v>
      </c>
      <c r="I29" s="326" t="s">
        <v>768</v>
      </c>
      <c r="J29" s="327">
        <f ca="1">ROUND(J26/(1+F40)^F41,0)</f>
        <v>0</v>
      </c>
      <c r="K29" s="328" t="s">
        <v>769</v>
      </c>
      <c r="L29" s="329"/>
      <c r="M29" s="330">
        <f ca="1">INDIRECT("'数据-取费表'!k"&amp;$G$1)</f>
        <v>16450.849999999999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128</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83.87</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25.39</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54.4</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4.08</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27183.86</v>
      </c>
      <c r="G35" s="1292"/>
      <c r="H35" s="2469"/>
      <c r="I35" s="1305"/>
      <c r="J35" s="1306"/>
      <c r="K35" s="2473"/>
      <c r="L35" s="2472"/>
      <c r="M35" s="2472"/>
    </row>
    <row r="36" spans="1:18" ht="18" customHeight="1">
      <c r="A36" s="1039" t="s">
        <v>402</v>
      </c>
      <c r="B36" s="294" t="s">
        <v>738</v>
      </c>
      <c r="C36" s="21">
        <f ca="1">ROUND(C29*F36,2)</f>
        <v>36.28</v>
      </c>
      <c r="D36" s="1256" t="s">
        <v>771</v>
      </c>
      <c r="E36" s="294" t="s">
        <v>712</v>
      </c>
      <c r="F36" s="320">
        <f ca="1">INDIRECT("'数据-取费表'!Ak"&amp;$G$1)</f>
        <v>7.0000000000000001E-3</v>
      </c>
      <c r="G36" s="1292"/>
      <c r="H36" s="2472"/>
      <c r="I36" s="1305"/>
      <c r="J36" s="1306"/>
      <c r="K36" s="2330"/>
      <c r="L36" s="2472"/>
      <c r="M36" s="2472"/>
    </row>
    <row r="37" spans="1:18" ht="18" customHeight="1">
      <c r="A37" s="928" t="s">
        <v>437</v>
      </c>
      <c r="B37" s="294" t="s">
        <v>742</v>
      </c>
      <c r="C37" s="21">
        <f ca="1">ROUND(C13*F37,2)</f>
        <v>3.42</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ROUND(C5*F38,2)</f>
        <v>4.7699999999999996</v>
      </c>
      <c r="D38" s="1029" t="s">
        <v>748</v>
      </c>
      <c r="E38" s="1027" t="s">
        <v>744</v>
      </c>
      <c r="F38" s="1023">
        <f ca="1">INDIRECT("'数据-取费表'!Am"&amp;$G$1)</f>
        <v>0.01</v>
      </c>
      <c r="G38" s="1292"/>
      <c r="H38" s="2472"/>
      <c r="I38" s="1305"/>
      <c r="J38" s="1306"/>
      <c r="K38" s="2470"/>
      <c r="L38" s="2472"/>
      <c r="M38" s="2472"/>
    </row>
    <row r="39" spans="1:18" ht="24.65" customHeight="1" thickTop="1">
      <c r="A39" s="1016" t="s">
        <v>394</v>
      </c>
      <c r="B39" s="1031" t="s">
        <v>772</v>
      </c>
      <c r="C39" s="302">
        <f ca="1">C5-C30</f>
        <v>349</v>
      </c>
      <c r="D39" s="1032" t="s">
        <v>773</v>
      </c>
      <c r="E39" s="1033"/>
      <c r="F39" s="1034"/>
      <c r="G39" s="1292"/>
      <c r="H39" s="2472"/>
      <c r="I39" s="1305"/>
      <c r="J39" s="1306"/>
      <c r="K39" s="2470"/>
      <c r="L39" s="2472"/>
      <c r="M39" s="2472"/>
    </row>
    <row r="40" spans="1:18" ht="18" customHeight="1">
      <c r="A40" s="291" t="s">
        <v>395</v>
      </c>
      <c r="B40" s="292" t="s">
        <v>774</v>
      </c>
      <c r="C40" s="293">
        <f ca="1">ROUND(C39*(1-((1+F42)/(1+F40))^F41)/(F40-F42),0)</f>
        <v>5942</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26.86</v>
      </c>
      <c r="G41" s="1292"/>
      <c r="H41" s="121">
        <f ca="1">C39/C5</f>
        <v>0.73165618448637315</v>
      </c>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3612</v>
      </c>
      <c r="D43" s="328" t="s">
        <v>777</v>
      </c>
      <c r="E43" s="329" t="s">
        <v>778</v>
      </c>
      <c r="F43" s="330">
        <f ca="1">INDIRECT("'数据-取费表'!k"&amp;$G$1)</f>
        <v>16450.849999999999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f ca="1">C68-C40</f>
        <v>-6552</v>
      </c>
      <c r="D46" s="1313" t="str">
        <f>C2</f>
        <v>万元</v>
      </c>
      <c r="E46" s="1307"/>
      <c r="F46" s="1307"/>
      <c r="I46" s="1314" t="s">
        <v>810</v>
      </c>
      <c r="J46" s="1315"/>
      <c r="K46" s="1316"/>
      <c r="L46" s="1317">
        <f ca="1">IF(M47="住宅",0,IF(L48&gt;J51,L60,J60))</f>
        <v>297</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3440</v>
      </c>
      <c r="K47" s="1323" t="s">
        <v>816</v>
      </c>
      <c r="L47" s="1324">
        <f ca="1">INDIRECT("'数据-取费表'!d"&amp;$G$1)</f>
        <v>50</v>
      </c>
      <c r="M47" s="1288" t="str">
        <f>IF(ISNUMBER(FIND("住宅",C1)),"住宅","非住宅")</f>
        <v>非住宅</v>
      </c>
      <c r="O47" s="1325" t="s">
        <v>403</v>
      </c>
      <c r="P47" s="1326" t="s">
        <v>817</v>
      </c>
      <c r="Q47" s="1327">
        <f ca="1">C40+J29</f>
        <v>5942</v>
      </c>
      <c r="R47" s="1327" t="s">
        <v>818</v>
      </c>
    </row>
    <row r="48" spans="1:18" s="1292" customFormat="1" ht="43.5" thickBot="1">
      <c r="A48" s="1047" t="s">
        <v>438</v>
      </c>
      <c r="B48" s="292" t="s">
        <v>692</v>
      </c>
      <c r="C48" s="1268">
        <f ca="1">C49+C53+C55</f>
        <v>0</v>
      </c>
      <c r="D48" s="1049"/>
      <c r="E48" s="1050"/>
      <c r="F48" s="908"/>
      <c r="G48" s="681"/>
      <c r="H48" s="682"/>
      <c r="I48" s="1328" t="s">
        <v>819</v>
      </c>
      <c r="J48" s="1329" t="s">
        <v>3519</v>
      </c>
      <c r="K48" s="1330" t="s">
        <v>820</v>
      </c>
      <c r="L48" s="1331">
        <f ca="1">INDIRECT("'数据-取费表'!f"&amp;$G$1)</f>
        <v>26.86</v>
      </c>
      <c r="O48" s="1325" t="s">
        <v>404</v>
      </c>
      <c r="P48" s="1326" t="s">
        <v>821</v>
      </c>
      <c r="Q48" s="1327">
        <f ca="1">J60</f>
        <v>297</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信息!J13</f>
        <v>2003</v>
      </c>
      <c r="K49" s="1330" t="s">
        <v>824</v>
      </c>
      <c r="L49" s="1333"/>
      <c r="O49" s="1334" t="s">
        <v>405</v>
      </c>
      <c r="P49" s="1326" t="s">
        <v>825</v>
      </c>
      <c r="Q49" s="1327">
        <f ca="1">C29</f>
        <v>5183</v>
      </c>
      <c r="R49" s="1327" t="s">
        <v>818</v>
      </c>
    </row>
    <row r="50" spans="1:18" s="1292" customFormat="1" ht="13.5" thickBot="1">
      <c r="A50" s="922"/>
      <c r="B50" s="925"/>
      <c r="C50" s="1055"/>
      <c r="D50" s="899"/>
      <c r="E50" s="993" t="s">
        <v>697</v>
      </c>
      <c r="F50" s="994">
        <f ca="1">F7</f>
        <v>16450.849999999999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38</v>
      </c>
      <c r="K51" s="1339" t="s">
        <v>830</v>
      </c>
      <c r="L51" s="1340">
        <f ca="1">ROUND(-PV(INDIRECT("'数据-取费表'!h"&amp;$G$1),J51,(C39-C13*C76),0),0)</f>
        <v>1848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26.86</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26.86</v>
      </c>
      <c r="K53" s="3353" t="s">
        <v>837</v>
      </c>
      <c r="L53" s="3354"/>
      <c r="O53" s="1325" t="s">
        <v>409</v>
      </c>
      <c r="P53" s="1326" t="s">
        <v>838</v>
      </c>
      <c r="Q53" s="1327">
        <f ca="1">Q47+Q48</f>
        <v>6239</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0.186</v>
      </c>
      <c r="K55" s="1350" t="s">
        <v>841</v>
      </c>
      <c r="L55" s="1351"/>
      <c r="O55" s="1318" t="s">
        <v>811</v>
      </c>
      <c r="P55" s="1319" t="s">
        <v>812</v>
      </c>
      <c r="Q55" s="1320" t="s">
        <v>813</v>
      </c>
      <c r="R55" s="1320" t="s">
        <v>814</v>
      </c>
    </row>
    <row r="56" spans="1:18" s="1292" customFormat="1" ht="40" thickTop="1" thickBot="1">
      <c r="A56" s="903">
        <v>2</v>
      </c>
      <c r="B56" s="904" t="s">
        <v>704</v>
      </c>
      <c r="C56" s="224">
        <f ca="1">C13</f>
        <v>3421</v>
      </c>
      <c r="D56" s="1352"/>
      <c r="E56" s="1353"/>
      <c r="F56" s="1345"/>
      <c r="I56" s="1354" t="s">
        <v>842</v>
      </c>
      <c r="J56" s="1355" t="s">
        <v>3520</v>
      </c>
      <c r="K56" s="1328" t="s">
        <v>843</v>
      </c>
      <c r="L56" s="1331" t="str">
        <f ca="1">IF(L48&lt;J51,"——",L48-J53)</f>
        <v>——</v>
      </c>
      <c r="O56" s="1325" t="s">
        <v>403</v>
      </c>
      <c r="P56" s="1326" t="s">
        <v>817</v>
      </c>
      <c r="Q56" s="1327">
        <f ca="1">C40+J29</f>
        <v>5942</v>
      </c>
      <c r="R56" s="1327" t="s">
        <v>818</v>
      </c>
    </row>
    <row r="57" spans="1:18" s="1292" customFormat="1" ht="26.5" thickBot="1">
      <c r="A57" s="1356"/>
      <c r="B57" s="896" t="s">
        <v>767</v>
      </c>
      <c r="C57" s="230">
        <f ca="1">C29</f>
        <v>5183</v>
      </c>
      <c r="D57" s="1357"/>
      <c r="E57" s="1358"/>
      <c r="F57" s="1359"/>
      <c r="I57" s="1360" t="s">
        <v>844</v>
      </c>
      <c r="J57" s="1361">
        <f ca="1">IF(OR(M47="住宅",J51&lt;L48,J56="是"),"——",J51-L48)</f>
        <v>11.14</v>
      </c>
      <c r="K57" s="1328" t="s">
        <v>845</v>
      </c>
      <c r="L57" s="1331" t="str">
        <f ca="1">IF(L48&lt;J51,"——",IF(L55="比较法",L49,IF(L55="基准地价",L50,L51)))</f>
        <v>——</v>
      </c>
      <c r="O57" s="1325" t="s">
        <v>404</v>
      </c>
      <c r="P57" s="1326" t="s">
        <v>846</v>
      </c>
      <c r="Q57" s="1327">
        <f ca="1">L60</f>
        <v>0</v>
      </c>
      <c r="R57" s="1327" t="s">
        <v>847</v>
      </c>
    </row>
    <row r="58" spans="1:18" s="1292" customFormat="1" ht="26.5" thickBot="1">
      <c r="A58" s="307" t="s">
        <v>393</v>
      </c>
      <c r="B58" s="904" t="s">
        <v>714</v>
      </c>
      <c r="C58" s="308">
        <f ca="1">ROUND(C59+C64+C65+C66,0)</f>
        <v>44</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4</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2073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297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4.08</v>
      </c>
      <c r="D62" s="911" t="s">
        <v>786</v>
      </c>
      <c r="E62" s="896" t="s">
        <v>787</v>
      </c>
      <c r="F62" s="317">
        <f t="shared" si="0"/>
        <v>1.5</v>
      </c>
      <c r="I62" s="1367" t="s">
        <v>858</v>
      </c>
      <c r="J62" s="610" t="s">
        <v>859</v>
      </c>
      <c r="K62" s="610" t="s">
        <v>860</v>
      </c>
      <c r="L62" s="610" t="s">
        <v>861</v>
      </c>
      <c r="M62" s="1368" t="s">
        <v>862</v>
      </c>
      <c r="O62" s="1325" t="s">
        <v>409</v>
      </c>
      <c r="P62" s="1326" t="s">
        <v>863</v>
      </c>
      <c r="Q62" s="1327">
        <f ca="1">Q56+Q57</f>
        <v>5942</v>
      </c>
      <c r="R62" s="1327" t="s">
        <v>410</v>
      </c>
    </row>
    <row r="63" spans="1:18" s="1292" customFormat="1" ht="13.5" thickBot="1">
      <c r="A63" s="318"/>
      <c r="B63" s="902"/>
      <c r="C63" s="26"/>
      <c r="D63" s="912"/>
      <c r="E63" s="896" t="s">
        <v>788</v>
      </c>
      <c r="F63" s="295">
        <f t="shared" ca="1" si="0"/>
        <v>27183.86</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36.28</v>
      </c>
      <c r="D64" s="910" t="s">
        <v>791</v>
      </c>
      <c r="E64" s="896" t="s">
        <v>783</v>
      </c>
      <c r="F64" s="320">
        <f t="shared" ca="1" si="0"/>
        <v>7.0000000000000001E-3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3.42</v>
      </c>
      <c r="D65" s="910" t="s">
        <v>743</v>
      </c>
      <c r="E65" s="896" t="s">
        <v>744</v>
      </c>
      <c r="F65" s="321">
        <f t="shared" ca="1" si="0"/>
        <v>1E-3</v>
      </c>
      <c r="I65" s="1367" t="s">
        <v>867</v>
      </c>
      <c r="J65" s="610">
        <v>40</v>
      </c>
      <c r="K65" s="610">
        <v>30</v>
      </c>
      <c r="L65" s="610">
        <v>50</v>
      </c>
      <c r="M65" s="1369">
        <v>0.02</v>
      </c>
      <c r="O65" s="1325" t="s">
        <v>403</v>
      </c>
      <c r="P65" s="1326" t="s">
        <v>868</v>
      </c>
      <c r="Q65" s="1327">
        <f ca="1">C40+J29</f>
        <v>5942</v>
      </c>
      <c r="R65" s="1327" t="s">
        <v>818</v>
      </c>
    </row>
    <row r="66" spans="1:18" s="1292" customFormat="1" ht="16"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-44</v>
      </c>
      <c r="D67" s="909" t="s">
        <v>753</v>
      </c>
      <c r="E67" s="914"/>
      <c r="F67" s="915"/>
      <c r="O67" s="1334" t="s">
        <v>405</v>
      </c>
      <c r="P67" s="1326" t="s">
        <v>850</v>
      </c>
      <c r="Q67" s="1370">
        <f ca="1">L51</f>
        <v>1848</v>
      </c>
      <c r="R67" s="1327" t="s">
        <v>870</v>
      </c>
    </row>
    <row r="68" spans="1:18" s="1292" customFormat="1" ht="16" thickBot="1">
      <c r="A68" s="893" t="s">
        <v>395</v>
      </c>
      <c r="B68" s="894" t="s">
        <v>774</v>
      </c>
      <c r="C68" s="293">
        <f ca="1">ROUND(C67*(1-((1+F70)/(1+F68))^F69)/(F68-F70),0)</f>
        <v>-610</v>
      </c>
      <c r="D68" s="911" t="s">
        <v>758</v>
      </c>
      <c r="E68" s="896" t="s">
        <v>759</v>
      </c>
      <c r="F68" s="304">
        <f ca="1">F40</f>
        <v>5.5E-2</v>
      </c>
      <c r="O68" s="1334" t="s">
        <v>406</v>
      </c>
      <c r="P68" s="1371" t="s">
        <v>871</v>
      </c>
      <c r="Q68" s="1327">
        <f ca="1">ROUND(Q69-Q70*Q71,0)</f>
        <v>110</v>
      </c>
      <c r="R68" s="1327" t="s">
        <v>414</v>
      </c>
    </row>
    <row r="69" spans="1:18" s="1292" customFormat="1" ht="13.5" thickBot="1">
      <c r="A69" s="897"/>
      <c r="B69" s="898"/>
      <c r="C69" s="298"/>
      <c r="D69" s="916" t="s">
        <v>762</v>
      </c>
      <c r="E69" s="896" t="s">
        <v>763</v>
      </c>
      <c r="F69" s="324">
        <f ca="1">F41</f>
        <v>26.86</v>
      </c>
      <c r="O69" s="1334" t="s">
        <v>411</v>
      </c>
      <c r="P69" s="1371" t="s">
        <v>872</v>
      </c>
      <c r="Q69" s="1327">
        <f ca="1">C39</f>
        <v>349</v>
      </c>
      <c r="R69" s="1327" t="s">
        <v>818</v>
      </c>
    </row>
    <row r="70" spans="1:18" s="1292" customFormat="1" ht="13.5" thickBot="1">
      <c r="A70" s="900"/>
      <c r="B70" s="901"/>
      <c r="C70" s="302"/>
      <c r="D70" s="912"/>
      <c r="E70" s="896" t="s">
        <v>766</v>
      </c>
      <c r="F70" s="991"/>
      <c r="O70" s="1334" t="s">
        <v>412</v>
      </c>
      <c r="P70" s="1371" t="s">
        <v>873</v>
      </c>
      <c r="Q70" s="1327">
        <f ca="1">C13</f>
        <v>3421</v>
      </c>
      <c r="R70" s="1327" t="s">
        <v>818</v>
      </c>
    </row>
    <row r="71" spans="1:18" s="1292" customFormat="1" ht="13.5" thickBot="1">
      <c r="A71" s="917" t="s">
        <v>396</v>
      </c>
      <c r="B71" s="918" t="s">
        <v>776</v>
      </c>
      <c r="C71" s="327">
        <f ca="1">ROUND(C68*10000/F71,0)</f>
        <v>-371</v>
      </c>
      <c r="D71" s="919" t="s">
        <v>777</v>
      </c>
      <c r="E71" s="920" t="s">
        <v>778</v>
      </c>
      <c r="F71" s="330">
        <f ca="1">F43</f>
        <v>16450.849999999999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239</v>
      </c>
      <c r="D75" s="1292"/>
      <c r="E75" s="1292"/>
      <c r="F75" s="1292"/>
      <c r="K75" s="1309"/>
      <c r="L75" s="1292"/>
      <c r="O75" s="1325" t="s">
        <v>409</v>
      </c>
      <c r="P75" s="1326" t="s">
        <v>838</v>
      </c>
      <c r="Q75" s="1327">
        <f ca="1">Q65+Q66</f>
        <v>5942</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0.31499999999999995</v>
      </c>
    </row>
    <row r="80" spans="1:18" ht="13">
      <c r="B80" s="331" t="s">
        <v>800</v>
      </c>
      <c r="C80" s="266">
        <f ca="1">ROUND(C75/C39,3)</f>
        <v>0.68500000000000005</v>
      </c>
    </row>
    <row r="81" spans="2:3" ht="13.5">
      <c r="B81" s="262" t="s">
        <v>801</v>
      </c>
      <c r="C81" s="230"/>
    </row>
    <row r="82" spans="2:3" ht="13">
      <c r="B82" s="265" t="s">
        <v>802</v>
      </c>
      <c r="C82" s="267">
        <f ca="1">1-C83</f>
        <v>0.42400000000000004</v>
      </c>
    </row>
    <row r="83" spans="2:3" ht="13">
      <c r="B83" s="265" t="s">
        <v>803</v>
      </c>
      <c r="C83" s="266">
        <f ca="1">ROUND(C13/C40,3)</f>
        <v>0.57599999999999996</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71C60-896F-4655-BD7C-0AD78C49EB03}">
  <sheetPr>
    <tabColor rgb="FF7030A0"/>
  </sheetPr>
  <dimension ref="A1:R33"/>
  <sheetViews>
    <sheetView workbookViewId="0">
      <selection activeCell="Q5" sqref="Q5"/>
    </sheetView>
  </sheetViews>
  <sheetFormatPr defaultRowHeight="14"/>
  <cols>
    <col min="1" max="1" width="5.08984375" customWidth="1"/>
    <col min="2" max="2" width="19.6328125" customWidth="1"/>
    <col min="3" max="3" width="14.36328125" customWidth="1"/>
    <col min="4" max="4" width="16.90625" customWidth="1"/>
    <col min="7" max="7" width="11.36328125" bestFit="1" customWidth="1"/>
    <col min="12" max="12" width="9.26953125" bestFit="1" customWidth="1"/>
  </cols>
  <sheetData>
    <row r="1" spans="1:18">
      <c r="B1" s="3521" t="s">
        <v>3421</v>
      </c>
    </row>
    <row r="2" spans="1:18">
      <c r="A2" s="1429" t="s">
        <v>3484</v>
      </c>
      <c r="B2" s="1429" t="s">
        <v>3422</v>
      </c>
      <c r="C2" s="3507" t="s">
        <v>3423</v>
      </c>
      <c r="D2" s="3507" t="s">
        <v>3424</v>
      </c>
      <c r="E2" s="3507" t="s">
        <v>3425</v>
      </c>
      <c r="F2" s="3507" t="s">
        <v>3426</v>
      </c>
      <c r="G2" s="3507" t="s">
        <v>3427</v>
      </c>
      <c r="H2" s="3507" t="s">
        <v>3428</v>
      </c>
    </row>
    <row r="3" spans="1:18" s="3506" customFormat="1" ht="28">
      <c r="A3" s="3516">
        <v>1</v>
      </c>
      <c r="B3" s="3517" t="s">
        <v>3429</v>
      </c>
      <c r="C3" s="3508" t="s">
        <v>3430</v>
      </c>
      <c r="D3" s="3508" t="s">
        <v>3431</v>
      </c>
      <c r="E3" s="3508" t="s">
        <v>2547</v>
      </c>
      <c r="F3" s="3508" t="s">
        <v>3432</v>
      </c>
      <c r="G3" s="3509">
        <v>58405</v>
      </c>
      <c r="H3" s="3510">
        <v>8827.26</v>
      </c>
    </row>
    <row r="4" spans="1:18" ht="28">
      <c r="A4" s="3514">
        <v>2</v>
      </c>
      <c r="B4" s="3517" t="s">
        <v>3433</v>
      </c>
      <c r="C4" s="3508" t="s">
        <v>3430</v>
      </c>
      <c r="D4" s="3508" t="s">
        <v>3434</v>
      </c>
      <c r="E4" s="3508" t="s">
        <v>2547</v>
      </c>
      <c r="F4" s="3508" t="s">
        <v>3432</v>
      </c>
      <c r="G4" s="3511">
        <v>55753</v>
      </c>
      <c r="H4" s="3512">
        <v>6099.39</v>
      </c>
      <c r="J4" s="1405" t="s">
        <v>2825</v>
      </c>
    </row>
    <row r="5" spans="1:18" ht="28">
      <c r="A5" s="3514">
        <v>3</v>
      </c>
      <c r="B5" s="3517" t="s">
        <v>3435</v>
      </c>
      <c r="C5" s="3508" t="s">
        <v>3430</v>
      </c>
      <c r="D5" s="3508" t="s">
        <v>3434</v>
      </c>
      <c r="E5" s="3508" t="s">
        <v>2547</v>
      </c>
      <c r="F5" s="3508" t="s">
        <v>3432</v>
      </c>
      <c r="G5" s="3511">
        <v>55753</v>
      </c>
      <c r="H5" s="3512">
        <v>5665.16</v>
      </c>
    </row>
    <row r="6" spans="1:18" ht="28">
      <c r="A6" s="3514">
        <v>4</v>
      </c>
      <c r="B6" s="3517" t="s">
        <v>3436</v>
      </c>
      <c r="C6" s="3508" t="s">
        <v>3430</v>
      </c>
      <c r="D6" s="3508" t="s">
        <v>3434</v>
      </c>
      <c r="E6" s="3508" t="s">
        <v>2547</v>
      </c>
      <c r="F6" s="3508" t="s">
        <v>3432</v>
      </c>
      <c r="G6" s="3511">
        <v>55753</v>
      </c>
      <c r="H6" s="3512">
        <v>6592.05</v>
      </c>
    </row>
    <row r="7" spans="1:18">
      <c r="A7" s="3514"/>
      <c r="B7" s="3514"/>
      <c r="C7" s="3512"/>
      <c r="D7" s="3512"/>
      <c r="E7" s="3512"/>
      <c r="F7" s="3512"/>
      <c r="G7" s="3507" t="s">
        <v>2592</v>
      </c>
      <c r="H7" s="3512">
        <f>SUM(H3:H6)</f>
        <v>27183.86</v>
      </c>
    </row>
    <row r="11" spans="1:18">
      <c r="B11" s="3521" t="s">
        <v>3437</v>
      </c>
    </row>
    <row r="12" spans="1:18">
      <c r="A12" s="3531"/>
      <c r="B12" s="1429" t="s">
        <v>3422</v>
      </c>
      <c r="C12" s="3507" t="s">
        <v>3423</v>
      </c>
      <c r="D12" s="3507" t="s">
        <v>3443</v>
      </c>
      <c r="E12" s="3507" t="s">
        <v>3438</v>
      </c>
      <c r="F12" s="3507" t="s">
        <v>3444</v>
      </c>
      <c r="G12" s="3507" t="s">
        <v>3445</v>
      </c>
      <c r="H12" s="3507" t="s">
        <v>3446</v>
      </c>
      <c r="I12" s="3507" t="s">
        <v>3447</v>
      </c>
      <c r="J12" s="3507" t="s">
        <v>3448</v>
      </c>
      <c r="K12" s="3507" t="s">
        <v>2543</v>
      </c>
      <c r="L12" s="3527" t="s">
        <v>3513</v>
      </c>
      <c r="M12" s="1405" t="s">
        <v>3454</v>
      </c>
      <c r="N12" s="3507" t="s">
        <v>3481</v>
      </c>
      <c r="O12" s="1405"/>
      <c r="P12" s="3522" t="s">
        <v>3504</v>
      </c>
      <c r="R12" s="1405" t="s">
        <v>3506</v>
      </c>
    </row>
    <row r="13" spans="1:18" s="3506" customFormat="1" ht="28" customHeight="1">
      <c r="A13" s="3529">
        <v>1</v>
      </c>
      <c r="B13" s="3515" t="s">
        <v>3449</v>
      </c>
      <c r="C13" s="3513" t="s">
        <v>3430</v>
      </c>
      <c r="D13" s="3513" t="s">
        <v>3434</v>
      </c>
      <c r="E13" s="3513" t="s">
        <v>3439</v>
      </c>
      <c r="F13" s="3510">
        <v>1</v>
      </c>
      <c r="G13" s="3508" t="s">
        <v>3441</v>
      </c>
      <c r="H13" s="3510">
        <v>2</v>
      </c>
      <c r="I13" s="3510">
        <v>1095.5999999999999</v>
      </c>
      <c r="J13" s="3510">
        <v>2003</v>
      </c>
      <c r="K13" s="3508" t="s">
        <v>2547</v>
      </c>
      <c r="L13" s="3508">
        <v>547.79999999999995</v>
      </c>
      <c r="N13" s="3510">
        <v>1535.29</v>
      </c>
      <c r="P13" s="3506">
        <f>ROUND(1-(1-0)*(2025-J13)/60,2)</f>
        <v>0.63</v>
      </c>
      <c r="R13" s="3506">
        <v>2200</v>
      </c>
    </row>
    <row r="14" spans="1:18" s="3506" customFormat="1">
      <c r="A14" s="3529"/>
      <c r="B14" s="3515"/>
      <c r="C14" s="3513"/>
      <c r="D14" s="3513"/>
      <c r="E14" s="3513"/>
      <c r="F14" s="3510">
        <v>2</v>
      </c>
      <c r="G14" s="3508" t="s">
        <v>3442</v>
      </c>
      <c r="H14" s="3510">
        <v>1</v>
      </c>
      <c r="I14" s="3510">
        <v>2955.51</v>
      </c>
      <c r="J14" s="3510">
        <v>2003</v>
      </c>
      <c r="K14" s="3508" t="s">
        <v>2547</v>
      </c>
      <c r="L14" s="3508">
        <v>2955.51</v>
      </c>
      <c r="N14" s="3510">
        <v>4141.6400000000003</v>
      </c>
      <c r="P14" s="3506">
        <f>ROUND(1-(1-2%)*(2025-J14)/50,2)</f>
        <v>0.56999999999999995</v>
      </c>
      <c r="R14" s="3506">
        <v>2000</v>
      </c>
    </row>
    <row r="15" spans="1:18" s="3506" customFormat="1">
      <c r="A15" s="3529"/>
      <c r="B15" s="3515"/>
      <c r="C15" s="3513"/>
      <c r="D15" s="3513"/>
      <c r="E15" s="3513"/>
      <c r="F15" s="3510">
        <v>3</v>
      </c>
      <c r="G15" s="3508" t="s">
        <v>3441</v>
      </c>
      <c r="H15" s="3510">
        <v>4</v>
      </c>
      <c r="I15" s="3510">
        <v>3241.24</v>
      </c>
      <c r="J15" s="3510">
        <v>2003</v>
      </c>
      <c r="K15" s="3508" t="s">
        <v>2547</v>
      </c>
      <c r="L15" s="3508">
        <v>810.31</v>
      </c>
      <c r="N15" s="3510">
        <v>4542.04</v>
      </c>
      <c r="P15" s="3506">
        <f>ROUND(1-(1-0)*(2025-J15)/60,2)</f>
        <v>0.63</v>
      </c>
      <c r="R15" s="3506">
        <v>3000</v>
      </c>
    </row>
    <row r="16" spans="1:18" s="3506" customFormat="1" ht="28">
      <c r="A16" s="3528">
        <v>2</v>
      </c>
      <c r="B16" s="3517" t="s">
        <v>3450</v>
      </c>
      <c r="C16" s="3508" t="s">
        <v>3430</v>
      </c>
      <c r="D16" s="3508" t="s">
        <v>3451</v>
      </c>
      <c r="E16" s="3510"/>
      <c r="F16" s="3508" t="s">
        <v>3453</v>
      </c>
      <c r="G16" s="3508" t="s">
        <v>3441</v>
      </c>
      <c r="H16" s="3510">
        <v>1</v>
      </c>
      <c r="I16" s="3510">
        <v>3282.94</v>
      </c>
      <c r="J16" s="3510"/>
      <c r="K16" s="3508" t="s">
        <v>3452</v>
      </c>
      <c r="L16" s="3508">
        <f>I16</f>
        <v>3282.94</v>
      </c>
      <c r="M16" s="3506">
        <v>2008</v>
      </c>
      <c r="N16" s="3510">
        <v>4600.47</v>
      </c>
      <c r="P16" s="3506">
        <f>ROUND(1-(1-0)*(2025-M16)/50,2)</f>
        <v>0.66</v>
      </c>
      <c r="Q16" s="3505" t="s">
        <v>3505</v>
      </c>
      <c r="R16" s="3506">
        <v>2200</v>
      </c>
    </row>
    <row r="17" spans="1:18" s="3506" customFormat="1" ht="28">
      <c r="A17" s="3528">
        <v>3</v>
      </c>
      <c r="B17" s="3517" t="s">
        <v>3456</v>
      </c>
      <c r="C17" s="3508" t="s">
        <v>3430</v>
      </c>
      <c r="D17" s="3508" t="s">
        <v>3457</v>
      </c>
      <c r="E17" s="3510"/>
      <c r="F17" s="3508" t="s">
        <v>3458</v>
      </c>
      <c r="G17" s="3508" t="s">
        <v>3441</v>
      </c>
      <c r="H17" s="3510">
        <v>1</v>
      </c>
      <c r="I17" s="3510">
        <v>525.13</v>
      </c>
      <c r="J17" s="3510"/>
      <c r="K17" s="3508" t="s">
        <v>3455</v>
      </c>
      <c r="L17" s="3508">
        <f t="shared" ref="L17:L22" si="0">I17</f>
        <v>525.13</v>
      </c>
      <c r="M17" s="3506">
        <v>2008</v>
      </c>
      <c r="N17" s="3510">
        <v>735.88</v>
      </c>
      <c r="P17" s="3506">
        <f>ROUND(1-(1-0)*(2025-M17)/60,2)</f>
        <v>0.72</v>
      </c>
      <c r="R17" s="3506">
        <v>2200</v>
      </c>
    </row>
    <row r="18" spans="1:18" s="3506" customFormat="1" ht="28">
      <c r="A18" s="3528">
        <v>4</v>
      </c>
      <c r="B18" s="3517" t="s">
        <v>3459</v>
      </c>
      <c r="C18" s="3508" t="s">
        <v>3430</v>
      </c>
      <c r="D18" s="3508" t="s">
        <v>3460</v>
      </c>
      <c r="E18" s="3510"/>
      <c r="F18" s="3508" t="s">
        <v>3461</v>
      </c>
      <c r="G18" s="3508" t="s">
        <v>3441</v>
      </c>
      <c r="H18" s="3510">
        <v>1</v>
      </c>
      <c r="I18" s="3510">
        <v>1630.7</v>
      </c>
      <c r="J18" s="3510"/>
      <c r="K18" s="3508" t="s">
        <v>3455</v>
      </c>
      <c r="L18" s="3508">
        <f t="shared" si="0"/>
        <v>1630.7</v>
      </c>
      <c r="M18" s="3506">
        <v>2008</v>
      </c>
      <c r="N18" s="3510">
        <v>2285.14</v>
      </c>
      <c r="P18" s="3506">
        <f>ROUND(1-(1-0)*(2025-M18)/60,2)</f>
        <v>0.72</v>
      </c>
      <c r="R18" s="3506">
        <v>2200</v>
      </c>
    </row>
    <row r="19" spans="1:18" ht="28">
      <c r="A19" s="3528">
        <v>5</v>
      </c>
      <c r="B19" s="3517" t="s">
        <v>3463</v>
      </c>
      <c r="C19" s="3508" t="s">
        <v>3430</v>
      </c>
      <c r="D19" s="3508" t="s">
        <v>3464</v>
      </c>
      <c r="E19" s="3512"/>
      <c r="F19" s="3508" t="s">
        <v>3462</v>
      </c>
      <c r="G19" s="3508" t="s">
        <v>3441</v>
      </c>
      <c r="H19" s="3510">
        <v>1</v>
      </c>
      <c r="I19" s="3510">
        <v>1164.97</v>
      </c>
      <c r="J19" s="3512"/>
      <c r="K19" s="3508" t="s">
        <v>3455</v>
      </c>
      <c r="L19" s="3508">
        <f t="shared" si="0"/>
        <v>1164.97</v>
      </c>
      <c r="M19" s="3506">
        <v>2008</v>
      </c>
      <c r="N19" s="3510">
        <v>1632.5</v>
      </c>
      <c r="O19" s="3506"/>
      <c r="P19" s="3506">
        <f t="shared" ref="P19:P22" si="1">ROUND(1-(1-0)*(2025-M19)/60,2)</f>
        <v>0.72</v>
      </c>
      <c r="R19" s="3506">
        <v>2200</v>
      </c>
    </row>
    <row r="20" spans="1:18" ht="28">
      <c r="A20" s="3528">
        <v>6</v>
      </c>
      <c r="B20" s="3517" t="s">
        <v>3466</v>
      </c>
      <c r="C20" s="3508" t="s">
        <v>3430</v>
      </c>
      <c r="D20" s="3508" t="s">
        <v>3467</v>
      </c>
      <c r="E20" s="3512"/>
      <c r="F20" s="3508" t="s">
        <v>3465</v>
      </c>
      <c r="G20" s="3508" t="s">
        <v>3441</v>
      </c>
      <c r="H20" s="3510">
        <v>1</v>
      </c>
      <c r="I20" s="3510">
        <v>1167.3499999999999</v>
      </c>
      <c r="J20" s="3512"/>
      <c r="K20" s="3508" t="s">
        <v>3455</v>
      </c>
      <c r="L20" s="3508">
        <f t="shared" si="0"/>
        <v>1167.3499999999999</v>
      </c>
      <c r="M20" s="3506">
        <v>2008</v>
      </c>
      <c r="N20" s="3510">
        <v>1635.84</v>
      </c>
      <c r="O20" s="3506"/>
      <c r="P20" s="3506">
        <f t="shared" si="1"/>
        <v>0.72</v>
      </c>
      <c r="R20" s="3506">
        <v>2200</v>
      </c>
    </row>
    <row r="21" spans="1:18" ht="28">
      <c r="A21" s="3528">
        <v>7</v>
      </c>
      <c r="B21" s="3517" t="s">
        <v>3468</v>
      </c>
      <c r="C21" s="3508" t="s">
        <v>3430</v>
      </c>
      <c r="D21" s="3508" t="s">
        <v>3469</v>
      </c>
      <c r="E21" s="3512"/>
      <c r="F21" s="3508" t="s">
        <v>3470</v>
      </c>
      <c r="G21" s="3508" t="s">
        <v>3441</v>
      </c>
      <c r="H21" s="3510">
        <v>1</v>
      </c>
      <c r="I21" s="3510">
        <v>1173.57</v>
      </c>
      <c r="J21" s="3512"/>
      <c r="K21" s="3508" t="s">
        <v>3455</v>
      </c>
      <c r="L21" s="3508">
        <f t="shared" si="0"/>
        <v>1173.57</v>
      </c>
      <c r="M21" s="3506">
        <v>2008</v>
      </c>
      <c r="N21" s="3510">
        <v>1644.56</v>
      </c>
      <c r="O21" s="3506"/>
      <c r="P21" s="3506">
        <f t="shared" si="1"/>
        <v>0.72</v>
      </c>
      <c r="R21" s="3506">
        <v>2200</v>
      </c>
    </row>
    <row r="22" spans="1:18" ht="28">
      <c r="A22" s="3528">
        <v>8</v>
      </c>
      <c r="B22" s="3517" t="s">
        <v>3473</v>
      </c>
      <c r="C22" s="3508" t="s">
        <v>3430</v>
      </c>
      <c r="D22" s="3508" t="s">
        <v>3474</v>
      </c>
      <c r="E22" s="3512"/>
      <c r="F22" s="3508" t="s">
        <v>3472</v>
      </c>
      <c r="G22" s="3508" t="s">
        <v>3441</v>
      </c>
      <c r="H22" s="3510">
        <v>1</v>
      </c>
      <c r="I22" s="3510">
        <v>213.84</v>
      </c>
      <c r="J22" s="3512"/>
      <c r="K22" s="3508" t="s">
        <v>3471</v>
      </c>
      <c r="L22" s="3508">
        <f t="shared" si="0"/>
        <v>213.84</v>
      </c>
      <c r="M22" s="3506">
        <v>2008</v>
      </c>
      <c r="N22" s="3510">
        <v>299.66000000000003</v>
      </c>
      <c r="O22" s="3506"/>
      <c r="P22" s="3506">
        <f t="shared" si="1"/>
        <v>0.72</v>
      </c>
      <c r="R22" s="3506">
        <v>2200</v>
      </c>
    </row>
    <row r="23" spans="1:18">
      <c r="B23" s="3512"/>
      <c r="C23" s="3512"/>
      <c r="D23" s="3512"/>
      <c r="E23" s="3512"/>
      <c r="F23" s="3512"/>
      <c r="G23" s="3512"/>
      <c r="H23" s="3507" t="s">
        <v>2592</v>
      </c>
      <c r="I23" s="3534">
        <f>SUM(I13:I22)</f>
        <v>16450.849999999999</v>
      </c>
      <c r="J23" s="3512"/>
      <c r="K23" s="3512"/>
      <c r="L23" s="3526">
        <f>SUM(L13:L22)</f>
        <v>13472.12</v>
      </c>
      <c r="N23" s="3512">
        <f>SUM(N13:N22)</f>
        <v>23053.020000000004</v>
      </c>
      <c r="O23" s="1405" t="s">
        <v>3507</v>
      </c>
      <c r="P23" s="3523">
        <f>ROUND((P13*I13+P14*I14+P15*I15+P16*I16+P17*I17+P18*I18+P19*I19+P20*I20+P21*I21+P22*I22)/I23,2)</f>
        <v>0.66</v>
      </c>
      <c r="Q23" s="1405" t="s">
        <v>3508</v>
      </c>
      <c r="R23" s="3157">
        <f>ROUND((R13*I13+R14*I14+R15*I15+R16*I16+R17*I17+R18*I18+R19*I19+R20*I20+R21*I21+R22*I22)/I23,0)</f>
        <v>2322</v>
      </c>
    </row>
    <row r="26" spans="1:18">
      <c r="J26" s="1405" t="s">
        <v>3514</v>
      </c>
      <c r="K26" s="3157">
        <f>H7-L23</f>
        <v>13711.74</v>
      </c>
    </row>
    <row r="30" spans="1:18">
      <c r="M30" s="1405" t="s">
        <v>3483</v>
      </c>
    </row>
    <row r="31" spans="1:18">
      <c r="N31" s="3506">
        <v>2947.8</v>
      </c>
    </row>
    <row r="32" spans="1:18">
      <c r="M32" s="1405" t="s">
        <v>3482</v>
      </c>
    </row>
    <row r="33" spans="14:14">
      <c r="N33">
        <v>4130.83</v>
      </c>
    </row>
  </sheetData>
  <mergeCells count="5">
    <mergeCell ref="B13:B15"/>
    <mergeCell ref="C13:C15"/>
    <mergeCell ref="D13:D15"/>
    <mergeCell ref="E13:E15"/>
    <mergeCell ref="A13:A15"/>
  </mergeCells>
  <phoneticPr fontId="135" type="noConversion"/>
  <pageMargins left="0.7" right="0.7" top="0.75" bottom="0.75" header="0.3" footer="0.3"/>
  <pageSetup paperSize="9"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DF571-A7CF-4F13-9A5E-39982383CFBD}">
  <sheetPr filterMode="1">
    <tabColor rgb="FF7030A0"/>
  </sheetPr>
  <dimension ref="A1:BE37"/>
  <sheetViews>
    <sheetView workbookViewId="0">
      <selection activeCell="H34" sqref="H34"/>
    </sheetView>
  </sheetViews>
  <sheetFormatPr defaultRowHeight="14"/>
  <cols>
    <col min="1" max="1" width="21.81640625" style="1156" customWidth="1"/>
    <col min="2" max="2" width="10.90625" style="1156" hidden="1" customWidth="1"/>
    <col min="3" max="3" width="9.36328125" style="1156" customWidth="1"/>
    <col min="4" max="4" width="11.54296875" style="1156" customWidth="1"/>
    <col min="5" max="7" width="21.81640625" style="1156" customWidth="1"/>
    <col min="8" max="8" width="14.90625" style="1156" customWidth="1"/>
    <col min="9" max="9" width="12.54296875" style="1156" customWidth="1"/>
    <col min="10" max="10" width="14.26953125" style="1156" customWidth="1"/>
    <col min="11" max="11" width="7.26953125" style="1156" customWidth="1"/>
    <col min="12" max="12" width="5.81640625" style="1156" customWidth="1"/>
    <col min="13" max="13" width="14.26953125" style="1156" customWidth="1"/>
    <col min="14" max="14" width="11.36328125" style="1156" customWidth="1"/>
    <col min="15" max="16" width="14.36328125" style="1156" customWidth="1"/>
    <col min="17" max="17" width="8.7265625" style="1156"/>
    <col min="18" max="58" width="21.81640625" style="1156" customWidth="1"/>
    <col min="59" max="16384" width="8.7265625" style="1156"/>
  </cols>
  <sheetData>
    <row r="1" spans="1:57">
      <c r="A1" s="1156" t="s">
        <v>3527</v>
      </c>
      <c r="B1" s="1156" t="s">
        <v>3528</v>
      </c>
      <c r="C1" s="1156" t="s">
        <v>3529</v>
      </c>
      <c r="D1" s="1156" t="s">
        <v>3530</v>
      </c>
      <c r="E1" s="1156" t="s">
        <v>3531</v>
      </c>
      <c r="F1" s="1156" t="s">
        <v>3532</v>
      </c>
      <c r="G1" s="1156" t="s">
        <v>3533</v>
      </c>
      <c r="H1" s="1156" t="s">
        <v>3534</v>
      </c>
      <c r="I1" s="1156" t="s">
        <v>3535</v>
      </c>
      <c r="J1" s="1156" t="s">
        <v>3536</v>
      </c>
      <c r="K1" s="1156" t="s">
        <v>3537</v>
      </c>
      <c r="L1" s="1156" t="s">
        <v>3538</v>
      </c>
      <c r="M1" s="1156" t="s">
        <v>3539</v>
      </c>
      <c r="N1" s="1156" t="s">
        <v>3540</v>
      </c>
      <c r="O1" s="1156" t="s">
        <v>3541</v>
      </c>
      <c r="P1" s="1156" t="s">
        <v>3542</v>
      </c>
      <c r="Q1" s="1156" t="s">
        <v>3543</v>
      </c>
      <c r="R1" s="1156" t="s">
        <v>3544</v>
      </c>
      <c r="S1" s="1156" t="s">
        <v>3545</v>
      </c>
      <c r="T1" s="1156" t="s">
        <v>3546</v>
      </c>
      <c r="U1" s="1156" t="s">
        <v>3547</v>
      </c>
      <c r="V1" s="1156" t="s">
        <v>3548</v>
      </c>
      <c r="W1" s="1156" t="s">
        <v>3549</v>
      </c>
      <c r="X1" s="1156" t="s">
        <v>3550</v>
      </c>
      <c r="Y1" s="1156" t="s">
        <v>3551</v>
      </c>
      <c r="Z1" s="1156" t="s">
        <v>3552</v>
      </c>
      <c r="AA1" s="1156" t="s">
        <v>3553</v>
      </c>
      <c r="AB1" s="1156" t="s">
        <v>3554</v>
      </c>
      <c r="AC1" s="1156" t="s">
        <v>3555</v>
      </c>
      <c r="AD1" s="1156" t="s">
        <v>3556</v>
      </c>
      <c r="AE1" s="1156" t="s">
        <v>3557</v>
      </c>
      <c r="AF1" s="1156" t="s">
        <v>3558</v>
      </c>
      <c r="AG1" s="1156" t="s">
        <v>3559</v>
      </c>
      <c r="AH1" s="1156" t="s">
        <v>3560</v>
      </c>
      <c r="AI1" s="1156" t="s">
        <v>3561</v>
      </c>
      <c r="AJ1" s="1156" t="s">
        <v>3562</v>
      </c>
      <c r="AK1" s="1156" t="s">
        <v>3563</v>
      </c>
      <c r="AL1" s="1156" t="s">
        <v>3564</v>
      </c>
      <c r="AM1" s="1156" t="s">
        <v>3565</v>
      </c>
      <c r="AN1" s="1156" t="s">
        <v>3566</v>
      </c>
      <c r="AO1" s="1156" t="s">
        <v>3567</v>
      </c>
      <c r="AP1" s="1156" t="s">
        <v>3568</v>
      </c>
      <c r="AQ1" s="1156" t="s">
        <v>3569</v>
      </c>
      <c r="AR1" s="1156" t="s">
        <v>3570</v>
      </c>
      <c r="AS1" s="1156" t="s">
        <v>3571</v>
      </c>
      <c r="AT1" s="1156" t="s">
        <v>3572</v>
      </c>
      <c r="AU1" s="1156" t="s">
        <v>3573</v>
      </c>
      <c r="AV1" s="1156" t="s">
        <v>3574</v>
      </c>
      <c r="AW1" s="1156" t="s">
        <v>3575</v>
      </c>
      <c r="AX1" s="1156" t="s">
        <v>3576</v>
      </c>
      <c r="AY1" s="1156" t="s">
        <v>3577</v>
      </c>
      <c r="AZ1" s="1156" t="s">
        <v>3578</v>
      </c>
      <c r="BA1" s="1156" t="s">
        <v>3579</v>
      </c>
      <c r="BB1" s="1156" t="s">
        <v>3580</v>
      </c>
      <c r="BC1" s="1156" t="s">
        <v>3581</v>
      </c>
      <c r="BD1" s="1156" t="s">
        <v>3582</v>
      </c>
      <c r="BE1" s="1156" t="s">
        <v>3583</v>
      </c>
    </row>
    <row r="2" spans="1:57">
      <c r="A2" s="1156" t="s">
        <v>3584</v>
      </c>
      <c r="B2" s="1156" t="s">
        <v>3419</v>
      </c>
      <c r="C2" s="1156" t="s">
        <v>3585</v>
      </c>
      <c r="D2" s="1156" t="s">
        <v>3586</v>
      </c>
      <c r="E2" s="1156" t="s">
        <v>3587</v>
      </c>
      <c r="F2" s="1156" t="s">
        <v>3587</v>
      </c>
      <c r="G2" s="1156" t="s">
        <v>3588</v>
      </c>
      <c r="H2" s="1156">
        <v>6700</v>
      </c>
      <c r="I2" s="1156">
        <v>8040</v>
      </c>
      <c r="J2" s="1156" t="s">
        <v>3589</v>
      </c>
      <c r="K2" s="1156" t="s">
        <v>3590</v>
      </c>
      <c r="L2" s="1156">
        <v>1.2</v>
      </c>
      <c r="M2" s="1156" t="s">
        <v>3591</v>
      </c>
      <c r="N2" s="1156">
        <v>1390.92</v>
      </c>
      <c r="O2" s="1156">
        <v>2076</v>
      </c>
      <c r="P2" s="1156">
        <v>138.4</v>
      </c>
      <c r="Q2" s="1156">
        <v>1730</v>
      </c>
      <c r="R2" s="1156" t="s">
        <v>3592</v>
      </c>
      <c r="S2" s="1156" t="s">
        <v>3592</v>
      </c>
      <c r="T2" s="1156">
        <v>0</v>
      </c>
      <c r="U2" s="1156">
        <v>0</v>
      </c>
      <c r="V2" s="1156" t="s">
        <v>2479</v>
      </c>
      <c r="W2" s="1156" t="s">
        <v>3589</v>
      </c>
      <c r="X2" s="1156" t="s">
        <v>3593</v>
      </c>
      <c r="Y2" s="1156" t="s">
        <v>3592</v>
      </c>
      <c r="Z2" s="1156" t="s">
        <v>3592</v>
      </c>
      <c r="AA2" s="1156" t="s">
        <v>3592</v>
      </c>
      <c r="AB2" s="1156" t="s">
        <v>3594</v>
      </c>
      <c r="AC2" s="1156" t="s">
        <v>3592</v>
      </c>
      <c r="AD2" s="1156" t="s">
        <v>3592</v>
      </c>
      <c r="AE2" s="1156" t="s">
        <v>3592</v>
      </c>
      <c r="AF2" s="1156" t="s">
        <v>3592</v>
      </c>
      <c r="AG2" s="1156" t="s">
        <v>3592</v>
      </c>
      <c r="AH2" s="1156" t="s">
        <v>3595</v>
      </c>
      <c r="AI2" s="1156" t="s">
        <v>3596</v>
      </c>
      <c r="AJ2" s="1156" t="s">
        <v>3597</v>
      </c>
      <c r="AK2" s="1156" t="s">
        <v>3598</v>
      </c>
      <c r="AL2" s="1156" t="s">
        <v>3599</v>
      </c>
      <c r="AM2" s="1156" t="s">
        <v>3600</v>
      </c>
      <c r="AN2" s="1156" t="s">
        <v>3592</v>
      </c>
      <c r="AO2" s="1156">
        <v>1390.92</v>
      </c>
      <c r="AP2" s="1156">
        <v>280</v>
      </c>
      <c r="AQ2" s="1156" t="s">
        <v>3601</v>
      </c>
      <c r="AR2" s="1156" t="s">
        <v>3592</v>
      </c>
      <c r="AS2" s="1156">
        <v>0</v>
      </c>
      <c r="AT2" s="1156" t="s">
        <v>3592</v>
      </c>
      <c r="AU2" s="1156" t="s">
        <v>3592</v>
      </c>
      <c r="AV2" s="1156" t="s">
        <v>3592</v>
      </c>
      <c r="AW2" s="1156" t="s">
        <v>3592</v>
      </c>
      <c r="AX2" s="1156" t="s">
        <v>3592</v>
      </c>
      <c r="AY2" s="1156" t="s">
        <v>3592</v>
      </c>
      <c r="AZ2" s="1156" t="s">
        <v>3592</v>
      </c>
      <c r="BA2" s="1156" t="s">
        <v>3602</v>
      </c>
      <c r="BB2" s="1156" t="s">
        <v>3592</v>
      </c>
      <c r="BC2" s="1156" t="s">
        <v>3520</v>
      </c>
      <c r="BD2" s="1156" t="s">
        <v>3592</v>
      </c>
      <c r="BE2" s="1156" t="s">
        <v>3603</v>
      </c>
    </row>
    <row r="3" spans="1:57">
      <c r="A3" s="1156" t="s">
        <v>3604</v>
      </c>
      <c r="B3" s="1156" t="s">
        <v>3419</v>
      </c>
      <c r="C3" s="1156" t="s">
        <v>3585</v>
      </c>
      <c r="D3" s="1156" t="s">
        <v>3605</v>
      </c>
      <c r="E3" s="1156" t="s">
        <v>3606</v>
      </c>
      <c r="F3" s="1156" t="s">
        <v>3606</v>
      </c>
      <c r="G3" s="1156" t="s">
        <v>3607</v>
      </c>
      <c r="H3" s="1156">
        <v>10476.42</v>
      </c>
      <c r="I3" s="1156">
        <v>20952.8</v>
      </c>
      <c r="J3" s="1156" t="s">
        <v>3589</v>
      </c>
      <c r="K3" s="1156" t="s">
        <v>3608</v>
      </c>
      <c r="L3" s="1156">
        <v>2</v>
      </c>
      <c r="M3" s="1156" t="s">
        <v>3591</v>
      </c>
      <c r="N3" s="1156">
        <v>3830.18</v>
      </c>
      <c r="O3" s="1156">
        <v>3656</v>
      </c>
      <c r="P3" s="1156">
        <v>243.73</v>
      </c>
      <c r="Q3" s="1156">
        <v>1828</v>
      </c>
      <c r="R3" s="1156" t="s">
        <v>3592</v>
      </c>
      <c r="S3" s="1156" t="s">
        <v>3592</v>
      </c>
      <c r="T3" s="1156">
        <v>0</v>
      </c>
      <c r="U3" s="1156">
        <v>0</v>
      </c>
      <c r="V3" s="1156" t="s">
        <v>2479</v>
      </c>
      <c r="W3" s="1156" t="s">
        <v>3589</v>
      </c>
      <c r="X3" s="1156" t="s">
        <v>3609</v>
      </c>
      <c r="Y3" s="1156" t="s">
        <v>3592</v>
      </c>
      <c r="Z3" s="1156" t="s">
        <v>3592</v>
      </c>
      <c r="AA3" s="1156" t="s">
        <v>3592</v>
      </c>
      <c r="AB3" s="1156" t="s">
        <v>3594</v>
      </c>
      <c r="AC3" s="1156" t="s">
        <v>3592</v>
      </c>
      <c r="AD3" s="1156" t="s">
        <v>3592</v>
      </c>
      <c r="AE3" s="1156" t="s">
        <v>3592</v>
      </c>
      <c r="AF3" s="1156" t="s">
        <v>3592</v>
      </c>
      <c r="AG3" s="1156" t="s">
        <v>3592</v>
      </c>
      <c r="AH3" s="1156" t="s">
        <v>3595</v>
      </c>
      <c r="AI3" s="1156" t="s">
        <v>3596</v>
      </c>
      <c r="AJ3" s="1156" t="s">
        <v>3597</v>
      </c>
      <c r="AK3" s="1156" t="s">
        <v>3610</v>
      </c>
      <c r="AL3" s="1156" t="s">
        <v>3592</v>
      </c>
      <c r="AM3" s="1156" t="s">
        <v>3592</v>
      </c>
      <c r="AN3" s="1156" t="s">
        <v>3592</v>
      </c>
      <c r="AO3" s="1156">
        <v>3830.18</v>
      </c>
      <c r="AP3" s="1156">
        <v>770</v>
      </c>
      <c r="AQ3" s="1156" t="s">
        <v>3601</v>
      </c>
      <c r="AR3" s="1156" t="s">
        <v>3592</v>
      </c>
      <c r="AS3" s="1156">
        <v>0</v>
      </c>
      <c r="AT3" s="1156" t="s">
        <v>3592</v>
      </c>
      <c r="AU3" s="1156" t="s">
        <v>3592</v>
      </c>
      <c r="AV3" s="1156" t="s">
        <v>3592</v>
      </c>
      <c r="AW3" s="1156" t="s">
        <v>3592</v>
      </c>
      <c r="AX3" s="1156" t="s">
        <v>3592</v>
      </c>
      <c r="AY3" s="1156" t="s">
        <v>3592</v>
      </c>
      <c r="AZ3" s="1156" t="s">
        <v>3592</v>
      </c>
      <c r="BA3" s="1156" t="s">
        <v>3611</v>
      </c>
      <c r="BB3" s="1156" t="s">
        <v>3592</v>
      </c>
      <c r="BC3" s="1156" t="s">
        <v>3520</v>
      </c>
      <c r="BD3" s="1156" t="s">
        <v>3592</v>
      </c>
      <c r="BE3" s="1156" t="s">
        <v>3603</v>
      </c>
    </row>
    <row r="4" spans="1:57">
      <c r="A4" s="1156" t="s">
        <v>3612</v>
      </c>
      <c r="B4" s="1156" t="s">
        <v>3419</v>
      </c>
      <c r="C4" s="1156" t="s">
        <v>3585</v>
      </c>
      <c r="D4" s="1156" t="s">
        <v>3605</v>
      </c>
      <c r="E4" s="1156" t="s">
        <v>3613</v>
      </c>
      <c r="F4" s="1156" t="s">
        <v>3613</v>
      </c>
      <c r="G4" s="1156" t="s">
        <v>3607</v>
      </c>
      <c r="H4" s="1156">
        <v>10409.65</v>
      </c>
      <c r="I4" s="1156">
        <v>20819.3</v>
      </c>
      <c r="J4" s="1156" t="s">
        <v>3589</v>
      </c>
      <c r="K4" s="1156" t="s">
        <v>3608</v>
      </c>
      <c r="L4" s="1156">
        <v>2</v>
      </c>
      <c r="M4" s="1156" t="s">
        <v>3591</v>
      </c>
      <c r="N4" s="1156">
        <v>3805.77</v>
      </c>
      <c r="O4" s="1156">
        <v>3656</v>
      </c>
      <c r="P4" s="1156">
        <v>243.73</v>
      </c>
      <c r="Q4" s="1156">
        <v>1828</v>
      </c>
      <c r="R4" s="1156" t="s">
        <v>3592</v>
      </c>
      <c r="S4" s="1156" t="s">
        <v>3592</v>
      </c>
      <c r="T4" s="1156">
        <v>0</v>
      </c>
      <c r="U4" s="1156">
        <v>0</v>
      </c>
      <c r="V4" s="1156" t="s">
        <v>2479</v>
      </c>
      <c r="W4" s="1156" t="s">
        <v>3589</v>
      </c>
      <c r="X4" s="1156" t="s">
        <v>3609</v>
      </c>
      <c r="Y4" s="1156" t="s">
        <v>3592</v>
      </c>
      <c r="Z4" s="1156" t="s">
        <v>3592</v>
      </c>
      <c r="AA4" s="1156" t="s">
        <v>3592</v>
      </c>
      <c r="AB4" s="1156" t="s">
        <v>3594</v>
      </c>
      <c r="AC4" s="1156" t="s">
        <v>3592</v>
      </c>
      <c r="AD4" s="1156" t="s">
        <v>3592</v>
      </c>
      <c r="AE4" s="1156" t="s">
        <v>3592</v>
      </c>
      <c r="AF4" s="1156" t="s">
        <v>3592</v>
      </c>
      <c r="AG4" s="1156" t="s">
        <v>3592</v>
      </c>
      <c r="AH4" s="1156" t="s">
        <v>3595</v>
      </c>
      <c r="AI4" s="1156" t="s">
        <v>3596</v>
      </c>
      <c r="AJ4" s="1156" t="s">
        <v>3597</v>
      </c>
      <c r="AK4" s="1156" t="s">
        <v>3614</v>
      </c>
      <c r="AL4" s="1156" t="s">
        <v>3592</v>
      </c>
      <c r="AM4" s="1156" t="s">
        <v>3592</v>
      </c>
      <c r="AN4" s="1156" t="s">
        <v>3592</v>
      </c>
      <c r="AO4" s="1156">
        <v>3805.77</v>
      </c>
      <c r="AP4" s="1156">
        <v>770</v>
      </c>
      <c r="AQ4" s="1156" t="s">
        <v>3601</v>
      </c>
      <c r="AR4" s="1156" t="s">
        <v>3592</v>
      </c>
      <c r="AS4" s="1156">
        <v>0</v>
      </c>
      <c r="AT4" s="1156" t="s">
        <v>3592</v>
      </c>
      <c r="AU4" s="1156" t="s">
        <v>3592</v>
      </c>
      <c r="AV4" s="1156" t="s">
        <v>3592</v>
      </c>
      <c r="AW4" s="1156" t="s">
        <v>3592</v>
      </c>
      <c r="AX4" s="1156" t="s">
        <v>3592</v>
      </c>
      <c r="AY4" s="1156" t="s">
        <v>3592</v>
      </c>
      <c r="AZ4" s="1156" t="s">
        <v>3592</v>
      </c>
      <c r="BA4" s="1156" t="s">
        <v>3611</v>
      </c>
      <c r="BB4" s="1156" t="s">
        <v>3592</v>
      </c>
      <c r="BC4" s="1156" t="s">
        <v>3520</v>
      </c>
      <c r="BD4" s="1156" t="s">
        <v>3592</v>
      </c>
      <c r="BE4" s="1156" t="s">
        <v>3603</v>
      </c>
    </row>
    <row r="5" spans="1:57">
      <c r="A5" s="1156" t="s">
        <v>3615</v>
      </c>
      <c r="B5" s="1156" t="s">
        <v>3419</v>
      </c>
      <c r="C5" s="1156" t="s">
        <v>3585</v>
      </c>
      <c r="D5" s="1156" t="s">
        <v>3605</v>
      </c>
      <c r="E5" s="1156" t="s">
        <v>3616</v>
      </c>
      <c r="F5" s="1156" t="s">
        <v>3616</v>
      </c>
      <c r="G5" s="1156" t="s">
        <v>3607</v>
      </c>
      <c r="H5" s="1156">
        <v>14024.44</v>
      </c>
      <c r="I5" s="1156">
        <v>28048.89</v>
      </c>
      <c r="J5" s="1156" t="s">
        <v>3589</v>
      </c>
      <c r="K5" s="1156" t="s">
        <v>3608</v>
      </c>
      <c r="L5" s="1156">
        <v>2</v>
      </c>
      <c r="M5" s="1156" t="s">
        <v>3591</v>
      </c>
      <c r="N5" s="1156">
        <v>5127.34</v>
      </c>
      <c r="O5" s="1156">
        <v>3656</v>
      </c>
      <c r="P5" s="1156">
        <v>243.73</v>
      </c>
      <c r="Q5" s="1156">
        <v>1828</v>
      </c>
      <c r="R5" s="1156" t="s">
        <v>3592</v>
      </c>
      <c r="S5" s="1156" t="s">
        <v>3592</v>
      </c>
      <c r="T5" s="1156">
        <v>0</v>
      </c>
      <c r="U5" s="1156">
        <v>0</v>
      </c>
      <c r="V5" s="1156" t="s">
        <v>2479</v>
      </c>
      <c r="W5" s="1156" t="s">
        <v>3589</v>
      </c>
      <c r="X5" s="1156" t="s">
        <v>3609</v>
      </c>
      <c r="Y5" s="1156" t="s">
        <v>3592</v>
      </c>
      <c r="Z5" s="1156" t="s">
        <v>3592</v>
      </c>
      <c r="AA5" s="1156" t="s">
        <v>3592</v>
      </c>
      <c r="AB5" s="1156" t="s">
        <v>3594</v>
      </c>
      <c r="AC5" s="1156" t="s">
        <v>3592</v>
      </c>
      <c r="AD5" s="1156" t="s">
        <v>3592</v>
      </c>
      <c r="AE5" s="1156" t="s">
        <v>3592</v>
      </c>
      <c r="AF5" s="1156" t="s">
        <v>3592</v>
      </c>
      <c r="AG5" s="1156" t="s">
        <v>3592</v>
      </c>
      <c r="AH5" s="1156" t="s">
        <v>3595</v>
      </c>
      <c r="AI5" s="1156" t="s">
        <v>3596</v>
      </c>
      <c r="AJ5" s="1156" t="s">
        <v>3597</v>
      </c>
      <c r="AK5" s="1156" t="s">
        <v>3617</v>
      </c>
      <c r="AL5" s="1156" t="s">
        <v>3592</v>
      </c>
      <c r="AM5" s="1156" t="s">
        <v>3592</v>
      </c>
      <c r="AN5" s="1156" t="s">
        <v>3592</v>
      </c>
      <c r="AO5" s="1156">
        <v>5127.34</v>
      </c>
      <c r="AP5" s="1156">
        <v>1100</v>
      </c>
      <c r="AQ5" s="1156" t="s">
        <v>3601</v>
      </c>
      <c r="AR5" s="1156" t="s">
        <v>3592</v>
      </c>
      <c r="AS5" s="1156">
        <v>0</v>
      </c>
      <c r="AT5" s="1156" t="s">
        <v>3592</v>
      </c>
      <c r="AU5" s="1156" t="s">
        <v>3592</v>
      </c>
      <c r="AV5" s="1156" t="s">
        <v>3592</v>
      </c>
      <c r="AW5" s="1156" t="s">
        <v>3592</v>
      </c>
      <c r="AX5" s="1156" t="s">
        <v>3592</v>
      </c>
      <c r="AY5" s="1156" t="s">
        <v>3592</v>
      </c>
      <c r="AZ5" s="1156" t="s">
        <v>3592</v>
      </c>
      <c r="BA5" s="1156" t="s">
        <v>3611</v>
      </c>
      <c r="BB5" s="1156" t="s">
        <v>3592</v>
      </c>
      <c r="BC5" s="1156" t="s">
        <v>3520</v>
      </c>
      <c r="BD5" s="1156" t="s">
        <v>3592</v>
      </c>
      <c r="BE5" s="1156" t="s">
        <v>3603</v>
      </c>
    </row>
    <row r="6" spans="1:57" s="3532" customFormat="1">
      <c r="A6" s="3532" t="s">
        <v>3618</v>
      </c>
      <c r="B6" s="3525" t="s">
        <v>3419</v>
      </c>
      <c r="C6" s="3532" t="s">
        <v>3585</v>
      </c>
      <c r="D6" s="3532" t="s">
        <v>3619</v>
      </c>
      <c r="E6" s="3532" t="s">
        <v>3620</v>
      </c>
      <c r="F6" s="3532" t="s">
        <v>3621</v>
      </c>
      <c r="G6" s="3532" t="s">
        <v>3622</v>
      </c>
      <c r="H6" s="3532">
        <v>1600</v>
      </c>
      <c r="I6" s="3532">
        <v>1600</v>
      </c>
      <c r="J6" s="3532" t="s">
        <v>3589</v>
      </c>
      <c r="K6" s="3532" t="s">
        <v>3590</v>
      </c>
      <c r="L6" s="3532">
        <v>1</v>
      </c>
      <c r="M6" s="3532" t="s">
        <v>3623</v>
      </c>
      <c r="N6" s="3532">
        <v>269.92</v>
      </c>
      <c r="O6" s="3532">
        <v>1687</v>
      </c>
      <c r="P6" s="3532">
        <v>112.47</v>
      </c>
      <c r="Q6" s="3532">
        <v>1687</v>
      </c>
      <c r="R6" s="3532" t="s">
        <v>3592</v>
      </c>
      <c r="S6" s="3532" t="s">
        <v>3592</v>
      </c>
      <c r="T6" s="3532">
        <v>0</v>
      </c>
      <c r="U6" s="3532">
        <v>0</v>
      </c>
      <c r="V6" s="3532" t="s">
        <v>2479</v>
      </c>
      <c r="W6" s="3532" t="s">
        <v>3624</v>
      </c>
      <c r="X6" s="3532" t="s">
        <v>3625</v>
      </c>
      <c r="Y6" s="3532" t="s">
        <v>3592</v>
      </c>
      <c r="Z6" s="3532" t="s">
        <v>3592</v>
      </c>
      <c r="AA6" s="3532" t="s">
        <v>3592</v>
      </c>
      <c r="AB6" s="3532" t="s">
        <v>3594</v>
      </c>
      <c r="AC6" s="3532" t="s">
        <v>3592</v>
      </c>
      <c r="AD6" s="3532" t="s">
        <v>3592</v>
      </c>
      <c r="AE6" s="3532" t="s">
        <v>3592</v>
      </c>
      <c r="AF6" s="3532" t="s">
        <v>3592</v>
      </c>
      <c r="AG6" s="3532" t="s">
        <v>3592</v>
      </c>
      <c r="AH6" s="3532" t="s">
        <v>3626</v>
      </c>
      <c r="AI6" s="3532" t="s">
        <v>3596</v>
      </c>
      <c r="AJ6" s="3532" t="s">
        <v>3597</v>
      </c>
      <c r="AK6" s="3532" t="s">
        <v>3627</v>
      </c>
      <c r="AL6" s="3532" t="s">
        <v>3627</v>
      </c>
      <c r="AM6" s="3532" t="s">
        <v>3600</v>
      </c>
      <c r="AN6" s="3532" t="s">
        <v>3592</v>
      </c>
      <c r="AO6" s="3532">
        <v>269.92</v>
      </c>
      <c r="AP6" s="3532">
        <v>54</v>
      </c>
      <c r="AQ6" s="3532" t="s">
        <v>3628</v>
      </c>
      <c r="AR6" s="3532" t="s">
        <v>3592</v>
      </c>
      <c r="AS6" s="3532">
        <v>0</v>
      </c>
      <c r="AT6" s="3532" t="s">
        <v>3592</v>
      </c>
      <c r="AU6" s="3532" t="s">
        <v>3592</v>
      </c>
      <c r="AV6" s="3532" t="s">
        <v>3592</v>
      </c>
      <c r="AW6" s="3532" t="s">
        <v>3592</v>
      </c>
      <c r="AX6" s="3532" t="s">
        <v>3592</v>
      </c>
      <c r="AY6" s="3532" t="s">
        <v>3592</v>
      </c>
      <c r="AZ6" s="3532" t="s">
        <v>3592</v>
      </c>
      <c r="BA6" s="3532" t="s">
        <v>3611</v>
      </c>
      <c r="BB6" s="3532" t="s">
        <v>3592</v>
      </c>
      <c r="BC6" s="3532" t="s">
        <v>3520</v>
      </c>
      <c r="BD6" s="3532" t="s">
        <v>3592</v>
      </c>
      <c r="BE6" s="3532" t="s">
        <v>3603</v>
      </c>
    </row>
    <row r="7" spans="1:57" s="3525" customFormat="1">
      <c r="A7" s="3525" t="s">
        <v>3629</v>
      </c>
      <c r="B7" s="3532" t="s">
        <v>3419</v>
      </c>
      <c r="C7" s="3525" t="s">
        <v>3585</v>
      </c>
      <c r="D7" s="3525" t="s">
        <v>3630</v>
      </c>
      <c r="E7" s="3525" t="s">
        <v>3631</v>
      </c>
      <c r="F7" s="3525" t="s">
        <v>3631</v>
      </c>
      <c r="G7" s="3525" t="s">
        <v>3632</v>
      </c>
      <c r="H7" s="3525">
        <v>26400</v>
      </c>
      <c r="I7" s="3525">
        <v>39600</v>
      </c>
      <c r="J7" s="3525" t="s">
        <v>3589</v>
      </c>
      <c r="K7" s="3525" t="s">
        <v>3590</v>
      </c>
      <c r="L7" s="3525">
        <v>1.5</v>
      </c>
      <c r="M7" s="3525" t="s">
        <v>3633</v>
      </c>
      <c r="N7" s="3525">
        <v>4862.88</v>
      </c>
      <c r="O7" s="3525">
        <v>1842</v>
      </c>
      <c r="P7" s="3525">
        <v>122.8</v>
      </c>
      <c r="Q7" s="3525">
        <v>1228</v>
      </c>
      <c r="R7" s="3525" t="s">
        <v>3592</v>
      </c>
      <c r="S7" s="3525" t="s">
        <v>3592</v>
      </c>
      <c r="T7" s="3525">
        <v>0</v>
      </c>
      <c r="U7" s="3525">
        <v>0</v>
      </c>
      <c r="V7" s="3525" t="s">
        <v>2479</v>
      </c>
      <c r="W7" s="3525" t="s">
        <v>3589</v>
      </c>
      <c r="X7" s="3525" t="s">
        <v>3634</v>
      </c>
      <c r="Y7" s="3525" t="s">
        <v>3592</v>
      </c>
      <c r="Z7" s="3525" t="s">
        <v>3592</v>
      </c>
      <c r="AA7" s="3525" t="s">
        <v>3592</v>
      </c>
      <c r="AB7" s="3525" t="s">
        <v>3594</v>
      </c>
      <c r="AC7" s="3525" t="s">
        <v>3592</v>
      </c>
      <c r="AD7" s="3525" t="s">
        <v>3592</v>
      </c>
      <c r="AE7" s="3525" t="s">
        <v>3592</v>
      </c>
      <c r="AF7" s="3525" t="s">
        <v>3592</v>
      </c>
      <c r="AG7" s="3525" t="s">
        <v>3592</v>
      </c>
      <c r="AH7" s="3525" t="s">
        <v>3626</v>
      </c>
      <c r="AI7" s="3525" t="s">
        <v>3596</v>
      </c>
      <c r="AJ7" s="3525" t="s">
        <v>3597</v>
      </c>
      <c r="AK7" s="3525" t="s">
        <v>3635</v>
      </c>
      <c r="AL7" s="3525" t="s">
        <v>3636</v>
      </c>
      <c r="AM7" s="3525" t="s">
        <v>3600</v>
      </c>
      <c r="AN7" s="3525" t="s">
        <v>3592</v>
      </c>
      <c r="AO7" s="3525">
        <v>4862.88</v>
      </c>
      <c r="AP7" s="3525">
        <v>980</v>
      </c>
      <c r="AQ7" s="3525" t="s">
        <v>3628</v>
      </c>
      <c r="AR7" s="3525" t="s">
        <v>3592</v>
      </c>
      <c r="AS7" s="3525">
        <v>0</v>
      </c>
      <c r="AT7" s="3525" t="s">
        <v>3592</v>
      </c>
      <c r="AU7" s="3525" t="s">
        <v>3592</v>
      </c>
      <c r="AV7" s="3525" t="s">
        <v>3592</v>
      </c>
      <c r="AW7" s="3525" t="s">
        <v>3592</v>
      </c>
      <c r="AX7" s="3525" t="s">
        <v>3592</v>
      </c>
      <c r="AY7" s="3525" t="s">
        <v>3592</v>
      </c>
      <c r="AZ7" s="3525" t="s">
        <v>3592</v>
      </c>
      <c r="BA7" s="3525" t="s">
        <v>3637</v>
      </c>
      <c r="BB7" s="3525" t="s">
        <v>3592</v>
      </c>
      <c r="BC7" s="3525" t="s">
        <v>3520</v>
      </c>
      <c r="BD7" s="3525" t="s">
        <v>3592</v>
      </c>
      <c r="BE7" s="3525" t="s">
        <v>3603</v>
      </c>
    </row>
    <row r="8" spans="1:57" s="3525" customFormat="1">
      <c r="A8" s="3525" t="s">
        <v>3638</v>
      </c>
      <c r="B8" s="3532" t="s">
        <v>3419</v>
      </c>
      <c r="C8" s="3525" t="s">
        <v>3585</v>
      </c>
      <c r="D8" s="3525" t="s">
        <v>3639</v>
      </c>
      <c r="E8" s="3525" t="s">
        <v>3640</v>
      </c>
      <c r="F8" s="3525" t="s">
        <v>3640</v>
      </c>
      <c r="G8" s="3525" t="s">
        <v>3641</v>
      </c>
      <c r="H8" s="3525">
        <v>19286.59</v>
      </c>
      <c r="I8" s="3525">
        <v>38573.18</v>
      </c>
      <c r="J8" s="3525" t="s">
        <v>3589</v>
      </c>
      <c r="K8" s="3525" t="s">
        <v>3590</v>
      </c>
      <c r="L8" s="3525">
        <v>2</v>
      </c>
      <c r="M8" s="3525" t="s">
        <v>3642</v>
      </c>
      <c r="N8" s="3525">
        <v>5523.68</v>
      </c>
      <c r="O8" s="3525">
        <v>2864</v>
      </c>
      <c r="P8" s="3525">
        <v>190.93</v>
      </c>
      <c r="Q8" s="3525">
        <v>1432</v>
      </c>
      <c r="R8" s="3525" t="s">
        <v>3592</v>
      </c>
      <c r="S8" s="3525" t="s">
        <v>3592</v>
      </c>
      <c r="T8" s="3525">
        <v>0</v>
      </c>
      <c r="U8" s="3525">
        <v>0</v>
      </c>
      <c r="V8" s="3525" t="s">
        <v>2479</v>
      </c>
      <c r="W8" s="3525" t="s">
        <v>3589</v>
      </c>
      <c r="X8" s="3525" t="s">
        <v>3609</v>
      </c>
      <c r="Y8" s="3525" t="s">
        <v>3592</v>
      </c>
      <c r="Z8" s="3525" t="s">
        <v>3592</v>
      </c>
      <c r="AA8" s="3525" t="s">
        <v>3643</v>
      </c>
      <c r="AB8" s="3525" t="s">
        <v>3594</v>
      </c>
      <c r="AC8" s="3525" t="s">
        <v>3592</v>
      </c>
      <c r="AD8" s="3525" t="s">
        <v>3592</v>
      </c>
      <c r="AE8" s="3525" t="s">
        <v>3592</v>
      </c>
      <c r="AF8" s="3525" t="s">
        <v>3592</v>
      </c>
      <c r="AG8" s="3525" t="s">
        <v>3592</v>
      </c>
      <c r="AH8" s="3525" t="s">
        <v>3644</v>
      </c>
      <c r="AI8" s="3525" t="s">
        <v>3596</v>
      </c>
      <c r="AJ8" s="3525" t="s">
        <v>3597</v>
      </c>
      <c r="AK8" s="3525" t="s">
        <v>3645</v>
      </c>
      <c r="AL8" s="3525" t="s">
        <v>3645</v>
      </c>
      <c r="AM8" s="3525" t="s">
        <v>3600</v>
      </c>
      <c r="AN8" s="3525" t="s">
        <v>3592</v>
      </c>
      <c r="AO8" s="3525">
        <v>5523.68</v>
      </c>
      <c r="AP8" s="3525">
        <v>1110</v>
      </c>
      <c r="AQ8" s="3525" t="s">
        <v>3592</v>
      </c>
      <c r="AR8" s="3525" t="s">
        <v>3592</v>
      </c>
      <c r="AS8" s="3525">
        <v>0</v>
      </c>
      <c r="AT8" s="3525" t="s">
        <v>3592</v>
      </c>
      <c r="AU8" s="3525" t="s">
        <v>3592</v>
      </c>
      <c r="AV8" s="3525" t="s">
        <v>3592</v>
      </c>
      <c r="AW8" s="3525" t="s">
        <v>3592</v>
      </c>
      <c r="AX8" s="3525" t="s">
        <v>3592</v>
      </c>
      <c r="AY8" s="3525" t="s">
        <v>3592</v>
      </c>
      <c r="AZ8" s="3525" t="s">
        <v>3592</v>
      </c>
      <c r="BA8" s="3525" t="s">
        <v>3646</v>
      </c>
      <c r="BB8" s="3525" t="s">
        <v>3592</v>
      </c>
      <c r="BC8" s="3525" t="s">
        <v>3520</v>
      </c>
      <c r="BD8" s="3525" t="s">
        <v>3592</v>
      </c>
      <c r="BE8" s="3525" t="s">
        <v>3603</v>
      </c>
    </row>
    <row r="9" spans="1:57">
      <c r="A9" s="1156" t="s">
        <v>3647</v>
      </c>
      <c r="B9" s="1156" t="s">
        <v>3419</v>
      </c>
      <c r="C9" s="1156" t="s">
        <v>3648</v>
      </c>
      <c r="D9" s="1156" t="s">
        <v>3649</v>
      </c>
      <c r="E9" s="1156" t="s">
        <v>3650</v>
      </c>
      <c r="F9" s="1156" t="s">
        <v>3650</v>
      </c>
      <c r="G9" s="1156" t="s">
        <v>3651</v>
      </c>
      <c r="H9" s="1156">
        <v>42679.99</v>
      </c>
      <c r="I9" s="1156">
        <v>74700</v>
      </c>
      <c r="J9" s="1156" t="s">
        <v>3589</v>
      </c>
      <c r="K9" s="1156" t="s">
        <v>3590</v>
      </c>
      <c r="L9" s="1156">
        <v>1.75</v>
      </c>
      <c r="M9" s="1156" t="s">
        <v>3652</v>
      </c>
      <c r="N9" s="1156">
        <v>10523.41</v>
      </c>
      <c r="O9" s="1156">
        <v>2465.65</v>
      </c>
      <c r="P9" s="1156">
        <v>164.38</v>
      </c>
      <c r="Q9" s="1156">
        <v>1409</v>
      </c>
      <c r="R9" s="1156" t="s">
        <v>3592</v>
      </c>
      <c r="S9" s="1156" t="s">
        <v>3592</v>
      </c>
      <c r="T9" s="1156">
        <v>0</v>
      </c>
      <c r="U9" s="1156">
        <v>0</v>
      </c>
      <c r="V9" s="1156" t="s">
        <v>2479</v>
      </c>
      <c r="W9" s="1156" t="s">
        <v>3589</v>
      </c>
      <c r="X9" s="1156" t="s">
        <v>3653</v>
      </c>
      <c r="Y9" s="1156" t="s">
        <v>3592</v>
      </c>
      <c r="Z9" s="1156" t="s">
        <v>3592</v>
      </c>
      <c r="AA9" s="1156" t="s">
        <v>3592</v>
      </c>
      <c r="AB9" s="1156" t="s">
        <v>3594</v>
      </c>
      <c r="AC9" s="1156" t="s">
        <v>3592</v>
      </c>
      <c r="AD9" s="1156" t="s">
        <v>3592</v>
      </c>
      <c r="AE9" s="1156" t="s">
        <v>3592</v>
      </c>
      <c r="AF9" s="1156" t="s">
        <v>3592</v>
      </c>
      <c r="AG9" s="1156" t="s">
        <v>3592</v>
      </c>
      <c r="AH9" s="1156" t="s">
        <v>3654</v>
      </c>
      <c r="AI9" s="1156" t="s">
        <v>3596</v>
      </c>
      <c r="AJ9" s="1156" t="s">
        <v>3597</v>
      </c>
      <c r="AK9" s="1156" t="s">
        <v>3655</v>
      </c>
      <c r="AL9" s="1156" t="s">
        <v>3656</v>
      </c>
      <c r="AM9" s="1156" t="s">
        <v>3657</v>
      </c>
      <c r="AN9" s="1156" t="s">
        <v>3592</v>
      </c>
      <c r="AO9" s="1156">
        <v>10523.41</v>
      </c>
      <c r="AP9" s="1156">
        <v>2200</v>
      </c>
      <c r="AQ9" s="1156" t="s">
        <v>3658</v>
      </c>
      <c r="AR9" s="1156" t="s">
        <v>3592</v>
      </c>
      <c r="AS9" s="1156">
        <v>0</v>
      </c>
      <c r="AT9" s="1156" t="s">
        <v>3592</v>
      </c>
      <c r="AU9" s="1156" t="s">
        <v>3592</v>
      </c>
      <c r="AV9" s="1156" t="s">
        <v>3592</v>
      </c>
      <c r="AW9" s="1156" t="s">
        <v>3592</v>
      </c>
      <c r="AX9" s="1156" t="s">
        <v>3592</v>
      </c>
      <c r="AY9" s="1156" t="s">
        <v>3592</v>
      </c>
      <c r="AZ9" s="1156" t="s">
        <v>3592</v>
      </c>
      <c r="BA9" s="1156" t="s">
        <v>3602</v>
      </c>
      <c r="BB9" s="1156" t="s">
        <v>3592</v>
      </c>
      <c r="BC9" s="1156" t="s">
        <v>3520</v>
      </c>
      <c r="BD9" s="1156" t="s">
        <v>3592</v>
      </c>
      <c r="BE9" s="1156" t="s">
        <v>3603</v>
      </c>
    </row>
    <row r="10" spans="1:57">
      <c r="A10" s="1156" t="s">
        <v>3659</v>
      </c>
      <c r="B10" s="1156" t="s">
        <v>3419</v>
      </c>
      <c r="C10" s="1156" t="s">
        <v>3648</v>
      </c>
      <c r="D10" s="1156" t="s">
        <v>3649</v>
      </c>
      <c r="E10" s="1156" t="s">
        <v>3660</v>
      </c>
      <c r="F10" s="1156" t="s">
        <v>3660</v>
      </c>
      <c r="G10" s="1156" t="s">
        <v>3651</v>
      </c>
      <c r="H10" s="1156">
        <v>41859.949999999997</v>
      </c>
      <c r="I10" s="1156">
        <v>56511</v>
      </c>
      <c r="J10" s="1156" t="s">
        <v>3589</v>
      </c>
      <c r="K10" s="1156" t="s">
        <v>3590</v>
      </c>
      <c r="L10" s="1156">
        <v>1.35</v>
      </c>
      <c r="M10" s="1156" t="s">
        <v>3661</v>
      </c>
      <c r="N10" s="1156">
        <v>10360.34</v>
      </c>
      <c r="O10" s="1156">
        <v>2475</v>
      </c>
      <c r="P10" s="1156">
        <v>165</v>
      </c>
      <c r="Q10" s="1156">
        <v>1833</v>
      </c>
      <c r="R10" s="1156" t="s">
        <v>3592</v>
      </c>
      <c r="S10" s="1156" t="s">
        <v>3592</v>
      </c>
      <c r="T10" s="1156">
        <v>0</v>
      </c>
      <c r="U10" s="1156">
        <v>0</v>
      </c>
      <c r="V10" s="1156" t="s">
        <v>2479</v>
      </c>
      <c r="W10" s="1156" t="s">
        <v>3589</v>
      </c>
      <c r="X10" s="1156" t="s">
        <v>3662</v>
      </c>
      <c r="Y10" s="1156" t="s">
        <v>3592</v>
      </c>
      <c r="Z10" s="1156" t="s">
        <v>3592</v>
      </c>
      <c r="AA10" s="1156" t="s">
        <v>3592</v>
      </c>
      <c r="AB10" s="1156" t="s">
        <v>3594</v>
      </c>
      <c r="AC10" s="1156" t="s">
        <v>3592</v>
      </c>
      <c r="AD10" s="1156" t="s">
        <v>3592</v>
      </c>
      <c r="AE10" s="1156" t="s">
        <v>3592</v>
      </c>
      <c r="AF10" s="1156" t="s">
        <v>3592</v>
      </c>
      <c r="AG10" s="1156" t="s">
        <v>3592</v>
      </c>
      <c r="AH10" s="1156" t="s">
        <v>3663</v>
      </c>
      <c r="AI10" s="1156" t="s">
        <v>3596</v>
      </c>
      <c r="AJ10" s="1156" t="s">
        <v>3597</v>
      </c>
      <c r="AK10" s="1156" t="s">
        <v>3664</v>
      </c>
      <c r="AL10" s="1156" t="s">
        <v>3664</v>
      </c>
      <c r="AM10" s="1156" t="s">
        <v>3600</v>
      </c>
      <c r="AN10" s="1156" t="s">
        <v>3592</v>
      </c>
      <c r="AO10" s="1156">
        <v>10360.34</v>
      </c>
      <c r="AP10" s="1156">
        <v>2100</v>
      </c>
      <c r="AQ10" s="1156" t="s">
        <v>3665</v>
      </c>
      <c r="AR10" s="1156" t="s">
        <v>3592</v>
      </c>
      <c r="AS10" s="1156">
        <v>0</v>
      </c>
      <c r="AT10" s="1156" t="s">
        <v>3592</v>
      </c>
      <c r="AU10" s="1156" t="s">
        <v>3592</v>
      </c>
      <c r="AV10" s="1156" t="s">
        <v>3592</v>
      </c>
      <c r="AW10" s="1156" t="s">
        <v>3592</v>
      </c>
      <c r="AX10" s="1156" t="s">
        <v>3592</v>
      </c>
      <c r="AY10" s="1156" t="s">
        <v>3592</v>
      </c>
      <c r="AZ10" s="1156" t="s">
        <v>3592</v>
      </c>
      <c r="BA10" s="1156" t="s">
        <v>3602</v>
      </c>
      <c r="BB10" s="1156" t="s">
        <v>3592</v>
      </c>
      <c r="BC10" s="1156" t="s">
        <v>3520</v>
      </c>
      <c r="BD10" s="1156" t="s">
        <v>3592</v>
      </c>
      <c r="BE10" s="1156" t="s">
        <v>3603</v>
      </c>
    </row>
    <row r="11" spans="1:57">
      <c r="A11" s="1156" t="s">
        <v>3666</v>
      </c>
      <c r="B11" s="1156" t="s">
        <v>3419</v>
      </c>
      <c r="C11" s="1156" t="s">
        <v>3585</v>
      </c>
      <c r="D11" s="1156" t="s">
        <v>3639</v>
      </c>
      <c r="E11" s="1156" t="s">
        <v>3667</v>
      </c>
      <c r="F11" s="1156" t="s">
        <v>3667</v>
      </c>
      <c r="G11" s="1156" t="s">
        <v>3641</v>
      </c>
      <c r="H11" s="1156">
        <v>22739.93</v>
      </c>
      <c r="I11" s="1156">
        <v>45479.85</v>
      </c>
      <c r="J11" s="1156" t="s">
        <v>3589</v>
      </c>
      <c r="K11" s="1156" t="s">
        <v>3590</v>
      </c>
      <c r="L11" s="1156">
        <v>2</v>
      </c>
      <c r="M11" s="1156" t="s">
        <v>3668</v>
      </c>
      <c r="N11" s="1156">
        <v>6512.71</v>
      </c>
      <c r="O11" s="1156">
        <v>2863.99</v>
      </c>
      <c r="P11" s="1156">
        <v>190.93</v>
      </c>
      <c r="Q11" s="1156">
        <v>1432</v>
      </c>
      <c r="R11" s="1156" t="s">
        <v>3592</v>
      </c>
      <c r="S11" s="1156" t="s">
        <v>3592</v>
      </c>
      <c r="T11" s="1156">
        <v>0</v>
      </c>
      <c r="U11" s="1156">
        <v>0</v>
      </c>
      <c r="V11" s="1156" t="s">
        <v>2479</v>
      </c>
      <c r="W11" s="1156" t="s">
        <v>3589</v>
      </c>
      <c r="X11" s="1156" t="s">
        <v>3609</v>
      </c>
      <c r="Y11" s="1156" t="s">
        <v>3592</v>
      </c>
      <c r="Z11" s="1156" t="s">
        <v>3592</v>
      </c>
      <c r="AA11" s="1156" t="s">
        <v>3643</v>
      </c>
      <c r="AB11" s="1156" t="s">
        <v>3594</v>
      </c>
      <c r="AC11" s="1156" t="s">
        <v>3592</v>
      </c>
      <c r="AD11" s="1156" t="s">
        <v>3592</v>
      </c>
      <c r="AE11" s="1156" t="s">
        <v>3592</v>
      </c>
      <c r="AF11" s="1156" t="s">
        <v>3592</v>
      </c>
      <c r="AG11" s="1156" t="s">
        <v>3592</v>
      </c>
      <c r="AH11" s="1156" t="s">
        <v>3669</v>
      </c>
      <c r="AI11" s="1156" t="s">
        <v>3596</v>
      </c>
      <c r="AJ11" s="1156" t="s">
        <v>3597</v>
      </c>
      <c r="AK11" s="1156" t="s">
        <v>3670</v>
      </c>
      <c r="AL11" s="1156" t="s">
        <v>3592</v>
      </c>
      <c r="AM11" s="1156" t="s">
        <v>3592</v>
      </c>
      <c r="AN11" s="1156" t="s">
        <v>3592</v>
      </c>
      <c r="AO11" s="1156">
        <v>6512.71</v>
      </c>
      <c r="AP11" s="1156">
        <v>1400</v>
      </c>
      <c r="AQ11" s="1156" t="s">
        <v>3671</v>
      </c>
      <c r="AR11" s="1156" t="s">
        <v>3592</v>
      </c>
      <c r="AS11" s="1156">
        <v>0</v>
      </c>
      <c r="AT11" s="1156" t="s">
        <v>3592</v>
      </c>
      <c r="AU11" s="1156" t="s">
        <v>3592</v>
      </c>
      <c r="AV11" s="1156" t="s">
        <v>3592</v>
      </c>
      <c r="AW11" s="1156" t="s">
        <v>3592</v>
      </c>
      <c r="AX11" s="1156" t="s">
        <v>3592</v>
      </c>
      <c r="AY11" s="1156" t="s">
        <v>3592</v>
      </c>
      <c r="AZ11" s="1156" t="s">
        <v>3592</v>
      </c>
      <c r="BA11" s="1156" t="s">
        <v>3646</v>
      </c>
      <c r="BB11" s="1156" t="s">
        <v>3592</v>
      </c>
      <c r="BC11" s="1156" t="s">
        <v>3520</v>
      </c>
      <c r="BD11" s="1156" t="s">
        <v>3592</v>
      </c>
      <c r="BE11" s="1156" t="s">
        <v>3603</v>
      </c>
    </row>
    <row r="12" spans="1:57" s="3532" customFormat="1">
      <c r="A12" s="3532" t="s">
        <v>3672</v>
      </c>
      <c r="B12" s="3525" t="s">
        <v>3419</v>
      </c>
      <c r="C12" s="3532" t="s">
        <v>3585</v>
      </c>
      <c r="D12" s="3532" t="s">
        <v>3619</v>
      </c>
      <c r="E12" s="3532" t="s">
        <v>3673</v>
      </c>
      <c r="F12" s="3532" t="s">
        <v>3673</v>
      </c>
      <c r="G12" s="3532" t="s">
        <v>3622</v>
      </c>
      <c r="H12" s="3532">
        <v>18400</v>
      </c>
      <c r="I12" s="3532">
        <v>18400</v>
      </c>
      <c r="J12" s="3532" t="s">
        <v>3589</v>
      </c>
      <c r="K12" s="3532" t="s">
        <v>3590</v>
      </c>
      <c r="L12" s="3532">
        <v>1</v>
      </c>
      <c r="M12" s="3532" t="s">
        <v>3668</v>
      </c>
      <c r="N12" s="3532">
        <v>3098.56</v>
      </c>
      <c r="O12" s="3532">
        <v>1684</v>
      </c>
      <c r="P12" s="3532">
        <v>112.27</v>
      </c>
      <c r="Q12" s="3532">
        <v>1684</v>
      </c>
      <c r="R12" s="3532" t="s">
        <v>3592</v>
      </c>
      <c r="S12" s="3532" t="s">
        <v>3592</v>
      </c>
      <c r="T12" s="3532">
        <v>0</v>
      </c>
      <c r="U12" s="3532">
        <v>0</v>
      </c>
      <c r="V12" s="3532" t="s">
        <v>2479</v>
      </c>
      <c r="W12" s="3532" t="s">
        <v>3589</v>
      </c>
      <c r="X12" s="3532" t="s">
        <v>3674</v>
      </c>
      <c r="Y12" s="3532" t="s">
        <v>3592</v>
      </c>
      <c r="Z12" s="3532" t="s">
        <v>3592</v>
      </c>
      <c r="AA12" s="3532" t="s">
        <v>3675</v>
      </c>
      <c r="AB12" s="3532" t="s">
        <v>3594</v>
      </c>
      <c r="AC12" s="3532" t="s">
        <v>3592</v>
      </c>
      <c r="AD12" s="3532" t="s">
        <v>3592</v>
      </c>
      <c r="AE12" s="3532" t="s">
        <v>3592</v>
      </c>
      <c r="AF12" s="3532" t="s">
        <v>3592</v>
      </c>
      <c r="AG12" s="3532" t="s">
        <v>3592</v>
      </c>
      <c r="AH12" s="3532" t="s">
        <v>3669</v>
      </c>
      <c r="AI12" s="3532" t="s">
        <v>3596</v>
      </c>
      <c r="AJ12" s="3532" t="s">
        <v>3597</v>
      </c>
      <c r="AK12" s="3532" t="s">
        <v>3627</v>
      </c>
      <c r="AL12" s="3532" t="s">
        <v>3627</v>
      </c>
      <c r="AM12" s="3532" t="s">
        <v>3600</v>
      </c>
      <c r="AN12" s="3532" t="s">
        <v>3592</v>
      </c>
      <c r="AO12" s="3532">
        <v>3098.56</v>
      </c>
      <c r="AP12" s="3532">
        <v>620</v>
      </c>
      <c r="AQ12" s="3532" t="s">
        <v>3671</v>
      </c>
      <c r="AR12" s="3532" t="s">
        <v>3592</v>
      </c>
      <c r="AS12" s="3532">
        <v>0</v>
      </c>
      <c r="AT12" s="3532" t="s">
        <v>3592</v>
      </c>
      <c r="AU12" s="3532" t="s">
        <v>3592</v>
      </c>
      <c r="AV12" s="3532" t="s">
        <v>3592</v>
      </c>
      <c r="AW12" s="3532" t="s">
        <v>3592</v>
      </c>
      <c r="AX12" s="3532" t="s">
        <v>3592</v>
      </c>
      <c r="AY12" s="3532" t="s">
        <v>3592</v>
      </c>
      <c r="AZ12" s="3532" t="s">
        <v>3592</v>
      </c>
      <c r="BA12" s="3532" t="s">
        <v>3611</v>
      </c>
      <c r="BB12" s="3532" t="s">
        <v>3592</v>
      </c>
      <c r="BC12" s="3532" t="s">
        <v>3520</v>
      </c>
      <c r="BD12" s="3532" t="s">
        <v>3592</v>
      </c>
      <c r="BE12" s="3532" t="s">
        <v>3603</v>
      </c>
    </row>
    <row r="13" spans="1:57">
      <c r="A13" s="1156" t="s">
        <v>3676</v>
      </c>
      <c r="B13" s="1156" t="s">
        <v>3419</v>
      </c>
      <c r="C13" s="1156" t="s">
        <v>3585</v>
      </c>
      <c r="D13" s="1156" t="s">
        <v>3639</v>
      </c>
      <c r="E13" s="1156" t="s">
        <v>3677</v>
      </c>
      <c r="F13" s="1156" t="s">
        <v>3677</v>
      </c>
      <c r="G13" s="1156" t="s">
        <v>3641</v>
      </c>
      <c r="H13" s="1156">
        <v>32709.17</v>
      </c>
      <c r="I13" s="1156">
        <v>65418.33</v>
      </c>
      <c r="J13" s="1156" t="s">
        <v>3589</v>
      </c>
      <c r="K13" s="1156" t="s">
        <v>3590</v>
      </c>
      <c r="L13" s="1156">
        <v>2</v>
      </c>
      <c r="M13" s="1156" t="s">
        <v>3678</v>
      </c>
      <c r="N13" s="1156">
        <v>9367.91</v>
      </c>
      <c r="O13" s="1156">
        <v>2864</v>
      </c>
      <c r="P13" s="1156">
        <v>190.93</v>
      </c>
      <c r="Q13" s="1156">
        <v>1432</v>
      </c>
      <c r="R13" s="1156" t="s">
        <v>3592</v>
      </c>
      <c r="S13" s="1156" t="s">
        <v>3592</v>
      </c>
      <c r="T13" s="1156">
        <v>0</v>
      </c>
      <c r="U13" s="1156">
        <v>0</v>
      </c>
      <c r="V13" s="1156" t="s">
        <v>2479</v>
      </c>
      <c r="W13" s="1156" t="s">
        <v>3589</v>
      </c>
      <c r="X13" s="1156" t="s">
        <v>3679</v>
      </c>
      <c r="Y13" s="1156" t="s">
        <v>3592</v>
      </c>
      <c r="Z13" s="1156" t="s">
        <v>3592</v>
      </c>
      <c r="AA13" s="1156" t="s">
        <v>3592</v>
      </c>
      <c r="AB13" s="1156" t="s">
        <v>3594</v>
      </c>
      <c r="AC13" s="1156" t="s">
        <v>3592</v>
      </c>
      <c r="AD13" s="1156" t="s">
        <v>3592</v>
      </c>
      <c r="AE13" s="1156" t="s">
        <v>3592</v>
      </c>
      <c r="AF13" s="1156" t="s">
        <v>3592</v>
      </c>
      <c r="AG13" s="1156" t="s">
        <v>3592</v>
      </c>
      <c r="AH13" s="1156" t="s">
        <v>3680</v>
      </c>
      <c r="AI13" s="1156" t="s">
        <v>3596</v>
      </c>
      <c r="AJ13" s="1156" t="s">
        <v>3597</v>
      </c>
      <c r="AK13" s="1156" t="s">
        <v>3681</v>
      </c>
      <c r="AL13" s="1156" t="s">
        <v>3681</v>
      </c>
      <c r="AM13" s="1156" t="s">
        <v>3600</v>
      </c>
      <c r="AN13" s="1156" t="s">
        <v>3592</v>
      </c>
      <c r="AO13" s="1156">
        <v>9367.91</v>
      </c>
      <c r="AP13" s="1156">
        <v>1800</v>
      </c>
      <c r="AQ13" s="1156" t="s">
        <v>3682</v>
      </c>
      <c r="AR13" s="1156" t="s">
        <v>3592</v>
      </c>
      <c r="AS13" s="1156">
        <v>0</v>
      </c>
      <c r="AT13" s="1156" t="s">
        <v>3592</v>
      </c>
      <c r="AU13" s="1156" t="s">
        <v>3592</v>
      </c>
      <c r="AV13" s="1156" t="s">
        <v>3592</v>
      </c>
      <c r="AW13" s="1156" t="s">
        <v>3592</v>
      </c>
      <c r="AX13" s="1156" t="s">
        <v>3592</v>
      </c>
      <c r="AY13" s="1156" t="s">
        <v>3592</v>
      </c>
      <c r="AZ13" s="1156" t="s">
        <v>3592</v>
      </c>
      <c r="BA13" s="1156" t="s">
        <v>3646</v>
      </c>
      <c r="BB13" s="1156" t="s">
        <v>3592</v>
      </c>
      <c r="BC13" s="1156" t="s">
        <v>3520</v>
      </c>
      <c r="BD13" s="1156" t="s">
        <v>3592</v>
      </c>
      <c r="BE13" s="1156" t="s">
        <v>3603</v>
      </c>
    </row>
    <row r="14" spans="1:57">
      <c r="A14" s="1156" t="s">
        <v>3683</v>
      </c>
      <c r="B14" s="1156" t="s">
        <v>3419</v>
      </c>
      <c r="C14" s="1156" t="s">
        <v>3648</v>
      </c>
      <c r="D14" s="1156" t="s">
        <v>3649</v>
      </c>
      <c r="E14" s="1156" t="s">
        <v>3684</v>
      </c>
      <c r="F14" s="1156" t="s">
        <v>3684</v>
      </c>
      <c r="G14" s="1156" t="s">
        <v>3651</v>
      </c>
      <c r="H14" s="1156">
        <v>54070.13</v>
      </c>
      <c r="I14" s="1156">
        <v>102800</v>
      </c>
      <c r="J14" s="1156" t="s">
        <v>3589</v>
      </c>
      <c r="K14" s="1156" t="s">
        <v>3590</v>
      </c>
      <c r="L14" s="1156">
        <v>1.9</v>
      </c>
      <c r="M14" s="1156" t="s">
        <v>3685</v>
      </c>
      <c r="N14" s="1156">
        <v>14259.12</v>
      </c>
      <c r="O14" s="1156">
        <v>2637.15</v>
      </c>
      <c r="P14" s="1156">
        <v>175.81</v>
      </c>
      <c r="Q14" s="1156">
        <v>1387</v>
      </c>
      <c r="R14" s="1156" t="s">
        <v>3592</v>
      </c>
      <c r="S14" s="1156" t="s">
        <v>3592</v>
      </c>
      <c r="T14" s="1156">
        <v>0</v>
      </c>
      <c r="U14" s="1156">
        <v>0</v>
      </c>
      <c r="V14" s="1156" t="s">
        <v>2479</v>
      </c>
      <c r="W14" s="1156" t="s">
        <v>3589</v>
      </c>
      <c r="X14" s="1156" t="s">
        <v>3686</v>
      </c>
      <c r="Y14" s="1156" t="s">
        <v>3592</v>
      </c>
      <c r="Z14" s="1156" t="s">
        <v>3592</v>
      </c>
      <c r="AA14" s="1156" t="s">
        <v>3592</v>
      </c>
      <c r="AB14" s="1156" t="s">
        <v>3594</v>
      </c>
      <c r="AC14" s="1156" t="s">
        <v>3592</v>
      </c>
      <c r="AD14" s="1156" t="s">
        <v>3592</v>
      </c>
      <c r="AE14" s="1156" t="s">
        <v>3592</v>
      </c>
      <c r="AF14" s="1156" t="s">
        <v>3592</v>
      </c>
      <c r="AG14" s="1156" t="s">
        <v>3592</v>
      </c>
      <c r="AH14" s="1156" t="s">
        <v>3687</v>
      </c>
      <c r="AI14" s="1156" t="s">
        <v>3596</v>
      </c>
      <c r="AJ14" s="1156" t="s">
        <v>3597</v>
      </c>
      <c r="AK14" s="1156" t="s">
        <v>3688</v>
      </c>
      <c r="AL14" s="1156" t="s">
        <v>3688</v>
      </c>
      <c r="AM14" s="1156" t="s">
        <v>3689</v>
      </c>
      <c r="AN14" s="1156" t="s">
        <v>3592</v>
      </c>
      <c r="AO14" s="1156">
        <v>14259.12</v>
      </c>
      <c r="AP14" s="1156">
        <v>2900</v>
      </c>
      <c r="AQ14" s="1156" t="s">
        <v>3690</v>
      </c>
      <c r="AR14" s="1156" t="s">
        <v>3592</v>
      </c>
      <c r="AS14" s="1156">
        <v>0</v>
      </c>
      <c r="AT14" s="1156" t="s">
        <v>3592</v>
      </c>
      <c r="AU14" s="1156" t="s">
        <v>3592</v>
      </c>
      <c r="AV14" s="1156" t="s">
        <v>3592</v>
      </c>
      <c r="AW14" s="1156" t="s">
        <v>3592</v>
      </c>
      <c r="AX14" s="1156" t="s">
        <v>3592</v>
      </c>
      <c r="AY14" s="1156" t="s">
        <v>3592</v>
      </c>
      <c r="AZ14" s="1156" t="s">
        <v>3592</v>
      </c>
      <c r="BA14" s="1156" t="s">
        <v>3602</v>
      </c>
      <c r="BB14" s="1156" t="s">
        <v>3592</v>
      </c>
      <c r="BC14" s="1156" t="s">
        <v>3520</v>
      </c>
      <c r="BD14" s="1156" t="s">
        <v>3592</v>
      </c>
      <c r="BE14" s="1156" t="s">
        <v>3603</v>
      </c>
    </row>
    <row r="15" spans="1:57">
      <c r="A15" s="1156" t="s">
        <v>3691</v>
      </c>
      <c r="B15" s="1156" t="s">
        <v>3419</v>
      </c>
      <c r="C15" s="1156" t="s">
        <v>3692</v>
      </c>
      <c r="D15" s="1156" t="s">
        <v>3693</v>
      </c>
      <c r="E15" s="1156" t="s">
        <v>3694</v>
      </c>
      <c r="F15" s="1156" t="s">
        <v>3694</v>
      </c>
      <c r="G15" s="1156" t="s">
        <v>3695</v>
      </c>
      <c r="H15" s="1156">
        <v>17652.03</v>
      </c>
      <c r="I15" s="1156">
        <v>21182.44</v>
      </c>
      <c r="J15" s="1156" t="s">
        <v>3696</v>
      </c>
      <c r="K15" s="1156" t="s">
        <v>3608</v>
      </c>
      <c r="L15" s="1156">
        <v>1.2</v>
      </c>
      <c r="M15" s="1156" t="s">
        <v>3697</v>
      </c>
      <c r="N15" s="1156">
        <v>4300</v>
      </c>
      <c r="O15" s="1156">
        <v>2435.98</v>
      </c>
      <c r="P15" s="1156">
        <v>162.4</v>
      </c>
      <c r="Q15" s="1156">
        <v>2030</v>
      </c>
      <c r="R15" s="1156" t="s">
        <v>3592</v>
      </c>
      <c r="S15" s="1156" t="s">
        <v>3592</v>
      </c>
      <c r="T15" s="1156">
        <v>0</v>
      </c>
      <c r="U15" s="1156">
        <v>0</v>
      </c>
      <c r="V15" s="1156" t="s">
        <v>2479</v>
      </c>
      <c r="W15" s="1156" t="s">
        <v>3698</v>
      </c>
      <c r="X15" s="1156" t="s">
        <v>3593</v>
      </c>
      <c r="Y15" s="1156" t="s">
        <v>3592</v>
      </c>
      <c r="Z15" s="1156" t="s">
        <v>3592</v>
      </c>
      <c r="AA15" s="1156" t="s">
        <v>3592</v>
      </c>
      <c r="AB15" s="1156" t="s">
        <v>3594</v>
      </c>
      <c r="AC15" s="1156" t="s">
        <v>3592</v>
      </c>
      <c r="AD15" s="1156" t="s">
        <v>3592</v>
      </c>
      <c r="AE15" s="1156" t="s">
        <v>3592</v>
      </c>
      <c r="AF15" s="1156" t="s">
        <v>3592</v>
      </c>
      <c r="AG15" s="1156" t="s">
        <v>3592</v>
      </c>
      <c r="AH15" s="1156" t="s">
        <v>3699</v>
      </c>
      <c r="AI15" s="1156" t="s">
        <v>3596</v>
      </c>
      <c r="AJ15" s="1156" t="s">
        <v>3597</v>
      </c>
      <c r="AK15" s="1156" t="s">
        <v>3700</v>
      </c>
      <c r="AL15" s="1156" t="s">
        <v>3700</v>
      </c>
      <c r="AM15" s="1156" t="s">
        <v>3701</v>
      </c>
      <c r="AN15" s="1156" t="s">
        <v>3592</v>
      </c>
      <c r="AO15" s="1156">
        <v>4300</v>
      </c>
      <c r="AP15" s="1156">
        <v>900</v>
      </c>
      <c r="AQ15" s="1156" t="s">
        <v>3702</v>
      </c>
      <c r="AR15" s="1156" t="s">
        <v>3592</v>
      </c>
      <c r="AS15" s="1156">
        <v>0</v>
      </c>
      <c r="AT15" s="1156" t="s">
        <v>3592</v>
      </c>
      <c r="AU15" s="1156" t="s">
        <v>3592</v>
      </c>
      <c r="AV15" s="1156" t="s">
        <v>3592</v>
      </c>
      <c r="AW15" s="1156" t="s">
        <v>3592</v>
      </c>
      <c r="AX15" s="1156" t="s">
        <v>3592</v>
      </c>
      <c r="AY15" s="1156" t="s">
        <v>3592</v>
      </c>
      <c r="AZ15" s="1156" t="s">
        <v>3592</v>
      </c>
      <c r="BA15" s="1156" t="s">
        <v>3703</v>
      </c>
      <c r="BB15" s="1156" t="s">
        <v>3592</v>
      </c>
      <c r="BC15" s="1156" t="s">
        <v>3520</v>
      </c>
      <c r="BD15" s="1156" t="s">
        <v>3592</v>
      </c>
      <c r="BE15" s="1156" t="s">
        <v>3603</v>
      </c>
    </row>
    <row r="16" spans="1:57">
      <c r="A16" s="1156" t="s">
        <v>3704</v>
      </c>
      <c r="B16" s="1156" t="s">
        <v>3419</v>
      </c>
      <c r="C16" s="1156" t="s">
        <v>3692</v>
      </c>
      <c r="D16" s="1156" t="s">
        <v>3693</v>
      </c>
      <c r="E16" s="1156" t="s">
        <v>3705</v>
      </c>
      <c r="F16" s="1156" t="s">
        <v>3705</v>
      </c>
      <c r="G16" s="1156" t="s">
        <v>3706</v>
      </c>
      <c r="H16" s="1156">
        <v>21316.42</v>
      </c>
      <c r="I16" s="1156">
        <v>25579.71</v>
      </c>
      <c r="J16" s="1156" t="s">
        <v>3696</v>
      </c>
      <c r="K16" s="1156" t="s">
        <v>3608</v>
      </c>
      <c r="L16" s="1156">
        <v>1.2</v>
      </c>
      <c r="M16" s="1156" t="s">
        <v>3697</v>
      </c>
      <c r="N16" s="1156">
        <v>5200</v>
      </c>
      <c r="O16" s="1156">
        <v>2439.4299999999998</v>
      </c>
      <c r="P16" s="1156">
        <v>162.63</v>
      </c>
      <c r="Q16" s="1156">
        <v>2033</v>
      </c>
      <c r="R16" s="1156" t="s">
        <v>3592</v>
      </c>
      <c r="S16" s="1156" t="s">
        <v>3592</v>
      </c>
      <c r="T16" s="1156">
        <v>0</v>
      </c>
      <c r="U16" s="1156">
        <v>0</v>
      </c>
      <c r="V16" s="1156" t="s">
        <v>2479</v>
      </c>
      <c r="W16" s="1156" t="s">
        <v>3698</v>
      </c>
      <c r="X16" s="1156" t="s">
        <v>3593</v>
      </c>
      <c r="Y16" s="1156" t="s">
        <v>3592</v>
      </c>
      <c r="Z16" s="1156" t="s">
        <v>3592</v>
      </c>
      <c r="AA16" s="1156" t="s">
        <v>3592</v>
      </c>
      <c r="AB16" s="1156" t="s">
        <v>3594</v>
      </c>
      <c r="AC16" s="1156" t="s">
        <v>3592</v>
      </c>
      <c r="AD16" s="1156" t="s">
        <v>3592</v>
      </c>
      <c r="AE16" s="1156" t="s">
        <v>3592</v>
      </c>
      <c r="AF16" s="1156" t="s">
        <v>3592</v>
      </c>
      <c r="AG16" s="1156" t="s">
        <v>3592</v>
      </c>
      <c r="AH16" s="1156" t="s">
        <v>3699</v>
      </c>
      <c r="AI16" s="1156" t="s">
        <v>3596</v>
      </c>
      <c r="AJ16" s="1156" t="s">
        <v>3597</v>
      </c>
      <c r="AK16" s="1156" t="s">
        <v>3700</v>
      </c>
      <c r="AL16" s="1156" t="s">
        <v>3700</v>
      </c>
      <c r="AM16" s="1156" t="s">
        <v>3701</v>
      </c>
      <c r="AN16" s="1156" t="s">
        <v>3592</v>
      </c>
      <c r="AO16" s="1156">
        <v>5200</v>
      </c>
      <c r="AP16" s="1156">
        <v>1100</v>
      </c>
      <c r="AQ16" s="1156" t="s">
        <v>3702</v>
      </c>
      <c r="AR16" s="1156" t="s">
        <v>3592</v>
      </c>
      <c r="AS16" s="1156">
        <v>0</v>
      </c>
      <c r="AT16" s="1156" t="s">
        <v>3592</v>
      </c>
      <c r="AU16" s="1156" t="s">
        <v>3592</v>
      </c>
      <c r="AV16" s="1156" t="s">
        <v>3592</v>
      </c>
      <c r="AW16" s="1156" t="s">
        <v>3592</v>
      </c>
      <c r="AX16" s="1156" t="s">
        <v>3592</v>
      </c>
      <c r="AY16" s="1156" t="s">
        <v>3592</v>
      </c>
      <c r="AZ16" s="1156" t="s">
        <v>3592</v>
      </c>
      <c r="BA16" s="1156" t="s">
        <v>3703</v>
      </c>
      <c r="BB16" s="1156" t="s">
        <v>3592</v>
      </c>
      <c r="BC16" s="1156" t="s">
        <v>3520</v>
      </c>
      <c r="BD16" s="1156" t="s">
        <v>3592</v>
      </c>
      <c r="BE16" s="1156" t="s">
        <v>3603</v>
      </c>
    </row>
    <row r="17" spans="1:57">
      <c r="A17" s="1156" t="s">
        <v>3707</v>
      </c>
      <c r="B17" s="1156" t="s">
        <v>3419</v>
      </c>
      <c r="C17" s="1156" t="s">
        <v>3692</v>
      </c>
      <c r="D17" s="1156" t="s">
        <v>3693</v>
      </c>
      <c r="E17" s="1156" t="s">
        <v>3708</v>
      </c>
      <c r="F17" s="1156" t="s">
        <v>3708</v>
      </c>
      <c r="G17" s="1156" t="s">
        <v>3706</v>
      </c>
      <c r="H17" s="1156">
        <v>17446.72</v>
      </c>
      <c r="I17" s="1156">
        <v>26170.09</v>
      </c>
      <c r="J17" s="1156" t="s">
        <v>3696</v>
      </c>
      <c r="K17" s="1156" t="s">
        <v>3709</v>
      </c>
      <c r="L17" s="1156">
        <v>1.5</v>
      </c>
      <c r="M17" s="1156" t="s">
        <v>3697</v>
      </c>
      <c r="N17" s="1156">
        <v>5100</v>
      </c>
      <c r="O17" s="1156">
        <v>2923.18</v>
      </c>
      <c r="P17" s="1156">
        <v>194.88</v>
      </c>
      <c r="Q17" s="1156">
        <v>1949</v>
      </c>
      <c r="R17" s="1156" t="s">
        <v>3592</v>
      </c>
      <c r="S17" s="1156" t="s">
        <v>3592</v>
      </c>
      <c r="T17" s="1156">
        <v>0</v>
      </c>
      <c r="U17" s="1156">
        <v>0</v>
      </c>
      <c r="V17" s="1156" t="s">
        <v>2479</v>
      </c>
      <c r="W17" s="1156" t="s">
        <v>3698</v>
      </c>
      <c r="X17" s="1156" t="s">
        <v>3710</v>
      </c>
      <c r="Y17" s="1156" t="s">
        <v>3592</v>
      </c>
      <c r="Z17" s="1156" t="s">
        <v>3592</v>
      </c>
      <c r="AA17" s="1156" t="s">
        <v>3592</v>
      </c>
      <c r="AB17" s="1156" t="s">
        <v>3594</v>
      </c>
      <c r="AC17" s="1156" t="s">
        <v>3592</v>
      </c>
      <c r="AD17" s="1156" t="s">
        <v>3592</v>
      </c>
      <c r="AE17" s="1156" t="s">
        <v>3592</v>
      </c>
      <c r="AF17" s="1156" t="s">
        <v>3592</v>
      </c>
      <c r="AG17" s="1156" t="s">
        <v>3592</v>
      </c>
      <c r="AH17" s="1156" t="s">
        <v>3699</v>
      </c>
      <c r="AI17" s="1156" t="s">
        <v>3596</v>
      </c>
      <c r="AJ17" s="1156" t="s">
        <v>3597</v>
      </c>
      <c r="AK17" s="1156" t="s">
        <v>3700</v>
      </c>
      <c r="AL17" s="1156" t="s">
        <v>3700</v>
      </c>
      <c r="AM17" s="1156" t="s">
        <v>3701</v>
      </c>
      <c r="AN17" s="1156" t="s">
        <v>3592</v>
      </c>
      <c r="AO17" s="1156">
        <v>5100</v>
      </c>
      <c r="AP17" s="1156">
        <v>1100</v>
      </c>
      <c r="AQ17" s="1156" t="s">
        <v>3702</v>
      </c>
      <c r="AR17" s="1156" t="s">
        <v>3592</v>
      </c>
      <c r="AS17" s="1156">
        <v>0</v>
      </c>
      <c r="AT17" s="1156" t="s">
        <v>3592</v>
      </c>
      <c r="AU17" s="1156" t="s">
        <v>3592</v>
      </c>
      <c r="AV17" s="1156" t="s">
        <v>3592</v>
      </c>
      <c r="AW17" s="1156" t="s">
        <v>3592</v>
      </c>
      <c r="AX17" s="1156" t="s">
        <v>3592</v>
      </c>
      <c r="AY17" s="1156" t="s">
        <v>3592</v>
      </c>
      <c r="AZ17" s="1156" t="s">
        <v>3592</v>
      </c>
      <c r="BA17" s="1156" t="s">
        <v>3703</v>
      </c>
      <c r="BB17" s="1156" t="s">
        <v>3592</v>
      </c>
      <c r="BC17" s="1156" t="s">
        <v>3520</v>
      </c>
      <c r="BD17" s="1156" t="s">
        <v>3592</v>
      </c>
      <c r="BE17" s="1156" t="s">
        <v>3603</v>
      </c>
    </row>
    <row r="18" spans="1:57">
      <c r="A18" s="1156" t="s">
        <v>3711</v>
      </c>
      <c r="B18" s="1156" t="s">
        <v>3419</v>
      </c>
      <c r="C18" s="1156" t="s">
        <v>3585</v>
      </c>
      <c r="D18" s="1156" t="s">
        <v>3586</v>
      </c>
      <c r="E18" s="1156" t="s">
        <v>3712</v>
      </c>
      <c r="F18" s="1156" t="s">
        <v>3712</v>
      </c>
      <c r="G18" s="1156" t="s">
        <v>3588</v>
      </c>
      <c r="H18" s="1156">
        <v>34759.75</v>
      </c>
      <c r="I18" s="1156">
        <v>52139.63</v>
      </c>
      <c r="J18" s="1156" t="s">
        <v>3589</v>
      </c>
      <c r="K18" s="1156" t="s">
        <v>3713</v>
      </c>
      <c r="L18" s="1156">
        <v>1.5</v>
      </c>
      <c r="M18" s="1156" t="s">
        <v>3714</v>
      </c>
      <c r="N18" s="1156">
        <v>8639.5300000000007</v>
      </c>
      <c r="O18" s="1156">
        <v>2485.4899999999998</v>
      </c>
      <c r="P18" s="1156">
        <v>165.7</v>
      </c>
      <c r="Q18" s="1156">
        <v>1657</v>
      </c>
      <c r="R18" s="1156" t="s">
        <v>3592</v>
      </c>
      <c r="S18" s="1156" t="s">
        <v>3592</v>
      </c>
      <c r="T18" s="1156">
        <v>0</v>
      </c>
      <c r="U18" s="1156">
        <v>0</v>
      </c>
      <c r="V18" s="1156" t="s">
        <v>2479</v>
      </c>
      <c r="W18" s="1156" t="s">
        <v>3589</v>
      </c>
      <c r="X18" s="1156" t="s">
        <v>3710</v>
      </c>
      <c r="Y18" s="1156" t="s">
        <v>3592</v>
      </c>
      <c r="Z18" s="1156" t="s">
        <v>3592</v>
      </c>
      <c r="AA18" s="1156">
        <v>24</v>
      </c>
      <c r="AB18" s="1156" t="s">
        <v>3594</v>
      </c>
      <c r="AC18" s="1156" t="s">
        <v>3592</v>
      </c>
      <c r="AD18" s="1156" t="s">
        <v>3592</v>
      </c>
      <c r="AE18" s="1156" t="s">
        <v>3592</v>
      </c>
      <c r="AF18" s="1156" t="s">
        <v>3592</v>
      </c>
      <c r="AG18" s="1156" t="s">
        <v>3592</v>
      </c>
      <c r="AH18" s="1156" t="s">
        <v>3715</v>
      </c>
      <c r="AI18" s="1156" t="s">
        <v>3596</v>
      </c>
      <c r="AJ18" s="1156" t="s">
        <v>3597</v>
      </c>
      <c r="AK18" s="1156" t="s">
        <v>3716</v>
      </c>
      <c r="AL18" s="1156" t="s">
        <v>3716</v>
      </c>
      <c r="AM18" s="1156" t="s">
        <v>3701</v>
      </c>
      <c r="AN18" s="1156" t="s">
        <v>3592</v>
      </c>
      <c r="AO18" s="1156">
        <v>8639.5300000000007</v>
      </c>
      <c r="AP18" s="1156">
        <v>1800</v>
      </c>
      <c r="AQ18" s="1156" t="s">
        <v>3592</v>
      </c>
      <c r="AR18" s="1156" t="s">
        <v>3592</v>
      </c>
      <c r="AS18" s="1156">
        <v>0</v>
      </c>
      <c r="AT18" s="1156" t="s">
        <v>3592</v>
      </c>
      <c r="AU18" s="1156" t="s">
        <v>3592</v>
      </c>
      <c r="AV18" s="1156" t="s">
        <v>3592</v>
      </c>
      <c r="AW18" s="1156" t="s">
        <v>3592</v>
      </c>
      <c r="AX18" s="1156" t="s">
        <v>3592</v>
      </c>
      <c r="AY18" s="1156" t="s">
        <v>3592</v>
      </c>
      <c r="AZ18" s="1156" t="s">
        <v>3592</v>
      </c>
      <c r="BA18" s="1156" t="s">
        <v>3602</v>
      </c>
      <c r="BB18" s="1156" t="s">
        <v>3592</v>
      </c>
      <c r="BC18" s="1156" t="s">
        <v>3520</v>
      </c>
      <c r="BD18" s="1156" t="s">
        <v>3592</v>
      </c>
      <c r="BE18" s="1156" t="s">
        <v>3603</v>
      </c>
    </row>
    <row r="19" spans="1:57">
      <c r="A19" s="1156" t="s">
        <v>3717</v>
      </c>
      <c r="B19" s="1156" t="s">
        <v>3419</v>
      </c>
      <c r="C19" s="1156" t="s">
        <v>3585</v>
      </c>
      <c r="D19" s="1156" t="s">
        <v>3718</v>
      </c>
      <c r="E19" s="1156" t="s">
        <v>3719</v>
      </c>
      <c r="F19" s="1156" t="s">
        <v>3719</v>
      </c>
      <c r="G19" s="1156" t="s">
        <v>3720</v>
      </c>
      <c r="H19" s="1156">
        <v>28005.08</v>
      </c>
      <c r="I19" s="1156">
        <v>56010.17</v>
      </c>
      <c r="J19" s="1156" t="s">
        <v>3589</v>
      </c>
      <c r="K19" s="1156" t="s">
        <v>3709</v>
      </c>
      <c r="L19" s="1156">
        <v>2</v>
      </c>
      <c r="M19" s="1156" t="s">
        <v>3714</v>
      </c>
      <c r="N19" s="1156">
        <v>8457.5300000000007</v>
      </c>
      <c r="O19" s="1156">
        <v>3019.99</v>
      </c>
      <c r="P19" s="1156">
        <v>201.33</v>
      </c>
      <c r="Q19" s="1156">
        <v>1510</v>
      </c>
      <c r="R19" s="1156" t="s">
        <v>3592</v>
      </c>
      <c r="S19" s="1156" t="s">
        <v>3592</v>
      </c>
      <c r="T19" s="1156">
        <v>0</v>
      </c>
      <c r="U19" s="1156">
        <v>0</v>
      </c>
      <c r="V19" s="1156" t="s">
        <v>2479</v>
      </c>
      <c r="W19" s="1156" t="s">
        <v>3589</v>
      </c>
      <c r="X19" s="1156" t="s">
        <v>3609</v>
      </c>
      <c r="Y19" s="1156" t="s">
        <v>3592</v>
      </c>
      <c r="Z19" s="1156" t="s">
        <v>3592</v>
      </c>
      <c r="AA19" s="1156">
        <v>36</v>
      </c>
      <c r="AB19" s="1156" t="s">
        <v>3594</v>
      </c>
      <c r="AC19" s="1156" t="s">
        <v>3592</v>
      </c>
      <c r="AD19" s="1156" t="s">
        <v>3592</v>
      </c>
      <c r="AE19" s="1156" t="s">
        <v>3592</v>
      </c>
      <c r="AF19" s="1156" t="s">
        <v>3592</v>
      </c>
      <c r="AG19" s="1156" t="s">
        <v>3592</v>
      </c>
      <c r="AH19" s="1156" t="s">
        <v>3715</v>
      </c>
      <c r="AI19" s="1156" t="s">
        <v>3596</v>
      </c>
      <c r="AJ19" s="1156" t="s">
        <v>3597</v>
      </c>
      <c r="AK19" s="1156" t="s">
        <v>3721</v>
      </c>
      <c r="AL19" s="1156" t="s">
        <v>3605</v>
      </c>
      <c r="AM19" s="1156" t="s">
        <v>3701</v>
      </c>
      <c r="AN19" s="1156" t="s">
        <v>3722</v>
      </c>
      <c r="AO19" s="1156">
        <v>8457.5300000000007</v>
      </c>
      <c r="AP19" s="1156">
        <v>1700</v>
      </c>
      <c r="AQ19" s="1156" t="s">
        <v>3592</v>
      </c>
      <c r="AR19" s="1156" t="s">
        <v>3592</v>
      </c>
      <c r="AS19" s="1156">
        <v>0</v>
      </c>
      <c r="AT19" s="1156" t="s">
        <v>3592</v>
      </c>
      <c r="AU19" s="1156" t="s">
        <v>3592</v>
      </c>
      <c r="AV19" s="1156" t="s">
        <v>3592</v>
      </c>
      <c r="AW19" s="1156" t="s">
        <v>3592</v>
      </c>
      <c r="AX19" s="1156" t="s">
        <v>3592</v>
      </c>
      <c r="AY19" s="1156" t="s">
        <v>3592</v>
      </c>
      <c r="AZ19" s="1156" t="s">
        <v>3592</v>
      </c>
      <c r="BA19" s="1156" t="s">
        <v>3611</v>
      </c>
      <c r="BB19" s="1156" t="s">
        <v>3592</v>
      </c>
      <c r="BC19" s="1156" t="s">
        <v>3520</v>
      </c>
      <c r="BD19" s="1156" t="s">
        <v>3592</v>
      </c>
      <c r="BE19" s="1156" t="s">
        <v>3603</v>
      </c>
    </row>
    <row r="20" spans="1:57" hidden="1">
      <c r="A20" s="1156" t="s">
        <v>3723</v>
      </c>
      <c r="B20" s="1156" t="s">
        <v>3419</v>
      </c>
      <c r="C20" s="1156" t="s">
        <v>3692</v>
      </c>
      <c r="D20" s="1156" t="s">
        <v>3724</v>
      </c>
      <c r="E20" s="1156" t="s">
        <v>3725</v>
      </c>
      <c r="F20" s="1156" t="s">
        <v>3725</v>
      </c>
      <c r="G20" s="1156" t="s">
        <v>3726</v>
      </c>
      <c r="H20" s="1156">
        <v>18241.37</v>
      </c>
      <c r="I20" s="1156">
        <v>21889.64</v>
      </c>
      <c r="J20" s="1156" t="s">
        <v>3727</v>
      </c>
      <c r="K20" s="1156" t="s">
        <v>3728</v>
      </c>
      <c r="L20" s="1156">
        <v>1.2</v>
      </c>
      <c r="M20" s="1156" t="s">
        <v>3729</v>
      </c>
      <c r="N20" s="1156">
        <v>6000</v>
      </c>
      <c r="O20" s="1156">
        <v>3289.22</v>
      </c>
      <c r="P20" s="1156">
        <v>219.28</v>
      </c>
      <c r="Q20" s="1156">
        <v>2741</v>
      </c>
      <c r="R20" s="1156" t="s">
        <v>3592</v>
      </c>
      <c r="S20" s="1156" t="s">
        <v>3592</v>
      </c>
      <c r="T20" s="1156">
        <v>0</v>
      </c>
      <c r="U20" s="1156">
        <v>0</v>
      </c>
      <c r="V20" s="1156" t="s">
        <v>2479</v>
      </c>
      <c r="W20" s="1156" t="s">
        <v>3730</v>
      </c>
      <c r="X20" s="1156" t="s">
        <v>3593</v>
      </c>
      <c r="Y20" s="1156" t="s">
        <v>3592</v>
      </c>
      <c r="Z20" s="1156" t="s">
        <v>3592</v>
      </c>
      <c r="AA20" s="1156">
        <v>30</v>
      </c>
      <c r="AB20" s="1156" t="s">
        <v>3594</v>
      </c>
      <c r="AC20" s="1156" t="s">
        <v>3592</v>
      </c>
      <c r="AD20" s="1156" t="s">
        <v>3592</v>
      </c>
      <c r="AE20" s="1156" t="s">
        <v>3592</v>
      </c>
      <c r="AF20" s="1156" t="s">
        <v>3592</v>
      </c>
      <c r="AG20" s="1156" t="s">
        <v>3592</v>
      </c>
      <c r="AH20" s="1156" t="s">
        <v>3731</v>
      </c>
      <c r="AI20" s="1156" t="s">
        <v>3596</v>
      </c>
      <c r="AJ20" s="1156" t="s">
        <v>3597</v>
      </c>
      <c r="AK20" s="1156" t="s">
        <v>3732</v>
      </c>
      <c r="AL20" s="1156" t="s">
        <v>3732</v>
      </c>
      <c r="AM20" s="1156" t="s">
        <v>3600</v>
      </c>
      <c r="AN20" s="1156" t="s">
        <v>3592</v>
      </c>
      <c r="AO20" s="1156">
        <v>6000</v>
      </c>
      <c r="AP20" s="1156">
        <v>1200</v>
      </c>
      <c r="AQ20" s="1156" t="s">
        <v>3733</v>
      </c>
      <c r="AR20" s="1156" t="s">
        <v>3592</v>
      </c>
      <c r="AS20" s="1156">
        <v>0</v>
      </c>
      <c r="AT20" s="1156" t="s">
        <v>3592</v>
      </c>
      <c r="AU20" s="1156" t="s">
        <v>3592</v>
      </c>
      <c r="AV20" s="1156" t="s">
        <v>3592</v>
      </c>
      <c r="AW20" s="1156" t="s">
        <v>3592</v>
      </c>
      <c r="AX20" s="1156" t="s">
        <v>3592</v>
      </c>
      <c r="AY20" s="1156" t="s">
        <v>3592</v>
      </c>
      <c r="AZ20" s="1156" t="s">
        <v>3592</v>
      </c>
      <c r="BA20" s="1156" t="s">
        <v>3637</v>
      </c>
      <c r="BB20" s="1156" t="s">
        <v>3592</v>
      </c>
      <c r="BC20" s="1156" t="s">
        <v>3520</v>
      </c>
      <c r="BD20" s="1156" t="s">
        <v>3592</v>
      </c>
      <c r="BE20" s="1156" t="s">
        <v>3603</v>
      </c>
    </row>
    <row r="21" spans="1:57" hidden="1">
      <c r="A21" s="1156" t="s">
        <v>3734</v>
      </c>
      <c r="B21" s="1156" t="s">
        <v>3419</v>
      </c>
      <c r="C21" s="1156" t="s">
        <v>3692</v>
      </c>
      <c r="D21" s="1156" t="s">
        <v>3735</v>
      </c>
      <c r="E21" s="1156" t="s">
        <v>3736</v>
      </c>
      <c r="F21" s="1156" t="s">
        <v>3736</v>
      </c>
      <c r="G21" s="1156" t="s">
        <v>3737</v>
      </c>
      <c r="H21" s="1156">
        <v>186670.83</v>
      </c>
      <c r="I21" s="1156">
        <v>336007.5</v>
      </c>
      <c r="J21" s="1156" t="s">
        <v>3727</v>
      </c>
      <c r="K21" s="1156" t="s">
        <v>3728</v>
      </c>
      <c r="L21" s="1156">
        <v>1.8</v>
      </c>
      <c r="M21" s="1156" t="s">
        <v>3738</v>
      </c>
      <c r="N21" s="1156">
        <v>77800</v>
      </c>
      <c r="O21" s="1156">
        <v>4167.76</v>
      </c>
      <c r="P21" s="1156">
        <v>277.85000000000002</v>
      </c>
      <c r="Q21" s="1156">
        <v>2315</v>
      </c>
      <c r="R21" s="1156" t="s">
        <v>3592</v>
      </c>
      <c r="S21" s="1156" t="s">
        <v>3592</v>
      </c>
      <c r="T21" s="1156">
        <v>0</v>
      </c>
      <c r="U21" s="1156">
        <v>0</v>
      </c>
      <c r="V21" s="1156" t="s">
        <v>2479</v>
      </c>
      <c r="W21" s="1156" t="s">
        <v>3730</v>
      </c>
      <c r="X21" s="1156" t="s">
        <v>3739</v>
      </c>
      <c r="Y21" s="1156" t="s">
        <v>3592</v>
      </c>
      <c r="Z21" s="1156" t="s">
        <v>3592</v>
      </c>
      <c r="AA21" s="1156">
        <v>36</v>
      </c>
      <c r="AB21" s="1156" t="s">
        <v>3594</v>
      </c>
      <c r="AC21" s="1156" t="s">
        <v>3592</v>
      </c>
      <c r="AD21" s="1156" t="s">
        <v>3592</v>
      </c>
      <c r="AE21" s="1156" t="s">
        <v>3592</v>
      </c>
      <c r="AF21" s="1156" t="s">
        <v>3592</v>
      </c>
      <c r="AG21" s="1156" t="s">
        <v>3592</v>
      </c>
      <c r="AH21" s="1156" t="s">
        <v>3740</v>
      </c>
      <c r="AI21" s="1156" t="s">
        <v>3596</v>
      </c>
      <c r="AJ21" s="1156" t="s">
        <v>3597</v>
      </c>
      <c r="AK21" s="1156" t="s">
        <v>3741</v>
      </c>
      <c r="AL21" s="1156" t="s">
        <v>3742</v>
      </c>
      <c r="AM21" s="1156" t="s">
        <v>3701</v>
      </c>
      <c r="AN21" s="1156" t="s">
        <v>3722</v>
      </c>
      <c r="AO21" s="1156">
        <v>77800</v>
      </c>
      <c r="AP21" s="1156">
        <v>15600</v>
      </c>
      <c r="AQ21" s="1156" t="s">
        <v>3743</v>
      </c>
      <c r="AR21" s="1156" t="s">
        <v>3592</v>
      </c>
      <c r="AS21" s="1156">
        <v>0</v>
      </c>
      <c r="AT21" s="1156" t="s">
        <v>3592</v>
      </c>
      <c r="AU21" s="1156" t="s">
        <v>3592</v>
      </c>
      <c r="AV21" s="1156" t="s">
        <v>3592</v>
      </c>
      <c r="AW21" s="1156" t="s">
        <v>3592</v>
      </c>
      <c r="AX21" s="1156" t="s">
        <v>3592</v>
      </c>
      <c r="AY21" s="1156" t="s">
        <v>3592</v>
      </c>
      <c r="AZ21" s="1156" t="s">
        <v>3592</v>
      </c>
      <c r="BA21" s="1156" t="s">
        <v>3637</v>
      </c>
      <c r="BB21" s="1156" t="s">
        <v>3592</v>
      </c>
      <c r="BC21" s="1156" t="s">
        <v>3520</v>
      </c>
      <c r="BD21" s="1156" t="s">
        <v>3592</v>
      </c>
      <c r="BE21" s="1156" t="s">
        <v>3603</v>
      </c>
    </row>
    <row r="22" spans="1:57">
      <c r="A22" s="1156" t="s">
        <v>3744</v>
      </c>
      <c r="B22" s="1156" t="s">
        <v>3419</v>
      </c>
      <c r="C22" s="1156" t="s">
        <v>3585</v>
      </c>
      <c r="D22" s="1156" t="s">
        <v>3605</v>
      </c>
      <c r="E22" s="1156" t="s">
        <v>3745</v>
      </c>
      <c r="F22" s="1156" t="s">
        <v>3745</v>
      </c>
      <c r="G22" s="1156" t="s">
        <v>3607</v>
      </c>
      <c r="H22" s="1156">
        <v>25709.119999999999</v>
      </c>
      <c r="I22" s="1156">
        <v>38563.68</v>
      </c>
      <c r="J22" s="1156" t="s">
        <v>3746</v>
      </c>
      <c r="K22" s="1156" t="s">
        <v>3590</v>
      </c>
      <c r="L22" s="1156">
        <v>1.5</v>
      </c>
      <c r="M22" s="1156" t="s">
        <v>3747</v>
      </c>
      <c r="N22" s="1156">
        <v>6710.09</v>
      </c>
      <c r="O22" s="1156">
        <v>2610</v>
      </c>
      <c r="P22" s="1156">
        <v>174</v>
      </c>
      <c r="Q22" s="1156">
        <v>1740</v>
      </c>
      <c r="R22" s="1156" t="s">
        <v>3592</v>
      </c>
      <c r="S22" s="1156" t="s">
        <v>3592</v>
      </c>
      <c r="T22" s="1156">
        <v>0</v>
      </c>
      <c r="U22" s="1156">
        <v>0</v>
      </c>
      <c r="V22" s="1156" t="s">
        <v>2479</v>
      </c>
      <c r="W22" s="1156" t="s">
        <v>3589</v>
      </c>
      <c r="X22" s="1156" t="s">
        <v>3634</v>
      </c>
      <c r="Y22" s="1156" t="s">
        <v>3592</v>
      </c>
      <c r="Z22" s="1156" t="s">
        <v>3592</v>
      </c>
      <c r="AA22" s="1156">
        <v>24</v>
      </c>
      <c r="AB22" s="1156" t="s">
        <v>3594</v>
      </c>
      <c r="AC22" s="1156" t="s">
        <v>3592</v>
      </c>
      <c r="AD22" s="1156" t="s">
        <v>3592</v>
      </c>
      <c r="AE22" s="1156" t="s">
        <v>3592</v>
      </c>
      <c r="AF22" s="1156" t="s">
        <v>3592</v>
      </c>
      <c r="AG22" s="1156" t="s">
        <v>3592</v>
      </c>
      <c r="AH22" s="1156" t="s">
        <v>3748</v>
      </c>
      <c r="AI22" s="1156" t="s">
        <v>3596</v>
      </c>
      <c r="AJ22" s="1156" t="s">
        <v>3597</v>
      </c>
      <c r="AK22" s="1156" t="s">
        <v>3749</v>
      </c>
      <c r="AL22" s="1156" t="s">
        <v>3592</v>
      </c>
      <c r="AM22" s="1156" t="s">
        <v>3592</v>
      </c>
      <c r="AN22" s="1156" t="s">
        <v>3592</v>
      </c>
      <c r="AO22" s="1156">
        <v>6710.09</v>
      </c>
      <c r="AP22" s="1156">
        <v>1400</v>
      </c>
      <c r="AQ22" s="1156" t="s">
        <v>3592</v>
      </c>
      <c r="AR22" s="1156" t="s">
        <v>3592</v>
      </c>
      <c r="AS22" s="1156">
        <v>0</v>
      </c>
      <c r="AT22" s="1156" t="s">
        <v>3592</v>
      </c>
      <c r="AU22" s="1156" t="s">
        <v>3592</v>
      </c>
      <c r="AV22" s="1156" t="s">
        <v>3592</v>
      </c>
      <c r="AW22" s="1156" t="s">
        <v>3592</v>
      </c>
      <c r="AX22" s="1156" t="s">
        <v>3592</v>
      </c>
      <c r="AY22" s="1156" t="s">
        <v>3592</v>
      </c>
      <c r="AZ22" s="1156" t="s">
        <v>3592</v>
      </c>
      <c r="BA22" s="1156" t="s">
        <v>3611</v>
      </c>
      <c r="BB22" s="1156" t="s">
        <v>3592</v>
      </c>
      <c r="BC22" s="1156" t="s">
        <v>3520</v>
      </c>
      <c r="BD22" s="1156" t="s">
        <v>3592</v>
      </c>
      <c r="BE22" s="1156" t="s">
        <v>3603</v>
      </c>
    </row>
    <row r="23" spans="1:57" hidden="1">
      <c r="A23" s="1156" t="s">
        <v>3750</v>
      </c>
      <c r="B23" s="1156" t="s">
        <v>3419</v>
      </c>
      <c r="C23" s="1156" t="s">
        <v>3692</v>
      </c>
      <c r="D23" s="1156" t="s">
        <v>3735</v>
      </c>
      <c r="E23" s="1156" t="s">
        <v>3751</v>
      </c>
      <c r="F23" s="1156" t="s">
        <v>3751</v>
      </c>
      <c r="G23" s="1156" t="s">
        <v>3752</v>
      </c>
      <c r="H23" s="1156">
        <v>36970.339999999997</v>
      </c>
      <c r="I23" s="1156">
        <v>36970.339999999997</v>
      </c>
      <c r="J23" s="1156" t="s">
        <v>3727</v>
      </c>
      <c r="K23" s="1156" t="s">
        <v>3728</v>
      </c>
      <c r="L23" s="1156">
        <v>1</v>
      </c>
      <c r="M23" s="1156" t="s">
        <v>3753</v>
      </c>
      <c r="N23" s="1156">
        <v>10540</v>
      </c>
      <c r="O23" s="1156">
        <v>2850.93</v>
      </c>
      <c r="P23" s="1156">
        <v>190.06</v>
      </c>
      <c r="Q23" s="1156">
        <v>2851</v>
      </c>
      <c r="R23" s="1156" t="s">
        <v>3592</v>
      </c>
      <c r="S23" s="1156" t="s">
        <v>3592</v>
      </c>
      <c r="T23" s="1156">
        <v>0</v>
      </c>
      <c r="U23" s="1156">
        <v>0</v>
      </c>
      <c r="V23" s="1156" t="s">
        <v>2479</v>
      </c>
      <c r="W23" s="1156" t="s">
        <v>3730</v>
      </c>
      <c r="X23" s="1156" t="s">
        <v>3625</v>
      </c>
      <c r="Y23" s="1156" t="s">
        <v>3592</v>
      </c>
      <c r="Z23" s="1156" t="s">
        <v>3592</v>
      </c>
      <c r="AA23" s="1156" t="s">
        <v>3592</v>
      </c>
      <c r="AB23" s="1156" t="s">
        <v>3594</v>
      </c>
      <c r="AC23" s="1156" t="s">
        <v>3592</v>
      </c>
      <c r="AD23" s="1156" t="s">
        <v>3592</v>
      </c>
      <c r="AE23" s="1156" t="s">
        <v>3592</v>
      </c>
      <c r="AF23" s="1156" t="s">
        <v>3592</v>
      </c>
      <c r="AG23" s="1156" t="s">
        <v>3592</v>
      </c>
      <c r="AH23" s="1156" t="s">
        <v>3754</v>
      </c>
      <c r="AI23" s="1156" t="s">
        <v>3596</v>
      </c>
      <c r="AJ23" s="1156" t="s">
        <v>3597</v>
      </c>
      <c r="AK23" s="1156" t="s">
        <v>3755</v>
      </c>
      <c r="AL23" s="1156" t="s">
        <v>3755</v>
      </c>
      <c r="AM23" s="1156" t="s">
        <v>3600</v>
      </c>
      <c r="AN23" s="1156" t="s">
        <v>3592</v>
      </c>
      <c r="AO23" s="1156">
        <v>10540</v>
      </c>
      <c r="AP23" s="1156">
        <v>2200</v>
      </c>
      <c r="AQ23" s="1156" t="s">
        <v>3756</v>
      </c>
      <c r="AR23" s="1156" t="s">
        <v>3592</v>
      </c>
      <c r="AS23" s="1156">
        <v>0</v>
      </c>
      <c r="AT23" s="1156" t="s">
        <v>3592</v>
      </c>
      <c r="AU23" s="1156" t="s">
        <v>3592</v>
      </c>
      <c r="AV23" s="1156" t="s">
        <v>3592</v>
      </c>
      <c r="AW23" s="1156" t="s">
        <v>3592</v>
      </c>
      <c r="AX23" s="1156" t="s">
        <v>3592</v>
      </c>
      <c r="AY23" s="1156" t="s">
        <v>3592</v>
      </c>
      <c r="AZ23" s="1156" t="s">
        <v>3592</v>
      </c>
      <c r="BA23" s="1156" t="s">
        <v>3637</v>
      </c>
      <c r="BB23" s="1156" t="s">
        <v>3592</v>
      </c>
      <c r="BC23" s="1156" t="s">
        <v>3520</v>
      </c>
      <c r="BD23" s="1156" t="s">
        <v>3592</v>
      </c>
      <c r="BE23" s="1156" t="s">
        <v>3603</v>
      </c>
    </row>
    <row r="24" spans="1:57">
      <c r="A24" s="1156" t="s">
        <v>3757</v>
      </c>
      <c r="B24" s="1156" t="s">
        <v>3419</v>
      </c>
      <c r="C24" s="1156" t="s">
        <v>3585</v>
      </c>
      <c r="D24" s="1156" t="s">
        <v>3639</v>
      </c>
      <c r="E24" s="1156" t="s">
        <v>3758</v>
      </c>
      <c r="F24" s="1156" t="s">
        <v>3758</v>
      </c>
      <c r="G24" s="1156" t="s">
        <v>3641</v>
      </c>
      <c r="H24" s="1156">
        <v>37407.46</v>
      </c>
      <c r="I24" s="1156">
        <v>74814.92</v>
      </c>
      <c r="J24" s="1156" t="s">
        <v>3589</v>
      </c>
      <c r="K24" s="1156" t="s">
        <v>3590</v>
      </c>
      <c r="L24" s="1156">
        <v>2</v>
      </c>
      <c r="M24" s="1156" t="s">
        <v>3759</v>
      </c>
      <c r="N24" s="1156">
        <v>10765.87</v>
      </c>
      <c r="O24" s="1156">
        <v>2878</v>
      </c>
      <c r="P24" s="1156">
        <v>191.87</v>
      </c>
      <c r="Q24" s="1156">
        <v>1439</v>
      </c>
      <c r="R24" s="1156" t="s">
        <v>3592</v>
      </c>
      <c r="S24" s="1156" t="s">
        <v>3592</v>
      </c>
      <c r="T24" s="1156">
        <v>0</v>
      </c>
      <c r="U24" s="1156">
        <v>0</v>
      </c>
      <c r="V24" s="1156" t="s">
        <v>2479</v>
      </c>
      <c r="W24" s="1156" t="s">
        <v>3589</v>
      </c>
      <c r="X24" s="1156" t="s">
        <v>3679</v>
      </c>
      <c r="Y24" s="1156" t="s">
        <v>3592</v>
      </c>
      <c r="Z24" s="1156" t="s">
        <v>3592</v>
      </c>
      <c r="AA24" s="1156" t="s">
        <v>3592</v>
      </c>
      <c r="AB24" s="1156" t="s">
        <v>3594</v>
      </c>
      <c r="AC24" s="1156" t="s">
        <v>3592</v>
      </c>
      <c r="AD24" s="1156" t="s">
        <v>3592</v>
      </c>
      <c r="AE24" s="1156" t="s">
        <v>3592</v>
      </c>
      <c r="AF24" s="1156" t="s">
        <v>3592</v>
      </c>
      <c r="AG24" s="1156" t="s">
        <v>3592</v>
      </c>
      <c r="AH24" s="1156" t="s">
        <v>3760</v>
      </c>
      <c r="AI24" s="1156" t="s">
        <v>3596</v>
      </c>
      <c r="AJ24" s="1156" t="s">
        <v>3761</v>
      </c>
      <c r="AK24" s="1156" t="s">
        <v>3762</v>
      </c>
      <c r="AL24" s="1156" t="s">
        <v>3763</v>
      </c>
      <c r="AM24" s="1156" t="s">
        <v>3600</v>
      </c>
      <c r="AN24" s="1156" t="s">
        <v>3592</v>
      </c>
      <c r="AO24" s="1156">
        <v>10765.87</v>
      </c>
      <c r="AP24" s="1156">
        <v>2200</v>
      </c>
      <c r="AQ24" s="1156" t="s">
        <v>3592</v>
      </c>
      <c r="AR24" s="1156" t="s">
        <v>3592</v>
      </c>
      <c r="AS24" s="1156">
        <v>0</v>
      </c>
      <c r="AT24" s="1156" t="s">
        <v>3592</v>
      </c>
      <c r="AU24" s="1156" t="s">
        <v>3592</v>
      </c>
      <c r="AV24" s="1156" t="s">
        <v>3592</v>
      </c>
      <c r="AW24" s="1156" t="s">
        <v>3592</v>
      </c>
      <c r="AX24" s="1156" t="s">
        <v>3592</v>
      </c>
      <c r="AY24" s="1156" t="s">
        <v>3592</v>
      </c>
      <c r="AZ24" s="1156" t="s">
        <v>3592</v>
      </c>
      <c r="BA24" s="1156" t="s">
        <v>3646</v>
      </c>
      <c r="BB24" s="1156" t="s">
        <v>3592</v>
      </c>
      <c r="BC24" s="1156" t="s">
        <v>3520</v>
      </c>
      <c r="BD24" s="1156" t="s">
        <v>3592</v>
      </c>
      <c r="BE24" s="1156" t="s">
        <v>3603</v>
      </c>
    </row>
    <row r="25" spans="1:57">
      <c r="A25" s="1156" t="s">
        <v>3764</v>
      </c>
      <c r="B25" s="1156" t="s">
        <v>3419</v>
      </c>
      <c r="C25" s="1156" t="s">
        <v>3585</v>
      </c>
      <c r="D25" s="1156" t="s">
        <v>3639</v>
      </c>
      <c r="E25" s="1156" t="s">
        <v>3765</v>
      </c>
      <c r="F25" s="1156" t="s">
        <v>3765</v>
      </c>
      <c r="G25" s="1156" t="s">
        <v>3641</v>
      </c>
      <c r="H25" s="1156">
        <v>16000</v>
      </c>
      <c r="I25" s="1156">
        <v>32000</v>
      </c>
      <c r="J25" s="1156" t="s">
        <v>3589</v>
      </c>
      <c r="K25" s="1156" t="s">
        <v>3590</v>
      </c>
      <c r="L25" s="1156">
        <v>2</v>
      </c>
      <c r="M25" s="1156" t="s">
        <v>3759</v>
      </c>
      <c r="N25" s="1156">
        <v>4598.3999999999996</v>
      </c>
      <c r="O25" s="1156">
        <v>2874</v>
      </c>
      <c r="P25" s="1156">
        <v>191.6</v>
      </c>
      <c r="Q25" s="1156">
        <v>1437</v>
      </c>
      <c r="R25" s="1156" t="s">
        <v>3592</v>
      </c>
      <c r="S25" s="1156" t="s">
        <v>3592</v>
      </c>
      <c r="T25" s="1156">
        <v>0</v>
      </c>
      <c r="U25" s="1156">
        <v>0</v>
      </c>
      <c r="V25" s="1156" t="s">
        <v>2479</v>
      </c>
      <c r="W25" s="1156" t="s">
        <v>3589</v>
      </c>
      <c r="X25" s="1156" t="s">
        <v>3679</v>
      </c>
      <c r="Y25" s="1156" t="s">
        <v>3592</v>
      </c>
      <c r="Z25" s="1156" t="s">
        <v>3592</v>
      </c>
      <c r="AA25" s="1156" t="s">
        <v>3592</v>
      </c>
      <c r="AB25" s="1156" t="s">
        <v>3594</v>
      </c>
      <c r="AC25" s="1156" t="s">
        <v>3592</v>
      </c>
      <c r="AD25" s="1156" t="s">
        <v>3592</v>
      </c>
      <c r="AE25" s="1156" t="s">
        <v>3592</v>
      </c>
      <c r="AF25" s="1156" t="s">
        <v>3592</v>
      </c>
      <c r="AG25" s="1156" t="s">
        <v>3592</v>
      </c>
      <c r="AH25" s="1156" t="s">
        <v>3760</v>
      </c>
      <c r="AI25" s="1156" t="s">
        <v>3596</v>
      </c>
      <c r="AJ25" s="1156" t="s">
        <v>3761</v>
      </c>
      <c r="AK25" s="1156" t="s">
        <v>3762</v>
      </c>
      <c r="AL25" s="1156" t="s">
        <v>3592</v>
      </c>
      <c r="AM25" s="1156" t="s">
        <v>3592</v>
      </c>
      <c r="AN25" s="1156" t="s">
        <v>3592</v>
      </c>
      <c r="AO25" s="1156">
        <v>4598.3999999999996</v>
      </c>
      <c r="AP25" s="1156">
        <v>1000</v>
      </c>
      <c r="AQ25" s="1156" t="s">
        <v>3592</v>
      </c>
      <c r="AR25" s="1156" t="s">
        <v>3592</v>
      </c>
      <c r="AS25" s="1156">
        <v>0</v>
      </c>
      <c r="AT25" s="1156" t="s">
        <v>3592</v>
      </c>
      <c r="AU25" s="1156" t="s">
        <v>3592</v>
      </c>
      <c r="AV25" s="1156" t="s">
        <v>3592</v>
      </c>
      <c r="AW25" s="1156" t="s">
        <v>3592</v>
      </c>
      <c r="AX25" s="1156" t="s">
        <v>3592</v>
      </c>
      <c r="AY25" s="1156" t="s">
        <v>3592</v>
      </c>
      <c r="AZ25" s="1156" t="s">
        <v>3592</v>
      </c>
      <c r="BA25" s="1156" t="s">
        <v>3646</v>
      </c>
      <c r="BB25" s="1156" t="s">
        <v>3592</v>
      </c>
      <c r="BC25" s="1156" t="s">
        <v>3520</v>
      </c>
      <c r="BD25" s="1156" t="s">
        <v>3592</v>
      </c>
      <c r="BE25" s="1156" t="s">
        <v>3603</v>
      </c>
    </row>
    <row r="26" spans="1:57" hidden="1">
      <c r="A26" s="1156" t="s">
        <v>3766</v>
      </c>
      <c r="B26" s="1156" t="s">
        <v>3419</v>
      </c>
      <c r="C26" s="1156" t="s">
        <v>3692</v>
      </c>
      <c r="D26" s="1156" t="s">
        <v>3735</v>
      </c>
      <c r="E26" s="1156" t="s">
        <v>3767</v>
      </c>
      <c r="F26" s="1156" t="s">
        <v>3768</v>
      </c>
      <c r="G26" s="1156" t="s">
        <v>3752</v>
      </c>
      <c r="H26" s="1156">
        <v>20171.71</v>
      </c>
      <c r="I26" s="1156">
        <v>26223.22</v>
      </c>
      <c r="J26" s="1156" t="s">
        <v>3727</v>
      </c>
      <c r="K26" s="1156" t="s">
        <v>3728</v>
      </c>
      <c r="L26" s="1156">
        <v>1.3</v>
      </c>
      <c r="M26" s="1156" t="s">
        <v>3769</v>
      </c>
      <c r="N26" s="1156">
        <v>5900</v>
      </c>
      <c r="O26" s="1156">
        <v>2924.88</v>
      </c>
      <c r="P26" s="1156">
        <v>194.99</v>
      </c>
      <c r="Q26" s="1156">
        <v>2250</v>
      </c>
      <c r="R26" s="1156" t="s">
        <v>3592</v>
      </c>
      <c r="S26" s="1156" t="s">
        <v>3592</v>
      </c>
      <c r="T26" s="1156">
        <v>0</v>
      </c>
      <c r="U26" s="1156">
        <v>0</v>
      </c>
      <c r="V26" s="1156" t="s">
        <v>2479</v>
      </c>
      <c r="W26" s="1156" t="s">
        <v>3730</v>
      </c>
      <c r="X26" s="1156" t="s">
        <v>3770</v>
      </c>
      <c r="Y26" s="1156" t="s">
        <v>3592</v>
      </c>
      <c r="Z26" s="1156" t="s">
        <v>3592</v>
      </c>
      <c r="AA26" s="1156" t="s">
        <v>3592</v>
      </c>
      <c r="AB26" s="1156" t="s">
        <v>3594</v>
      </c>
      <c r="AC26" s="1156" t="s">
        <v>3592</v>
      </c>
      <c r="AD26" s="1156" t="s">
        <v>3592</v>
      </c>
      <c r="AE26" s="1156" t="s">
        <v>3592</v>
      </c>
      <c r="AF26" s="1156" t="s">
        <v>3592</v>
      </c>
      <c r="AG26" s="1156" t="s">
        <v>3592</v>
      </c>
      <c r="AH26" s="1156" t="s">
        <v>3771</v>
      </c>
      <c r="AI26" s="1156" t="s">
        <v>3596</v>
      </c>
      <c r="AJ26" s="1156" t="s">
        <v>3761</v>
      </c>
      <c r="AK26" s="1156" t="s">
        <v>3772</v>
      </c>
      <c r="AL26" s="1156" t="s">
        <v>3773</v>
      </c>
      <c r="AM26" s="1156" t="s">
        <v>3600</v>
      </c>
      <c r="AN26" s="1156" t="s">
        <v>3592</v>
      </c>
      <c r="AO26" s="1156">
        <v>5900</v>
      </c>
      <c r="AP26" s="1156">
        <v>1180</v>
      </c>
      <c r="AQ26" s="1156" t="s">
        <v>3774</v>
      </c>
      <c r="AR26" s="1156" t="s">
        <v>3592</v>
      </c>
      <c r="AS26" s="1156">
        <v>0</v>
      </c>
      <c r="AT26" s="1156" t="s">
        <v>3592</v>
      </c>
      <c r="AU26" s="1156" t="s">
        <v>3592</v>
      </c>
      <c r="AV26" s="1156" t="s">
        <v>3592</v>
      </c>
      <c r="AW26" s="1156" t="s">
        <v>3592</v>
      </c>
      <c r="AX26" s="1156" t="s">
        <v>3592</v>
      </c>
      <c r="AY26" s="1156" t="s">
        <v>3592</v>
      </c>
      <c r="AZ26" s="1156" t="s">
        <v>3592</v>
      </c>
      <c r="BA26" s="1156" t="s">
        <v>3637</v>
      </c>
      <c r="BB26" s="1156" t="s">
        <v>3592</v>
      </c>
      <c r="BC26" s="1156" t="s">
        <v>3520</v>
      </c>
      <c r="BD26" s="1156" t="s">
        <v>3592</v>
      </c>
      <c r="BE26" s="1156" t="s">
        <v>3603</v>
      </c>
    </row>
    <row r="27" spans="1:57" hidden="1">
      <c r="A27" s="1156" t="s">
        <v>3775</v>
      </c>
      <c r="B27" s="1156" t="s">
        <v>3419</v>
      </c>
      <c r="C27" s="1156" t="s">
        <v>3692</v>
      </c>
      <c r="D27" s="1156" t="s">
        <v>3735</v>
      </c>
      <c r="E27" s="1156" t="s">
        <v>3776</v>
      </c>
      <c r="F27" s="1156" t="s">
        <v>3777</v>
      </c>
      <c r="G27" s="1156" t="s">
        <v>3778</v>
      </c>
      <c r="H27" s="1156">
        <v>89021.08</v>
      </c>
      <c r="I27" s="1156">
        <v>106825.3</v>
      </c>
      <c r="J27" s="1156" t="s">
        <v>3727</v>
      </c>
      <c r="K27" s="1156" t="s">
        <v>3728</v>
      </c>
      <c r="L27" s="1156">
        <v>1.2</v>
      </c>
      <c r="M27" s="1156" t="s">
        <v>3779</v>
      </c>
      <c r="N27" s="1156">
        <v>30947</v>
      </c>
      <c r="O27" s="1156">
        <v>3476.36</v>
      </c>
      <c r="P27" s="1156">
        <v>231.76</v>
      </c>
      <c r="Q27" s="1156">
        <v>2897</v>
      </c>
      <c r="R27" s="1156" t="s">
        <v>3592</v>
      </c>
      <c r="S27" s="1156" t="s">
        <v>3592</v>
      </c>
      <c r="T27" s="1156">
        <v>0</v>
      </c>
      <c r="U27" s="1156">
        <v>0</v>
      </c>
      <c r="V27" s="1156" t="s">
        <v>2479</v>
      </c>
      <c r="W27" s="1156" t="s">
        <v>3730</v>
      </c>
      <c r="X27" s="1156" t="s">
        <v>3780</v>
      </c>
      <c r="Y27" s="1156" t="s">
        <v>3592</v>
      </c>
      <c r="Z27" s="1156" t="s">
        <v>3592</v>
      </c>
      <c r="AA27" s="1156" t="s">
        <v>3592</v>
      </c>
      <c r="AB27" s="1156" t="s">
        <v>3594</v>
      </c>
      <c r="AC27" s="1156" t="s">
        <v>3592</v>
      </c>
      <c r="AD27" s="1156" t="s">
        <v>3592</v>
      </c>
      <c r="AE27" s="1156" t="s">
        <v>3592</v>
      </c>
      <c r="AF27" s="1156" t="s">
        <v>3592</v>
      </c>
      <c r="AG27" s="1156" t="s">
        <v>3592</v>
      </c>
      <c r="AH27" s="1156" t="s">
        <v>3781</v>
      </c>
      <c r="AI27" s="1156" t="s">
        <v>3596</v>
      </c>
      <c r="AJ27" s="1156" t="s">
        <v>3761</v>
      </c>
      <c r="AK27" s="1156" t="s">
        <v>3782</v>
      </c>
      <c r="AL27" s="1156" t="s">
        <v>3782</v>
      </c>
      <c r="AM27" s="1156" t="s">
        <v>3689</v>
      </c>
      <c r="AN27" s="1156" t="s">
        <v>3592</v>
      </c>
      <c r="AO27" s="1156">
        <v>30947</v>
      </c>
      <c r="AP27" s="1156">
        <v>6200</v>
      </c>
      <c r="AQ27" s="1156" t="s">
        <v>3783</v>
      </c>
      <c r="AR27" s="1156" t="s">
        <v>3592</v>
      </c>
      <c r="AS27" s="1156">
        <v>0</v>
      </c>
      <c r="AT27" s="1156" t="s">
        <v>3592</v>
      </c>
      <c r="AU27" s="1156" t="s">
        <v>3592</v>
      </c>
      <c r="AV27" s="1156" t="s">
        <v>3592</v>
      </c>
      <c r="AW27" s="1156" t="s">
        <v>3592</v>
      </c>
      <c r="AX27" s="1156" t="s">
        <v>3592</v>
      </c>
      <c r="AY27" s="1156" t="s">
        <v>3592</v>
      </c>
      <c r="AZ27" s="1156" t="s">
        <v>3592</v>
      </c>
      <c r="BA27" s="1156" t="s">
        <v>3637</v>
      </c>
      <c r="BB27" s="1156" t="s">
        <v>3592</v>
      </c>
      <c r="BC27" s="1156" t="s">
        <v>3520</v>
      </c>
      <c r="BD27" s="1156" t="s">
        <v>3592</v>
      </c>
      <c r="BE27" s="1156" t="s">
        <v>3603</v>
      </c>
    </row>
    <row r="28" spans="1:57" hidden="1">
      <c r="A28" s="1156" t="s">
        <v>3784</v>
      </c>
      <c r="B28" s="1156" t="s">
        <v>3419</v>
      </c>
      <c r="C28" s="1156" t="s">
        <v>3692</v>
      </c>
      <c r="D28" s="1156" t="s">
        <v>3735</v>
      </c>
      <c r="E28" s="1156" t="s">
        <v>3785</v>
      </c>
      <c r="F28" s="1156" t="s">
        <v>3786</v>
      </c>
      <c r="G28" s="1156" t="s">
        <v>3778</v>
      </c>
      <c r="H28" s="1156">
        <v>19134.599999999999</v>
      </c>
      <c r="I28" s="1156">
        <v>22961.52</v>
      </c>
      <c r="J28" s="1156" t="s">
        <v>3727</v>
      </c>
      <c r="K28" s="1156" t="s">
        <v>3728</v>
      </c>
      <c r="L28" s="1156">
        <v>1.2</v>
      </c>
      <c r="M28" s="1156" t="s">
        <v>3787</v>
      </c>
      <c r="N28" s="1156">
        <v>5496</v>
      </c>
      <c r="O28" s="1156">
        <v>2872.28</v>
      </c>
      <c r="P28" s="1156">
        <v>191.49</v>
      </c>
      <c r="Q28" s="1156">
        <v>2394</v>
      </c>
      <c r="R28" s="1156" t="s">
        <v>3592</v>
      </c>
      <c r="S28" s="1156" t="s">
        <v>3592</v>
      </c>
      <c r="T28" s="1156">
        <v>0</v>
      </c>
      <c r="U28" s="1156">
        <v>0</v>
      </c>
      <c r="V28" s="1156" t="s">
        <v>2479</v>
      </c>
      <c r="W28" s="1156" t="s">
        <v>3730</v>
      </c>
      <c r="X28" s="1156" t="s">
        <v>3780</v>
      </c>
      <c r="Y28" s="1156" t="s">
        <v>3592</v>
      </c>
      <c r="Z28" s="1156" t="s">
        <v>3592</v>
      </c>
      <c r="AA28" s="1156" t="s">
        <v>3592</v>
      </c>
      <c r="AB28" s="1156" t="s">
        <v>3594</v>
      </c>
      <c r="AC28" s="1156" t="s">
        <v>3592</v>
      </c>
      <c r="AD28" s="1156" t="s">
        <v>3592</v>
      </c>
      <c r="AE28" s="1156" t="s">
        <v>3592</v>
      </c>
      <c r="AF28" s="1156" t="s">
        <v>3592</v>
      </c>
      <c r="AG28" s="1156" t="s">
        <v>3592</v>
      </c>
      <c r="AH28" s="1156" t="s">
        <v>3788</v>
      </c>
      <c r="AI28" s="1156" t="s">
        <v>3596</v>
      </c>
      <c r="AJ28" s="1156" t="s">
        <v>3761</v>
      </c>
      <c r="AK28" s="1156" t="s">
        <v>3782</v>
      </c>
      <c r="AL28" s="1156" t="s">
        <v>3782</v>
      </c>
      <c r="AM28" s="1156" t="s">
        <v>3689</v>
      </c>
      <c r="AN28" s="1156" t="s">
        <v>3592</v>
      </c>
      <c r="AO28" s="1156">
        <v>5496</v>
      </c>
      <c r="AP28" s="1156">
        <v>1100</v>
      </c>
      <c r="AQ28" s="1156" t="s">
        <v>3789</v>
      </c>
      <c r="AR28" s="1156" t="s">
        <v>3592</v>
      </c>
      <c r="AS28" s="1156">
        <v>0</v>
      </c>
      <c r="AT28" s="1156" t="s">
        <v>3592</v>
      </c>
      <c r="AU28" s="1156" t="s">
        <v>3592</v>
      </c>
      <c r="AV28" s="1156" t="s">
        <v>3592</v>
      </c>
      <c r="AW28" s="1156" t="s">
        <v>3592</v>
      </c>
      <c r="AX28" s="1156" t="s">
        <v>3592</v>
      </c>
      <c r="AY28" s="1156" t="s">
        <v>3592</v>
      </c>
      <c r="AZ28" s="1156" t="s">
        <v>3592</v>
      </c>
      <c r="BA28" s="1156" t="s">
        <v>3637</v>
      </c>
      <c r="BB28" s="1156" t="s">
        <v>3592</v>
      </c>
      <c r="BC28" s="1156" t="s">
        <v>3520</v>
      </c>
      <c r="BD28" s="1156" t="s">
        <v>3592</v>
      </c>
      <c r="BE28" s="1156" t="s">
        <v>3603</v>
      </c>
    </row>
    <row r="29" spans="1:57" s="3532" customFormat="1">
      <c r="A29" s="3532" t="s">
        <v>3790</v>
      </c>
      <c r="B29" s="3532" t="s">
        <v>3419</v>
      </c>
      <c r="C29" s="3532" t="s">
        <v>3692</v>
      </c>
      <c r="D29" s="3532" t="s">
        <v>3791</v>
      </c>
      <c r="E29" s="3532" t="s">
        <v>3792</v>
      </c>
      <c r="F29" s="3532" t="s">
        <v>3793</v>
      </c>
      <c r="G29" s="3532" t="s">
        <v>3794</v>
      </c>
      <c r="H29" s="3532">
        <v>53345.32</v>
      </c>
      <c r="I29" s="3532">
        <v>64014.38</v>
      </c>
      <c r="J29" s="3532" t="s">
        <v>3696</v>
      </c>
      <c r="K29" s="3532" t="s">
        <v>3590</v>
      </c>
      <c r="L29" s="3532">
        <v>1.2</v>
      </c>
      <c r="M29" s="3532" t="s">
        <v>3787</v>
      </c>
      <c r="N29" s="3532">
        <v>7279.4</v>
      </c>
      <c r="O29" s="3532">
        <v>1364.58</v>
      </c>
      <c r="P29" s="3532">
        <v>90.97</v>
      </c>
      <c r="Q29" s="3532">
        <v>1137</v>
      </c>
      <c r="R29" s="3532" t="s">
        <v>3592</v>
      </c>
      <c r="S29" s="3532" t="s">
        <v>3592</v>
      </c>
      <c r="T29" s="3532">
        <v>0</v>
      </c>
      <c r="U29" s="3532">
        <v>0</v>
      </c>
      <c r="V29" s="3532" t="s">
        <v>2479</v>
      </c>
      <c r="W29" s="3532" t="s">
        <v>3795</v>
      </c>
      <c r="X29" s="3532" t="s">
        <v>3780</v>
      </c>
      <c r="Y29" s="3532" t="s">
        <v>3592</v>
      </c>
      <c r="Z29" s="3532" t="s">
        <v>3592</v>
      </c>
      <c r="AA29" s="3532" t="s">
        <v>3592</v>
      </c>
      <c r="AB29" s="3532" t="s">
        <v>3594</v>
      </c>
      <c r="AC29" s="3532" t="s">
        <v>3592</v>
      </c>
      <c r="AD29" s="3532" t="s">
        <v>3592</v>
      </c>
      <c r="AE29" s="3532" t="s">
        <v>3592</v>
      </c>
      <c r="AF29" s="3532" t="s">
        <v>3592</v>
      </c>
      <c r="AG29" s="3532" t="s">
        <v>3592</v>
      </c>
      <c r="AH29" s="3532" t="s">
        <v>3788</v>
      </c>
      <c r="AI29" s="3532" t="s">
        <v>3596</v>
      </c>
      <c r="AJ29" s="3532" t="s">
        <v>3761</v>
      </c>
      <c r="AK29" s="3532" t="s">
        <v>3796</v>
      </c>
      <c r="AL29" s="3532" t="s">
        <v>3796</v>
      </c>
      <c r="AM29" s="3532" t="s">
        <v>3600</v>
      </c>
      <c r="AN29" s="3532" t="s">
        <v>3592</v>
      </c>
      <c r="AO29" s="3532">
        <v>7279.4</v>
      </c>
      <c r="AP29" s="3532">
        <v>1500</v>
      </c>
      <c r="AQ29" s="3532" t="s">
        <v>3789</v>
      </c>
      <c r="AR29" s="3532" t="s">
        <v>3592</v>
      </c>
      <c r="AS29" s="3532">
        <v>0</v>
      </c>
      <c r="AT29" s="3532" t="s">
        <v>3592</v>
      </c>
      <c r="AU29" s="3532" t="s">
        <v>3592</v>
      </c>
      <c r="AV29" s="3532" t="s">
        <v>3592</v>
      </c>
      <c r="AW29" s="3532" t="s">
        <v>3592</v>
      </c>
      <c r="AX29" s="3532" t="s">
        <v>3592</v>
      </c>
      <c r="AY29" s="3532" t="s">
        <v>3592</v>
      </c>
      <c r="AZ29" s="3532" t="s">
        <v>3592</v>
      </c>
      <c r="BA29" s="3532" t="s">
        <v>3637</v>
      </c>
      <c r="BB29" s="3532" t="s">
        <v>3592</v>
      </c>
      <c r="BC29" s="3532" t="s">
        <v>3520</v>
      </c>
      <c r="BD29" s="3532" t="s">
        <v>3592</v>
      </c>
      <c r="BE29" s="3532" t="s">
        <v>3603</v>
      </c>
    </row>
    <row r="30" spans="1:57">
      <c r="A30" s="1156" t="s">
        <v>3797</v>
      </c>
      <c r="B30" s="1156" t="s">
        <v>3419</v>
      </c>
      <c r="C30" s="1156" t="s">
        <v>3585</v>
      </c>
      <c r="D30" s="1156" t="s">
        <v>3605</v>
      </c>
      <c r="E30" s="1156" t="s">
        <v>3798</v>
      </c>
      <c r="F30" s="1156" t="s">
        <v>3798</v>
      </c>
      <c r="G30" s="1156" t="s">
        <v>3607</v>
      </c>
      <c r="H30" s="1156">
        <v>54179.97</v>
      </c>
      <c r="I30" s="1156">
        <v>81269.960000000006</v>
      </c>
      <c r="J30" s="1156" t="s">
        <v>3589</v>
      </c>
      <c r="K30" s="1156" t="s">
        <v>3590</v>
      </c>
      <c r="L30" s="1156">
        <v>1.5</v>
      </c>
      <c r="M30" s="1156" t="s">
        <v>3799</v>
      </c>
      <c r="N30" s="1156">
        <v>11987.32</v>
      </c>
      <c r="O30" s="1156">
        <v>2212.5</v>
      </c>
      <c r="P30" s="1156">
        <v>147.5</v>
      </c>
      <c r="Q30" s="1156">
        <v>1475</v>
      </c>
      <c r="R30" s="1156" t="s">
        <v>3592</v>
      </c>
      <c r="S30" s="1156" t="s">
        <v>3592</v>
      </c>
      <c r="T30" s="1156">
        <v>0</v>
      </c>
      <c r="U30" s="1156">
        <v>0</v>
      </c>
      <c r="V30" s="1156" t="s">
        <v>2479</v>
      </c>
      <c r="W30" s="1156" t="s">
        <v>3589</v>
      </c>
      <c r="X30" s="1156" t="s">
        <v>3710</v>
      </c>
      <c r="Y30" s="1156" t="s">
        <v>3592</v>
      </c>
      <c r="Z30" s="1156" t="s">
        <v>3592</v>
      </c>
      <c r="AA30" s="1156">
        <v>24</v>
      </c>
      <c r="AB30" s="1156" t="s">
        <v>3594</v>
      </c>
      <c r="AC30" s="1156" t="s">
        <v>3592</v>
      </c>
      <c r="AD30" s="1156" t="s">
        <v>3592</v>
      </c>
      <c r="AE30" s="1156" t="s">
        <v>3592</v>
      </c>
      <c r="AF30" s="1156" t="s">
        <v>3592</v>
      </c>
      <c r="AG30" s="1156" t="s">
        <v>3592</v>
      </c>
      <c r="AH30" s="1156" t="s">
        <v>3800</v>
      </c>
      <c r="AI30" s="1156" t="s">
        <v>3596</v>
      </c>
      <c r="AJ30" s="1156" t="s">
        <v>3761</v>
      </c>
      <c r="AK30" s="1156" t="s">
        <v>3801</v>
      </c>
      <c r="AL30" s="1156" t="s">
        <v>3605</v>
      </c>
      <c r="AM30" s="1156" t="s">
        <v>3701</v>
      </c>
      <c r="AN30" s="1156" t="s">
        <v>3722</v>
      </c>
      <c r="AO30" s="1156">
        <v>11987.32</v>
      </c>
      <c r="AP30" s="1156">
        <v>2400</v>
      </c>
      <c r="AQ30" s="1156" t="s">
        <v>3592</v>
      </c>
      <c r="AR30" s="1156" t="s">
        <v>3592</v>
      </c>
      <c r="AS30" s="1156">
        <v>0</v>
      </c>
      <c r="AT30" s="1156" t="s">
        <v>3592</v>
      </c>
      <c r="AU30" s="1156" t="s">
        <v>3592</v>
      </c>
      <c r="AV30" s="1156" t="s">
        <v>3592</v>
      </c>
      <c r="AW30" s="1156" t="s">
        <v>3592</v>
      </c>
      <c r="AX30" s="1156" t="s">
        <v>3592</v>
      </c>
      <c r="AY30" s="1156" t="s">
        <v>3592</v>
      </c>
      <c r="AZ30" s="1156" t="s">
        <v>3592</v>
      </c>
      <c r="BA30" s="1156" t="s">
        <v>3611</v>
      </c>
      <c r="BB30" s="1156" t="s">
        <v>3592</v>
      </c>
      <c r="BC30" s="1156" t="s">
        <v>3520</v>
      </c>
      <c r="BD30" s="1156" t="s">
        <v>3592</v>
      </c>
      <c r="BE30" s="1156" t="s">
        <v>3603</v>
      </c>
    </row>
    <row r="31" spans="1:57" hidden="1">
      <c r="A31" s="1156" t="s">
        <v>3802</v>
      </c>
      <c r="B31" s="1156" t="s">
        <v>3419</v>
      </c>
      <c r="C31" s="1156" t="s">
        <v>3692</v>
      </c>
      <c r="D31" s="1156" t="s">
        <v>3735</v>
      </c>
      <c r="E31" s="1156" t="s">
        <v>3803</v>
      </c>
      <c r="F31" s="1156" t="s">
        <v>3804</v>
      </c>
      <c r="G31" s="1156" t="s">
        <v>3752</v>
      </c>
      <c r="H31" s="1156">
        <v>67803.740000000005</v>
      </c>
      <c r="I31" s="1156">
        <v>122046.73</v>
      </c>
      <c r="J31" s="1156" t="s">
        <v>3727</v>
      </c>
      <c r="K31" s="1156" t="s">
        <v>3728</v>
      </c>
      <c r="L31" s="1156">
        <v>1.8</v>
      </c>
      <c r="M31" s="1156" t="s">
        <v>3805</v>
      </c>
      <c r="N31" s="1156">
        <v>28300</v>
      </c>
      <c r="O31" s="1156">
        <v>4173.8100000000004</v>
      </c>
      <c r="P31" s="1156">
        <v>278.25</v>
      </c>
      <c r="Q31" s="1156">
        <v>2319</v>
      </c>
      <c r="R31" s="1156" t="s">
        <v>3592</v>
      </c>
      <c r="S31" s="1156" t="s">
        <v>3592</v>
      </c>
      <c r="T31" s="1156">
        <v>0</v>
      </c>
      <c r="U31" s="1156">
        <v>0</v>
      </c>
      <c r="V31" s="1156" t="s">
        <v>2479</v>
      </c>
      <c r="W31" s="1156" t="s">
        <v>3730</v>
      </c>
      <c r="X31" s="1156" t="s">
        <v>3806</v>
      </c>
      <c r="Y31" s="1156" t="s">
        <v>3592</v>
      </c>
      <c r="Z31" s="1156" t="s">
        <v>3592</v>
      </c>
      <c r="AA31" s="1156">
        <v>36</v>
      </c>
      <c r="AB31" s="1156" t="s">
        <v>3594</v>
      </c>
      <c r="AC31" s="1156" t="s">
        <v>3592</v>
      </c>
      <c r="AD31" s="1156" t="s">
        <v>3592</v>
      </c>
      <c r="AE31" s="1156" t="s">
        <v>3592</v>
      </c>
      <c r="AF31" s="1156" t="s">
        <v>3592</v>
      </c>
      <c r="AG31" s="1156" t="s">
        <v>3592</v>
      </c>
      <c r="AH31" s="1156" t="s">
        <v>3807</v>
      </c>
      <c r="AI31" s="1156" t="s">
        <v>3596</v>
      </c>
      <c r="AJ31" s="1156" t="s">
        <v>3761</v>
      </c>
      <c r="AK31" s="1156" t="s">
        <v>3808</v>
      </c>
      <c r="AL31" s="1156" t="s">
        <v>3809</v>
      </c>
      <c r="AM31" s="1156" t="s">
        <v>3600</v>
      </c>
      <c r="AN31" s="1156" t="s">
        <v>3592</v>
      </c>
      <c r="AO31" s="1156">
        <v>28300</v>
      </c>
      <c r="AP31" s="1156">
        <v>5700</v>
      </c>
      <c r="AQ31" s="1156" t="s">
        <v>3810</v>
      </c>
      <c r="AR31" s="1156" t="s">
        <v>3592</v>
      </c>
      <c r="AS31" s="1156">
        <v>0</v>
      </c>
      <c r="AT31" s="1156" t="s">
        <v>3592</v>
      </c>
      <c r="AU31" s="1156" t="s">
        <v>3592</v>
      </c>
      <c r="AV31" s="1156" t="s">
        <v>3592</v>
      </c>
      <c r="AW31" s="1156" t="s">
        <v>3592</v>
      </c>
      <c r="AX31" s="1156" t="s">
        <v>3592</v>
      </c>
      <c r="AY31" s="1156" t="s">
        <v>3592</v>
      </c>
      <c r="AZ31" s="1156" t="s">
        <v>3592</v>
      </c>
      <c r="BA31" s="1156" t="s">
        <v>3637</v>
      </c>
      <c r="BB31" s="1156" t="s">
        <v>3592</v>
      </c>
      <c r="BC31" s="1156" t="s">
        <v>3520</v>
      </c>
      <c r="BD31" s="1156" t="s">
        <v>3592</v>
      </c>
      <c r="BE31" s="1156" t="s">
        <v>3603</v>
      </c>
    </row>
    <row r="32" spans="1:57" hidden="1">
      <c r="A32" s="1156" t="s">
        <v>3811</v>
      </c>
      <c r="B32" s="1156" t="s">
        <v>3419</v>
      </c>
      <c r="C32" s="1156" t="s">
        <v>3692</v>
      </c>
      <c r="D32" s="1156" t="s">
        <v>3735</v>
      </c>
      <c r="E32" s="1156" t="s">
        <v>3812</v>
      </c>
      <c r="F32" s="1156" t="s">
        <v>3812</v>
      </c>
      <c r="G32" s="1156" t="s">
        <v>3813</v>
      </c>
      <c r="H32" s="1156">
        <v>374092.65</v>
      </c>
      <c r="I32" s="1156">
        <v>935231.62</v>
      </c>
      <c r="J32" s="1156" t="s">
        <v>3727</v>
      </c>
      <c r="K32" s="1156" t="s">
        <v>3728</v>
      </c>
      <c r="L32" s="1156">
        <v>2.5</v>
      </c>
      <c r="M32" s="1156" t="s">
        <v>3814</v>
      </c>
      <c r="N32" s="1156">
        <v>185300</v>
      </c>
      <c r="O32" s="1156">
        <v>4953.3100000000004</v>
      </c>
      <c r="P32" s="1156">
        <v>330.22</v>
      </c>
      <c r="Q32" s="1156">
        <v>1981</v>
      </c>
      <c r="R32" s="1156" t="s">
        <v>3592</v>
      </c>
      <c r="S32" s="1156" t="s">
        <v>3592</v>
      </c>
      <c r="T32" s="1156">
        <v>0</v>
      </c>
      <c r="U32" s="1156">
        <v>0</v>
      </c>
      <c r="V32" s="1156" t="s">
        <v>2479</v>
      </c>
      <c r="W32" s="1156" t="s">
        <v>3730</v>
      </c>
      <c r="X32" s="1156" t="s">
        <v>3815</v>
      </c>
      <c r="Y32" s="1156" t="s">
        <v>3592</v>
      </c>
      <c r="Z32" s="1156" t="s">
        <v>3592</v>
      </c>
      <c r="AA32" s="1156" t="s">
        <v>3592</v>
      </c>
      <c r="AB32" s="1156" t="s">
        <v>3594</v>
      </c>
      <c r="AC32" s="1156" t="s">
        <v>3592</v>
      </c>
      <c r="AD32" s="1156" t="s">
        <v>3592</v>
      </c>
      <c r="AE32" s="1156" t="s">
        <v>3592</v>
      </c>
      <c r="AF32" s="1156" t="s">
        <v>3592</v>
      </c>
      <c r="AG32" s="1156" t="s">
        <v>3592</v>
      </c>
      <c r="AH32" s="1156" t="s">
        <v>3816</v>
      </c>
      <c r="AI32" s="1156" t="s">
        <v>3596</v>
      </c>
      <c r="AJ32" s="1156" t="s">
        <v>3761</v>
      </c>
      <c r="AK32" s="1156" t="s">
        <v>3817</v>
      </c>
      <c r="AL32" s="1156" t="s">
        <v>3817</v>
      </c>
      <c r="AM32" s="1156" t="s">
        <v>3600</v>
      </c>
      <c r="AN32" s="1156" t="s">
        <v>3592</v>
      </c>
      <c r="AO32" s="1156">
        <v>185300</v>
      </c>
      <c r="AP32" s="1156">
        <v>37100</v>
      </c>
      <c r="AQ32" s="1156" t="s">
        <v>3818</v>
      </c>
      <c r="AR32" s="1156" t="s">
        <v>3592</v>
      </c>
      <c r="AS32" s="1156">
        <v>0</v>
      </c>
      <c r="AT32" s="1156" t="s">
        <v>3592</v>
      </c>
      <c r="AU32" s="1156" t="s">
        <v>3592</v>
      </c>
      <c r="AV32" s="1156" t="s">
        <v>3592</v>
      </c>
      <c r="AW32" s="1156" t="s">
        <v>3592</v>
      </c>
      <c r="AX32" s="1156" t="s">
        <v>3592</v>
      </c>
      <c r="AY32" s="1156" t="s">
        <v>3592</v>
      </c>
      <c r="AZ32" s="1156" t="s">
        <v>3592</v>
      </c>
      <c r="BA32" s="1156" t="s">
        <v>3637</v>
      </c>
      <c r="BB32" s="1156" t="s">
        <v>3592</v>
      </c>
      <c r="BC32" s="1156" t="s">
        <v>3520</v>
      </c>
      <c r="BD32" s="1156" t="s">
        <v>3592</v>
      </c>
      <c r="BE32" s="1156" t="s">
        <v>3603</v>
      </c>
    </row>
    <row r="33" spans="1:57">
      <c r="A33" s="1156" t="s">
        <v>3819</v>
      </c>
      <c r="B33" s="1156" t="s">
        <v>3419</v>
      </c>
      <c r="C33" s="1156" t="s">
        <v>3585</v>
      </c>
      <c r="D33" s="1156" t="s">
        <v>3820</v>
      </c>
      <c r="E33" s="1156" t="s">
        <v>3821</v>
      </c>
      <c r="F33" s="1156" t="s">
        <v>3821</v>
      </c>
      <c r="G33" s="1156" t="s">
        <v>3822</v>
      </c>
      <c r="H33" s="1156">
        <v>30864.31</v>
      </c>
      <c r="I33" s="1156">
        <v>61728.62</v>
      </c>
      <c r="J33" s="1156" t="s">
        <v>3589</v>
      </c>
      <c r="K33" s="1156" t="s">
        <v>3728</v>
      </c>
      <c r="L33" s="1156">
        <v>2</v>
      </c>
      <c r="M33" s="1156" t="s">
        <v>3823</v>
      </c>
      <c r="N33" s="1156">
        <v>11413.62</v>
      </c>
      <c r="O33" s="1156">
        <v>3697.99</v>
      </c>
      <c r="P33" s="1156">
        <v>246.53</v>
      </c>
      <c r="Q33" s="1156">
        <v>1849</v>
      </c>
      <c r="R33" s="1156" t="s">
        <v>3592</v>
      </c>
      <c r="S33" s="1156" t="s">
        <v>3592</v>
      </c>
      <c r="T33" s="1156">
        <v>0</v>
      </c>
      <c r="U33" s="1156">
        <v>0</v>
      </c>
      <c r="V33" s="1156" t="s">
        <v>2479</v>
      </c>
      <c r="W33" s="1156" t="s">
        <v>3589</v>
      </c>
      <c r="X33" s="1156" t="s">
        <v>3679</v>
      </c>
      <c r="Y33" s="1156" t="s">
        <v>3592</v>
      </c>
      <c r="Z33" s="1156" t="s">
        <v>3592</v>
      </c>
      <c r="AA33" s="1156" t="s">
        <v>3592</v>
      </c>
      <c r="AB33" s="1156" t="s">
        <v>3594</v>
      </c>
      <c r="AC33" s="1156" t="s">
        <v>3592</v>
      </c>
      <c r="AD33" s="1156" t="s">
        <v>3592</v>
      </c>
      <c r="AE33" s="1156" t="s">
        <v>3592</v>
      </c>
      <c r="AF33" s="1156" t="s">
        <v>3592</v>
      </c>
      <c r="AG33" s="1156" t="s">
        <v>3592</v>
      </c>
      <c r="AH33" s="1156" t="s">
        <v>3824</v>
      </c>
      <c r="AI33" s="1156" t="s">
        <v>3596</v>
      </c>
      <c r="AJ33" s="1156" t="s">
        <v>3761</v>
      </c>
      <c r="AK33" s="1156" t="s">
        <v>3825</v>
      </c>
      <c r="AL33" s="1156" t="s">
        <v>3592</v>
      </c>
      <c r="AM33" s="1156" t="s">
        <v>3592</v>
      </c>
      <c r="AN33" s="1156" t="s">
        <v>3592</v>
      </c>
      <c r="AO33" s="1156">
        <v>11413.62</v>
      </c>
      <c r="AP33" s="1156">
        <v>2300</v>
      </c>
      <c r="AQ33" s="1156" t="s">
        <v>3592</v>
      </c>
      <c r="AR33" s="1156" t="s">
        <v>3592</v>
      </c>
      <c r="AS33" s="1156">
        <v>0</v>
      </c>
      <c r="AT33" s="1156" t="s">
        <v>3592</v>
      </c>
      <c r="AU33" s="1156" t="s">
        <v>3592</v>
      </c>
      <c r="AV33" s="1156" t="s">
        <v>3592</v>
      </c>
      <c r="AW33" s="1156" t="s">
        <v>3592</v>
      </c>
      <c r="AX33" s="1156" t="s">
        <v>3592</v>
      </c>
      <c r="AY33" s="1156" t="s">
        <v>3592</v>
      </c>
      <c r="AZ33" s="1156" t="s">
        <v>3592</v>
      </c>
      <c r="BA33" s="1156" t="s">
        <v>3611</v>
      </c>
      <c r="BB33" s="1156" t="s">
        <v>3592</v>
      </c>
      <c r="BC33" s="1156" t="s">
        <v>3520</v>
      </c>
      <c r="BD33" s="1156" t="s">
        <v>3592</v>
      </c>
      <c r="BE33" s="1156" t="s">
        <v>3603</v>
      </c>
    </row>
    <row r="34" spans="1:57" hidden="1">
      <c r="A34" s="1156" t="s">
        <v>3826</v>
      </c>
      <c r="B34" s="1156" t="s">
        <v>3419</v>
      </c>
      <c r="C34" s="1156" t="s">
        <v>3692</v>
      </c>
      <c r="D34" s="1156" t="s">
        <v>3735</v>
      </c>
      <c r="E34" s="1156" t="s">
        <v>3827</v>
      </c>
      <c r="F34" s="1156" t="s">
        <v>3827</v>
      </c>
      <c r="G34" s="1156" t="s">
        <v>3813</v>
      </c>
      <c r="H34" s="1156">
        <v>236803.69</v>
      </c>
      <c r="I34" s="1156">
        <v>592009.23</v>
      </c>
      <c r="J34" s="1156" t="s">
        <v>3727</v>
      </c>
      <c r="K34" s="1156" t="s">
        <v>3728</v>
      </c>
      <c r="L34" s="1156">
        <v>2.5</v>
      </c>
      <c r="M34" s="1156" t="s">
        <v>3828</v>
      </c>
      <c r="N34" s="1156">
        <v>117300</v>
      </c>
      <c r="O34" s="1156">
        <v>4953.47</v>
      </c>
      <c r="P34" s="1156">
        <v>330.23</v>
      </c>
      <c r="Q34" s="1156">
        <v>1981</v>
      </c>
      <c r="R34" s="1156" t="s">
        <v>3592</v>
      </c>
      <c r="S34" s="1156" t="s">
        <v>3592</v>
      </c>
      <c r="T34" s="1156">
        <v>0</v>
      </c>
      <c r="U34" s="1156">
        <v>0</v>
      </c>
      <c r="V34" s="1156" t="s">
        <v>2479</v>
      </c>
      <c r="W34" s="1156" t="s">
        <v>3730</v>
      </c>
      <c r="X34" s="1156" t="s">
        <v>3815</v>
      </c>
      <c r="Y34" s="1156" t="s">
        <v>3592</v>
      </c>
      <c r="Z34" s="1156" t="s">
        <v>3592</v>
      </c>
      <c r="AA34" s="1156" t="s">
        <v>3592</v>
      </c>
      <c r="AB34" s="1156" t="s">
        <v>3594</v>
      </c>
      <c r="AC34" s="1156" t="s">
        <v>3592</v>
      </c>
      <c r="AD34" s="1156" t="s">
        <v>3592</v>
      </c>
      <c r="AE34" s="1156" t="s">
        <v>3592</v>
      </c>
      <c r="AF34" s="1156" t="s">
        <v>3592</v>
      </c>
      <c r="AG34" s="1156" t="s">
        <v>3592</v>
      </c>
      <c r="AH34" s="1156" t="s">
        <v>3829</v>
      </c>
      <c r="AI34" s="1156" t="s">
        <v>3596</v>
      </c>
      <c r="AJ34" s="1156" t="s">
        <v>3761</v>
      </c>
      <c r="AK34" s="1156" t="s">
        <v>3830</v>
      </c>
      <c r="AL34" s="1156" t="s">
        <v>3831</v>
      </c>
      <c r="AM34" s="1156" t="s">
        <v>3600</v>
      </c>
      <c r="AN34" s="1156" t="s">
        <v>3592</v>
      </c>
      <c r="AO34" s="1156">
        <v>117300</v>
      </c>
      <c r="AP34" s="1156">
        <v>23500</v>
      </c>
      <c r="AQ34" s="1156" t="s">
        <v>3832</v>
      </c>
      <c r="AR34" s="1156" t="s">
        <v>3592</v>
      </c>
      <c r="AS34" s="1156">
        <v>0</v>
      </c>
      <c r="AT34" s="1156" t="s">
        <v>3592</v>
      </c>
      <c r="AU34" s="1156" t="s">
        <v>3592</v>
      </c>
      <c r="AV34" s="1156" t="s">
        <v>3592</v>
      </c>
      <c r="AW34" s="1156" t="s">
        <v>3592</v>
      </c>
      <c r="AX34" s="1156" t="s">
        <v>3592</v>
      </c>
      <c r="AY34" s="1156" t="s">
        <v>3592</v>
      </c>
      <c r="AZ34" s="1156" t="s">
        <v>3592</v>
      </c>
      <c r="BA34" s="1156" t="s">
        <v>3637</v>
      </c>
      <c r="BB34" s="1156" t="s">
        <v>3592</v>
      </c>
      <c r="BC34" s="1156" t="s">
        <v>3520</v>
      </c>
      <c r="BD34" s="1156" t="s">
        <v>3592</v>
      </c>
      <c r="BE34" s="1156" t="s">
        <v>3603</v>
      </c>
    </row>
    <row r="35" spans="1:57" hidden="1">
      <c r="A35" s="1156" t="s">
        <v>3833</v>
      </c>
      <c r="B35" s="1156" t="s">
        <v>3419</v>
      </c>
      <c r="C35" s="1156" t="s">
        <v>3692</v>
      </c>
      <c r="D35" s="1156" t="s">
        <v>3724</v>
      </c>
      <c r="E35" s="1156" t="s">
        <v>3834</v>
      </c>
      <c r="F35" s="1156" t="s">
        <v>3835</v>
      </c>
      <c r="G35" s="1156" t="s">
        <v>3836</v>
      </c>
      <c r="H35" s="1156">
        <v>108495.99</v>
      </c>
      <c r="I35" s="1156">
        <v>206142.38</v>
      </c>
      <c r="J35" s="1156" t="s">
        <v>3727</v>
      </c>
      <c r="K35" s="1156" t="s">
        <v>3728</v>
      </c>
      <c r="L35" s="1156">
        <v>1.9</v>
      </c>
      <c r="M35" s="1156" t="s">
        <v>3837</v>
      </c>
      <c r="N35" s="1156">
        <v>45170.58</v>
      </c>
      <c r="O35" s="1156">
        <v>4163.34</v>
      </c>
      <c r="P35" s="1156">
        <v>277.56</v>
      </c>
      <c r="Q35" s="1156">
        <v>2191</v>
      </c>
      <c r="R35" s="1156" t="s">
        <v>3592</v>
      </c>
      <c r="S35" s="1156" t="s">
        <v>3592</v>
      </c>
      <c r="T35" s="1156">
        <v>0</v>
      </c>
      <c r="U35" s="1156">
        <v>0</v>
      </c>
      <c r="V35" s="1156" t="s">
        <v>2479</v>
      </c>
      <c r="W35" s="1156" t="s">
        <v>3730</v>
      </c>
      <c r="X35" s="1156" t="s">
        <v>3838</v>
      </c>
      <c r="Y35" s="1156" t="s">
        <v>3592</v>
      </c>
      <c r="Z35" s="1156" t="s">
        <v>3592</v>
      </c>
      <c r="AA35" s="1156">
        <v>36</v>
      </c>
      <c r="AB35" s="1156" t="s">
        <v>3594</v>
      </c>
      <c r="AC35" s="1156" t="s">
        <v>3592</v>
      </c>
      <c r="AD35" s="1156" t="s">
        <v>3592</v>
      </c>
      <c r="AE35" s="1156" t="s">
        <v>3592</v>
      </c>
      <c r="AF35" s="1156" t="s">
        <v>3592</v>
      </c>
      <c r="AG35" s="1156" t="s">
        <v>3592</v>
      </c>
      <c r="AH35" s="1156" t="s">
        <v>3839</v>
      </c>
      <c r="AI35" s="1156" t="s">
        <v>3596</v>
      </c>
      <c r="AJ35" s="1156" t="s">
        <v>3761</v>
      </c>
      <c r="AK35" s="1156" t="s">
        <v>3840</v>
      </c>
      <c r="AL35" s="1156" t="s">
        <v>3840</v>
      </c>
      <c r="AM35" s="1156" t="s">
        <v>3600</v>
      </c>
      <c r="AN35" s="1156" t="s">
        <v>3592</v>
      </c>
      <c r="AO35" s="1156">
        <v>45170.58</v>
      </c>
      <c r="AP35" s="1156">
        <v>9100</v>
      </c>
      <c r="AQ35" s="1156" t="s">
        <v>3841</v>
      </c>
      <c r="AR35" s="1156" t="s">
        <v>3592</v>
      </c>
      <c r="AS35" s="1156">
        <v>0</v>
      </c>
      <c r="AT35" s="1156" t="s">
        <v>3592</v>
      </c>
      <c r="AU35" s="1156" t="s">
        <v>3592</v>
      </c>
      <c r="AV35" s="1156" t="s">
        <v>3592</v>
      </c>
      <c r="AW35" s="1156" t="s">
        <v>3592</v>
      </c>
      <c r="AX35" s="1156" t="s">
        <v>3592</v>
      </c>
      <c r="AY35" s="1156" t="s">
        <v>3592</v>
      </c>
      <c r="AZ35" s="1156" t="s">
        <v>3592</v>
      </c>
      <c r="BA35" s="1156" t="s">
        <v>3637</v>
      </c>
      <c r="BB35" s="1156" t="s">
        <v>3592</v>
      </c>
      <c r="BC35" s="1156" t="s">
        <v>3520</v>
      </c>
      <c r="BD35" s="1156" t="s">
        <v>3592</v>
      </c>
      <c r="BE35" s="1156" t="s">
        <v>3603</v>
      </c>
    </row>
    <row r="36" spans="1:57">
      <c r="A36" s="1156" t="s">
        <v>3842</v>
      </c>
      <c r="B36" s="1156" t="s">
        <v>3419</v>
      </c>
      <c r="C36" s="1156" t="s">
        <v>3585</v>
      </c>
      <c r="D36" s="1156" t="s">
        <v>3639</v>
      </c>
      <c r="E36" s="1156" t="s">
        <v>3843</v>
      </c>
      <c r="F36" s="1156" t="s">
        <v>3843</v>
      </c>
      <c r="G36" s="1156" t="s">
        <v>3641</v>
      </c>
      <c r="H36" s="1156">
        <v>53536.71</v>
      </c>
      <c r="I36" s="1156">
        <v>64244.05</v>
      </c>
      <c r="J36" s="1156" t="s">
        <v>3589</v>
      </c>
      <c r="K36" s="1156" t="s">
        <v>3590</v>
      </c>
      <c r="L36" s="1156">
        <v>1.2</v>
      </c>
      <c r="M36" s="1156" t="s">
        <v>3844</v>
      </c>
      <c r="N36" s="1156">
        <v>8178.27</v>
      </c>
      <c r="O36" s="1156">
        <v>1527.6</v>
      </c>
      <c r="P36" s="1156">
        <v>101.84</v>
      </c>
      <c r="Q36" s="1156">
        <v>1273</v>
      </c>
      <c r="R36" s="1156" t="s">
        <v>3592</v>
      </c>
      <c r="S36" s="1156" t="s">
        <v>3592</v>
      </c>
      <c r="T36" s="1156">
        <v>0</v>
      </c>
      <c r="U36" s="1156">
        <v>0</v>
      </c>
      <c r="V36" s="1156" t="s">
        <v>2479</v>
      </c>
      <c r="W36" s="1156" t="s">
        <v>3589</v>
      </c>
      <c r="X36" s="1156" t="s">
        <v>3780</v>
      </c>
      <c r="Y36" s="1156" t="s">
        <v>3592</v>
      </c>
      <c r="Z36" s="1156" t="s">
        <v>3592</v>
      </c>
      <c r="AA36" s="1156" t="s">
        <v>3592</v>
      </c>
      <c r="AB36" s="1156" t="s">
        <v>3594</v>
      </c>
      <c r="AC36" s="1156" t="s">
        <v>3592</v>
      </c>
      <c r="AD36" s="1156" t="s">
        <v>3592</v>
      </c>
      <c r="AE36" s="1156" t="s">
        <v>3592</v>
      </c>
      <c r="AF36" s="1156" t="s">
        <v>3592</v>
      </c>
      <c r="AG36" s="1156" t="s">
        <v>3592</v>
      </c>
      <c r="AH36" s="1156" t="s">
        <v>3845</v>
      </c>
      <c r="AI36" s="1156" t="s">
        <v>3596</v>
      </c>
      <c r="AJ36" s="1156" t="s">
        <v>3761</v>
      </c>
      <c r="AK36" s="1156" t="s">
        <v>3846</v>
      </c>
      <c r="AL36" s="1156" t="s">
        <v>3847</v>
      </c>
      <c r="AM36" s="1156" t="s">
        <v>3600</v>
      </c>
      <c r="AN36" s="1156" t="s">
        <v>3592</v>
      </c>
      <c r="AO36" s="1156">
        <v>8178.27</v>
      </c>
      <c r="AP36" s="1156">
        <v>1700</v>
      </c>
      <c r="AQ36" s="1156" t="s">
        <v>3848</v>
      </c>
      <c r="AR36" s="1156" t="s">
        <v>3592</v>
      </c>
      <c r="AS36" s="1156">
        <v>0</v>
      </c>
      <c r="AT36" s="1156" t="s">
        <v>3592</v>
      </c>
      <c r="AU36" s="1156" t="s">
        <v>3592</v>
      </c>
      <c r="AV36" s="1156" t="s">
        <v>3592</v>
      </c>
      <c r="AW36" s="1156" t="s">
        <v>3592</v>
      </c>
      <c r="AX36" s="1156" t="s">
        <v>3592</v>
      </c>
      <c r="AY36" s="1156" t="s">
        <v>3592</v>
      </c>
      <c r="AZ36" s="1156" t="s">
        <v>3592</v>
      </c>
      <c r="BA36" s="1156" t="s">
        <v>3646</v>
      </c>
      <c r="BB36" s="1156" t="s">
        <v>3592</v>
      </c>
      <c r="BC36" s="1156" t="s">
        <v>3520</v>
      </c>
      <c r="BD36" s="1156" t="s">
        <v>3592</v>
      </c>
      <c r="BE36" s="1156" t="s">
        <v>3603</v>
      </c>
    </row>
    <row r="37" spans="1:57" hidden="1">
      <c r="A37" s="1156" t="s">
        <v>3849</v>
      </c>
      <c r="B37" s="1156" t="s">
        <v>3419</v>
      </c>
      <c r="C37" s="1156" t="s">
        <v>3692</v>
      </c>
      <c r="D37" s="1156" t="s">
        <v>3850</v>
      </c>
      <c r="E37" s="1156" t="s">
        <v>3851</v>
      </c>
      <c r="F37" s="1156" t="s">
        <v>3851</v>
      </c>
      <c r="G37" s="1156" t="s">
        <v>3752</v>
      </c>
      <c r="H37" s="1156">
        <v>65332.65</v>
      </c>
      <c r="I37" s="1156">
        <v>117598.77</v>
      </c>
      <c r="J37" s="1156" t="s">
        <v>3727</v>
      </c>
      <c r="K37" s="1156" t="s">
        <v>3728</v>
      </c>
      <c r="L37" s="1156">
        <v>1.8</v>
      </c>
      <c r="M37" s="1156" t="s">
        <v>3852</v>
      </c>
      <c r="N37" s="1156">
        <v>25381.96</v>
      </c>
      <c r="O37" s="1156">
        <v>3885.03</v>
      </c>
      <c r="P37" s="1156">
        <v>259</v>
      </c>
      <c r="Q37" s="1156">
        <v>2158</v>
      </c>
      <c r="R37" s="1156" t="s">
        <v>3592</v>
      </c>
      <c r="S37" s="1156" t="s">
        <v>3592</v>
      </c>
      <c r="T37" s="1156">
        <v>0</v>
      </c>
      <c r="U37" s="1156">
        <v>0</v>
      </c>
      <c r="V37" s="1156" t="s">
        <v>2479</v>
      </c>
      <c r="W37" s="1156" t="s">
        <v>3853</v>
      </c>
      <c r="X37" s="1156" t="s">
        <v>3806</v>
      </c>
      <c r="Y37" s="1156" t="s">
        <v>3592</v>
      </c>
      <c r="Z37" s="1156" t="s">
        <v>3592</v>
      </c>
      <c r="AA37" s="1156" t="s">
        <v>3592</v>
      </c>
      <c r="AB37" s="1156" t="s">
        <v>3594</v>
      </c>
      <c r="AC37" s="1156" t="s">
        <v>3592</v>
      </c>
      <c r="AD37" s="1156" t="s">
        <v>3592</v>
      </c>
      <c r="AE37" s="1156" t="s">
        <v>3592</v>
      </c>
      <c r="AF37" s="1156" t="s">
        <v>3592</v>
      </c>
      <c r="AG37" s="1156" t="s">
        <v>3592</v>
      </c>
      <c r="AH37" s="1156" t="s">
        <v>3854</v>
      </c>
      <c r="AI37" s="1156" t="s">
        <v>3596</v>
      </c>
      <c r="AJ37" s="1156" t="s">
        <v>3761</v>
      </c>
      <c r="AK37" s="1156" t="s">
        <v>3855</v>
      </c>
      <c r="AL37" s="1156" t="s">
        <v>3856</v>
      </c>
      <c r="AM37" s="1156" t="s">
        <v>3857</v>
      </c>
      <c r="AN37" s="1156" t="s">
        <v>3858</v>
      </c>
      <c r="AO37" s="1156">
        <v>25381.96</v>
      </c>
      <c r="AP37" s="1156">
        <v>5100</v>
      </c>
      <c r="AQ37" s="1156" t="s">
        <v>3859</v>
      </c>
      <c r="AR37" s="1156" t="s">
        <v>3592</v>
      </c>
      <c r="AS37" s="1156">
        <v>0</v>
      </c>
      <c r="AT37" s="1156" t="s">
        <v>3592</v>
      </c>
      <c r="AU37" s="1156" t="s">
        <v>3592</v>
      </c>
      <c r="AV37" s="1156" t="s">
        <v>3592</v>
      </c>
      <c r="AW37" s="1156" t="s">
        <v>3592</v>
      </c>
      <c r="AX37" s="1156" t="s">
        <v>3592</v>
      </c>
      <c r="AY37" s="1156" t="s">
        <v>3592</v>
      </c>
      <c r="AZ37" s="1156" t="s">
        <v>3592</v>
      </c>
      <c r="BA37" s="1156" t="s">
        <v>3637</v>
      </c>
      <c r="BB37" s="1156" t="s">
        <v>3592</v>
      </c>
      <c r="BC37" s="1156" t="s">
        <v>3520</v>
      </c>
      <c r="BD37" s="1156" t="s">
        <v>3592</v>
      </c>
      <c r="BE37" s="1156" t="s">
        <v>3603</v>
      </c>
    </row>
  </sheetData>
  <autoFilter ref="A1:BV37" xr:uid="{5B5DF571-A7CF-4F13-9A5E-39982383CFBD}">
    <filterColumn colId="9">
      <filters>
        <filter val="M1一类工业用地"/>
        <filter val="M1一类工业用地、B41加油加气站用地"/>
        <filter val="M工业用地"/>
      </filters>
    </filterColumn>
  </autoFilter>
  <phoneticPr fontId="13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8">
      <c r="A3" s="3174" t="str">
        <f>IF(项目基本情况!B9="房地产市场价值","估价结果一览表（市场价值不需“结果表-1”）","估价结果一览表")</f>
        <v>估价结果一览表</v>
      </c>
      <c r="B3" s="3174"/>
      <c r="C3" s="3174"/>
      <c r="D3" s="3174"/>
      <c r="E3" s="3174"/>
    </row>
    <row r="4" spans="1:5" ht="18.5" thickBot="1">
      <c r="A4" s="1391"/>
      <c r="B4" s="3172" t="s">
        <v>917</v>
      </c>
      <c r="C4" s="3172"/>
      <c r="D4" s="3172"/>
      <c r="E4" s="1391"/>
    </row>
    <row r="5" spans="1:5" ht="16" thickTop="1">
      <c r="B5" s="3170" t="s">
        <v>909</v>
      </c>
      <c r="C5" s="1392" t="s">
        <v>910</v>
      </c>
      <c r="D5" s="797">
        <f ca="1">结果表!H101</f>
        <v>7762</v>
      </c>
    </row>
    <row r="6" spans="1:5" ht="15.5">
      <c r="B6" s="3170"/>
      <c r="C6" s="1392" t="s">
        <v>911</v>
      </c>
      <c r="D6" s="797" t="str">
        <f ca="1">NUMBERSTRING(INT(D5*10000),2)&amp;"元整"</f>
        <v>柒仟柒佰陆拾贰万元整</v>
      </c>
    </row>
    <row r="7" spans="1:5" ht="15.5">
      <c r="B7" s="3175"/>
      <c r="C7" s="1393" t="s">
        <v>912</v>
      </c>
      <c r="D7" s="798">
        <f ca="1">结果表!H102</f>
        <v>4718</v>
      </c>
    </row>
    <row r="8" spans="1:5" ht="15.5">
      <c r="B8" s="3176" t="str">
        <f>结果表!E103</f>
        <v>2.估价师知悉的法定优先受偿款</v>
      </c>
      <c r="C8" s="1394" t="s">
        <v>913</v>
      </c>
      <c r="D8" s="798">
        <f>结果表!H103</f>
        <v>0</v>
      </c>
    </row>
    <row r="9" spans="1:5" ht="15.5">
      <c r="B9" s="3178"/>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69" t="str">
        <f>结果表!E107</f>
        <v>3.房地产抵押价值</v>
      </c>
      <c r="C13" s="1397" t="s">
        <v>910</v>
      </c>
      <c r="D13" s="800">
        <f ca="1">结果表!H107</f>
        <v>7762</v>
      </c>
    </row>
    <row r="14" spans="1:5" ht="15.5">
      <c r="B14" s="3170"/>
      <c r="C14" s="1392" t="s">
        <v>911</v>
      </c>
      <c r="D14" s="797" t="str">
        <f ca="1">NUMBERSTRING(INT(D13*10000),2)&amp;"元整"</f>
        <v>柒仟柒佰陆拾贰万元整</v>
      </c>
    </row>
    <row r="15" spans="1:5" ht="15.5">
      <c r="B15" s="3175"/>
      <c r="C15" s="1393" t="s">
        <v>921</v>
      </c>
      <c r="D15" s="806">
        <f ca="1">结果表!H108</f>
        <v>4718</v>
      </c>
    </row>
    <row r="16" spans="1:5" ht="15">
      <c r="B16" s="3176" t="str">
        <f>结果表!E109</f>
        <v>——</v>
      </c>
      <c r="C16" s="1397" t="s">
        <v>922</v>
      </c>
      <c r="D16" s="1398" t="str">
        <f>结果表!H109</f>
        <v>——</v>
      </c>
    </row>
    <row r="17" spans="1:5" ht="15.5">
      <c r="B17" s="3177"/>
      <c r="C17" s="1392" t="s">
        <v>923</v>
      </c>
      <c r="D17" s="797" t="e">
        <f>NUMBERSTRING(INT(D16*10000),2)&amp;"元整"</f>
        <v>#VALUE!</v>
      </c>
    </row>
    <row r="18" spans="1:5" ht="15.5">
      <c r="B18" s="3178"/>
      <c r="C18" s="1393" t="s">
        <v>912</v>
      </c>
      <c r="D18" s="806" t="str">
        <f>结果表!H110</f>
        <v>——</v>
      </c>
    </row>
    <row r="19" spans="1:5" ht="15.5">
      <c r="B19" s="3169" t="str">
        <f>结果表!E111</f>
        <v>——</v>
      </c>
      <c r="C19" s="1397" t="s">
        <v>910</v>
      </c>
      <c r="D19" s="798" t="str">
        <f>结果表!H111</f>
        <v>——</v>
      </c>
    </row>
    <row r="20" spans="1:5" ht="15.5">
      <c r="B20" s="3170"/>
      <c r="C20" s="1392" t="s">
        <v>923</v>
      </c>
      <c r="D20" s="797" t="e">
        <f>NUMBERSTRING(INT(D19*10000),2)&amp;"元整"</f>
        <v>#VALUE!</v>
      </c>
    </row>
    <row r="21" spans="1:5" ht="16" thickBot="1">
      <c r="B21" s="3171"/>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91F9A-6D9D-4C22-AB5F-992A18D9B7CB}">
  <sheetPr>
    <tabColor rgb="FF7030A0"/>
  </sheetPr>
  <dimension ref="A1:Y13"/>
  <sheetViews>
    <sheetView workbookViewId="0">
      <selection activeCell="H34" sqref="H34"/>
    </sheetView>
  </sheetViews>
  <sheetFormatPr defaultRowHeight="14"/>
  <sheetData>
    <row r="1" spans="1:25">
      <c r="A1" s="1156"/>
      <c r="B1" s="1156" t="s">
        <v>3528</v>
      </c>
      <c r="C1" s="1156" t="s">
        <v>3529</v>
      </c>
      <c r="D1" s="1156" t="s">
        <v>3530</v>
      </c>
      <c r="E1" s="1156" t="s">
        <v>3531</v>
      </c>
      <c r="F1" s="1156" t="s">
        <v>3532</v>
      </c>
      <c r="G1" s="1156" t="s">
        <v>3533</v>
      </c>
      <c r="H1" s="1156" t="s">
        <v>3534</v>
      </c>
      <c r="I1" s="1156" t="s">
        <v>3535</v>
      </c>
      <c r="J1" s="1156" t="s">
        <v>3536</v>
      </c>
      <c r="K1" s="1156" t="s">
        <v>3537</v>
      </c>
      <c r="L1" s="1156" t="s">
        <v>3538</v>
      </c>
      <c r="M1" s="1156" t="s">
        <v>3539</v>
      </c>
      <c r="N1" s="1156" t="s">
        <v>3540</v>
      </c>
      <c r="O1" s="1156" t="s">
        <v>3541</v>
      </c>
      <c r="P1" s="1156" t="s">
        <v>3542</v>
      </c>
      <c r="Q1" s="1156" t="s">
        <v>3543</v>
      </c>
      <c r="S1" s="3535" t="s">
        <v>3861</v>
      </c>
      <c r="T1" s="3535" t="s">
        <v>3866</v>
      </c>
    </row>
    <row r="2" spans="1:25">
      <c r="A2" s="3532"/>
      <c r="B2" s="3532" t="s">
        <v>3618</v>
      </c>
      <c r="C2" s="3532" t="s">
        <v>3585</v>
      </c>
      <c r="D2" s="3532" t="s">
        <v>3619</v>
      </c>
      <c r="E2" s="3532" t="s">
        <v>3620</v>
      </c>
      <c r="F2" s="3532" t="s">
        <v>3621</v>
      </c>
      <c r="G2" s="3532" t="s">
        <v>3622</v>
      </c>
      <c r="H2" s="3532">
        <v>1600</v>
      </c>
      <c r="I2" s="3532">
        <v>1600</v>
      </c>
      <c r="J2" s="3532" t="s">
        <v>3589</v>
      </c>
      <c r="K2" s="3532" t="s">
        <v>3590</v>
      </c>
      <c r="L2" s="3532">
        <v>1</v>
      </c>
      <c r="M2" s="3532" t="s">
        <v>3623</v>
      </c>
      <c r="N2" s="3532">
        <v>269.92</v>
      </c>
      <c r="O2" s="3532">
        <v>1687</v>
      </c>
      <c r="P2" s="3532">
        <v>112.47</v>
      </c>
      <c r="Q2" s="3532">
        <v>1687</v>
      </c>
      <c r="S2" s="1405">
        <f>ROUND(O2*$Q$7,0)</f>
        <v>2563</v>
      </c>
      <c r="T2">
        <f>S2</f>
        <v>2563</v>
      </c>
      <c r="V2" s="1405" t="s">
        <v>3867</v>
      </c>
      <c r="Y2" s="1405"/>
    </row>
    <row r="3" spans="1:25">
      <c r="B3" s="3532" t="s">
        <v>3672</v>
      </c>
      <c r="C3" s="3532" t="s">
        <v>3585</v>
      </c>
      <c r="D3" s="3532" t="s">
        <v>3619</v>
      </c>
      <c r="E3" s="3532" t="s">
        <v>3673</v>
      </c>
      <c r="F3" s="3532" t="s">
        <v>3673</v>
      </c>
      <c r="G3" s="3532" t="s">
        <v>3622</v>
      </c>
      <c r="H3" s="3532">
        <v>18400</v>
      </c>
      <c r="I3" s="3532">
        <v>18400</v>
      </c>
      <c r="J3" s="3532" t="s">
        <v>3589</v>
      </c>
      <c r="K3" s="3532" t="s">
        <v>3590</v>
      </c>
      <c r="L3" s="3532">
        <v>1</v>
      </c>
      <c r="M3" s="3532" t="s">
        <v>3668</v>
      </c>
      <c r="N3" s="3532">
        <v>3098.56</v>
      </c>
      <c r="O3" s="3532">
        <v>1684</v>
      </c>
      <c r="P3" s="3532">
        <v>112.27</v>
      </c>
      <c r="Q3" s="3532">
        <v>1684</v>
      </c>
      <c r="S3" s="1405">
        <f t="shared" ref="S3:S4" si="0">ROUND(O3*$Q$7,0)</f>
        <v>2558</v>
      </c>
      <c r="T3">
        <f>S3</f>
        <v>2558</v>
      </c>
      <c r="V3" s="1405" t="s">
        <v>3867</v>
      </c>
      <c r="Y3" s="1405"/>
    </row>
    <row r="4" spans="1:25">
      <c r="B4" s="3532" t="s">
        <v>3790</v>
      </c>
      <c r="C4" s="3532" t="s">
        <v>3692</v>
      </c>
      <c r="D4" s="3532" t="s">
        <v>3791</v>
      </c>
      <c r="E4" s="3532" t="s">
        <v>3792</v>
      </c>
      <c r="F4" s="3532" t="s">
        <v>3793</v>
      </c>
      <c r="G4" s="3532" t="s">
        <v>3794</v>
      </c>
      <c r="H4" s="3532">
        <v>53345.32</v>
      </c>
      <c r="I4" s="3532">
        <v>64014.38</v>
      </c>
      <c r="J4" s="3532" t="s">
        <v>3696</v>
      </c>
      <c r="K4" s="3532" t="s">
        <v>3590</v>
      </c>
      <c r="L4" s="3532">
        <v>1.2</v>
      </c>
      <c r="M4" s="3532" t="s">
        <v>3787</v>
      </c>
      <c r="N4" s="3532">
        <v>7279.4</v>
      </c>
      <c r="O4" s="3532">
        <v>1364.58</v>
      </c>
      <c r="P4" s="3532">
        <v>90.97</v>
      </c>
      <c r="Q4" s="3532">
        <v>1137</v>
      </c>
      <c r="S4" s="1405">
        <f t="shared" si="0"/>
        <v>2073</v>
      </c>
      <c r="T4">
        <f>ROUND(S4/R10,0)</f>
        <v>2208</v>
      </c>
      <c r="V4" s="1405" t="s">
        <v>3863</v>
      </c>
      <c r="Y4" s="1405"/>
    </row>
    <row r="6" spans="1:25">
      <c r="Q6" s="3535" t="s">
        <v>3860</v>
      </c>
    </row>
    <row r="7" spans="1:25">
      <c r="Q7">
        <f>常用公式!C18</f>
        <v>1.5190999999999999</v>
      </c>
    </row>
    <row r="9" spans="1:25">
      <c r="P9" s="1405" t="s">
        <v>3862</v>
      </c>
      <c r="Q9" s="1405" t="s">
        <v>3863</v>
      </c>
      <c r="R9" s="1405" t="s">
        <v>3865</v>
      </c>
      <c r="S9" s="1405" t="s">
        <v>3864</v>
      </c>
      <c r="T9" s="1405" t="s">
        <v>3867</v>
      </c>
    </row>
    <row r="10" spans="1:25">
      <c r="O10" s="1405" t="s">
        <v>3863</v>
      </c>
      <c r="P10">
        <v>1.2</v>
      </c>
      <c r="Q10" s="3157">
        <f>容积率修正!K281</f>
        <v>0.93879999999999997</v>
      </c>
      <c r="R10">
        <f>容积率修正!J281</f>
        <v>0.93879999999999997</v>
      </c>
      <c r="S10">
        <f>容积率修正!I281</f>
        <v>0.93879999999999997</v>
      </c>
      <c r="T10">
        <f>容积率修正!H281</f>
        <v>1</v>
      </c>
    </row>
    <row r="11" spans="1:25">
      <c r="P11">
        <v>1.5</v>
      </c>
      <c r="Q11">
        <f>容积率修正!K284</f>
        <v>0.8589</v>
      </c>
      <c r="R11">
        <f>容积率修正!J284</f>
        <v>0.8589</v>
      </c>
      <c r="S11">
        <f>容积率修正!I284</f>
        <v>0.8589</v>
      </c>
    </row>
    <row r="12" spans="1:25">
      <c r="P12">
        <v>2</v>
      </c>
      <c r="Q12">
        <f>容积率修正!K289</f>
        <v>0.75270000000000004</v>
      </c>
      <c r="R12">
        <f>容积率修正!J289</f>
        <v>0.75270000000000004</v>
      </c>
      <c r="S12">
        <f>容积率修正!I289</f>
        <v>0.75270000000000004</v>
      </c>
    </row>
    <row r="13" spans="1:25">
      <c r="P13" s="1405"/>
    </row>
  </sheetData>
  <phoneticPr fontId="13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F53B0-B669-4322-ABD8-81673ED48725}">
  <sheetPr>
    <tabColor rgb="FF7030A0"/>
  </sheetPr>
  <dimension ref="A1"/>
  <sheetViews>
    <sheetView topLeftCell="A70" workbookViewId="0">
      <selection activeCell="T98" sqref="T98"/>
    </sheetView>
  </sheetViews>
  <sheetFormatPr defaultRowHeight="14"/>
  <sheetData/>
  <phoneticPr fontId="13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topLeftCell="A271" zoomScale="70" zoomScaleNormal="70" workbookViewId="0">
      <selection activeCell="A281" sqref="A281:XFD281"/>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1.2302</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1.1198999999999999</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28341</v>
      </c>
      <c r="C2" s="2" t="s">
        <v>106</v>
      </c>
      <c r="D2" s="191"/>
      <c r="E2" s="191"/>
      <c r="F2" s="191"/>
      <c r="G2" s="191"/>
    </row>
    <row r="3" spans="1:7" s="192" customFormat="1" ht="18" customHeight="1" thickBot="1">
      <c r="A3" s="195" t="s">
        <v>58</v>
      </c>
      <c r="B3" s="196">
        <f ca="1">ROUND(B2*10000/'数据-汇总表'!E3,0)</f>
        <v>17228</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132</v>
      </c>
      <c r="D10" s="795">
        <f>'数据-汇总表'!E6</f>
        <v>16450.849999999999</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329</v>
      </c>
      <c r="D19" s="204">
        <f>'数据-汇总表'!E3</f>
        <v>16450.849999999999</v>
      </c>
      <c r="E19" s="203">
        <f>'数据-取费表'!B31</f>
        <v>200</v>
      </c>
      <c r="F19" s="223"/>
      <c r="G19" s="1" t="s">
        <v>436</v>
      </c>
    </row>
    <row r="20" spans="1:7" s="206" customFormat="1" ht="13.5" customHeight="1">
      <c r="A20" s="731" t="s">
        <v>419</v>
      </c>
      <c r="B20" s="202" t="s">
        <v>77</v>
      </c>
      <c r="C20" s="224">
        <f>ROUND((C5+C19)*F20,0)</f>
        <v>419</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634</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10</v>
      </c>
      <c r="D24" s="230"/>
      <c r="E24" s="230"/>
      <c r="F24" s="231"/>
      <c r="G24" s="232" t="s">
        <v>82</v>
      </c>
    </row>
    <row r="25" spans="1:7" s="206" customFormat="1" ht="26">
      <c r="A25" s="734" t="s">
        <v>348</v>
      </c>
      <c r="B25" s="207" t="s">
        <v>420</v>
      </c>
      <c r="C25" s="1042">
        <f ca="1">ROUND(IF('数据-取费表'!B22&lt;=1,C20*F22*'数据-取费表'!B23/2,C20*(POWER((1+F22),'数据-取费表'!B23/2)-1)),0)</f>
        <v>6</v>
      </c>
      <c r="D25" s="230"/>
      <c r="E25" s="233"/>
      <c r="F25" s="231"/>
      <c r="G25" s="234" t="s">
        <v>83</v>
      </c>
    </row>
    <row r="26" spans="1:7" s="206" customFormat="1" ht="13">
      <c r="A26" s="734" t="s">
        <v>350</v>
      </c>
      <c r="B26" s="207" t="s">
        <v>422</v>
      </c>
      <c r="C26" s="230">
        <f ca="1">ROUND(IF('数据-取费表'!B22&lt;=1,F21*F22*'数据-取费表'!B23/2,F21*(POWER((1+F22),'数据-取费表'!B23/2)-1)),4)</f>
        <v>2.9999999999999997E-4</v>
      </c>
      <c r="D26" s="230"/>
      <c r="E26" s="233"/>
      <c r="F26" s="231"/>
      <c r="G26" s="235"/>
    </row>
    <row r="27" spans="1:7" s="206" customFormat="1" ht="27">
      <c r="A27" s="731" t="s">
        <v>342</v>
      </c>
      <c r="B27" s="236" t="s">
        <v>85</v>
      </c>
      <c r="C27" s="237">
        <f>C28</f>
        <v>1068</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1068</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24920</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4416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3820</v>
      </c>
      <c r="D34" s="209"/>
      <c r="E34" s="212"/>
      <c r="F34" s="249">
        <f>IF('数据-取费表'!B24=0,1,'数据-取费表'!N16)</f>
        <v>1</v>
      </c>
      <c r="G34" s="211" t="s">
        <v>89</v>
      </c>
    </row>
    <row r="35" spans="1:7" ht="13.5" customHeight="1">
      <c r="A35" s="734" t="s">
        <v>351</v>
      </c>
      <c r="B35" s="207" t="s">
        <v>33</v>
      </c>
      <c r="C35" s="212">
        <f>ROUND(C34*F35,0)</f>
        <v>191</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329</v>
      </c>
      <c r="D37" s="209">
        <f>'数据-汇总表'!E3</f>
        <v>16450.849999999999</v>
      </c>
      <c r="E37" s="241">
        <f>'数据-取费表'!B35</f>
        <v>200</v>
      </c>
      <c r="F37" s="251"/>
      <c r="G37" s="253" t="s">
        <v>92</v>
      </c>
    </row>
    <row r="38" spans="1:7" ht="13.5" customHeight="1">
      <c r="A38" s="734" t="s">
        <v>354</v>
      </c>
      <c r="B38" s="207" t="s">
        <v>36</v>
      </c>
      <c r="C38" s="212">
        <f>ROUND(C34*F38,0)</f>
        <v>76</v>
      </c>
      <c r="D38" s="212"/>
      <c r="E38" s="212"/>
      <c r="F38" s="251">
        <f>'数据-取费表'!B36</f>
        <v>0.02</v>
      </c>
      <c r="G38" s="211" t="s">
        <v>90</v>
      </c>
    </row>
    <row r="39" spans="1:7" s="206" customFormat="1" ht="13.5" customHeight="1">
      <c r="A39" s="731" t="s">
        <v>338</v>
      </c>
      <c r="B39" s="202" t="s">
        <v>77</v>
      </c>
      <c r="C39" s="224">
        <f>ROUND(C33*F20,0)</f>
        <v>88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67</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66</v>
      </c>
      <c r="D42" s="230"/>
      <c r="E42" s="230"/>
      <c r="F42" s="231"/>
      <c r="G42" s="3350" t="s">
        <v>94</v>
      </c>
    </row>
    <row r="43" spans="1:7" ht="13.5" customHeight="1">
      <c r="A43" s="734" t="s">
        <v>347</v>
      </c>
      <c r="B43" s="207" t="s">
        <v>426</v>
      </c>
      <c r="C43" s="230">
        <f ca="1">ROUND(IF('数据-取费表'!B22&lt;=1,C39*F22*'数据-取费表'!B21/2,C39*(POWER((1+F22),'数据-取费表'!B21/2)-1)),0)</f>
        <v>1</v>
      </c>
      <c r="D43" s="230"/>
      <c r="E43" s="230"/>
      <c r="F43" s="231"/>
      <c r="G43" s="3351"/>
    </row>
    <row r="44" spans="1:7" ht="13.5" customHeight="1">
      <c r="A44" s="734" t="s">
        <v>348</v>
      </c>
      <c r="B44" s="207" t="s">
        <v>428</v>
      </c>
      <c r="C44" s="230">
        <f ca="1">ROUND(IF('数据-取费表'!B22&lt;=1,C40*F22*'数据-取费表'!B21/2,C40*(POWER((1+F22),'数据-取费表'!B21/2)-1)),4)</f>
        <v>2.9999999999999997E-4</v>
      </c>
      <c r="D44" s="230"/>
      <c r="E44" s="230"/>
      <c r="F44" s="231"/>
      <c r="G44" s="3352"/>
    </row>
    <row r="45" spans="1:7" s="206" customFormat="1" ht="13.5" customHeight="1">
      <c r="A45" s="731" t="s">
        <v>341</v>
      </c>
      <c r="B45" s="236" t="s">
        <v>85</v>
      </c>
      <c r="C45" s="237">
        <f>C46</f>
        <v>225</v>
      </c>
      <c r="D45" s="227">
        <f>C47</f>
        <v>1E-3</v>
      </c>
      <c r="E45" s="228" t="s">
        <v>102</v>
      </c>
      <c r="F45" s="238"/>
      <c r="G45" s="239" t="s">
        <v>434</v>
      </c>
    </row>
    <row r="46" spans="1:7" s="206" customFormat="1" ht="13.5" customHeight="1">
      <c r="A46" s="734" t="s">
        <v>349</v>
      </c>
      <c r="B46" s="240" t="s">
        <v>427</v>
      </c>
      <c r="C46" s="241">
        <f>ROUND((C33+C39)*F27,0)</f>
        <v>225</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5183</v>
      </c>
      <c r="D49" s="224"/>
      <c r="E49" s="224"/>
      <c r="F49" s="256"/>
      <c r="G49" s="226" t="s">
        <v>435</v>
      </c>
    </row>
    <row r="50" spans="1:7" s="250" customFormat="1" ht="26">
      <c r="A50" s="731" t="s">
        <v>344</v>
      </c>
      <c r="B50" s="202" t="s">
        <v>97</v>
      </c>
      <c r="C50" s="224"/>
      <c r="D50" s="224"/>
      <c r="E50" s="224"/>
      <c r="F50" s="256">
        <f>IF('数据-取费表'!B24=0,'数据-取费表'!N16,1)</f>
        <v>0.66</v>
      </c>
      <c r="G50" s="239" t="s">
        <v>98</v>
      </c>
    </row>
    <row r="51" spans="1:7" ht="16.5" customHeight="1">
      <c r="A51" s="731" t="s">
        <v>345</v>
      </c>
      <c r="B51" s="202" t="s">
        <v>105</v>
      </c>
      <c r="C51" s="224">
        <f ca="1">ROUND(C49*F50,0)</f>
        <v>3421</v>
      </c>
      <c r="D51" s="224"/>
      <c r="E51" s="224"/>
      <c r="F51" s="256"/>
      <c r="G51" s="226" t="s">
        <v>37</v>
      </c>
    </row>
    <row r="52" spans="1:7" s="200" customFormat="1" ht="16.5" thickBot="1">
      <c r="A52" s="257" t="s">
        <v>38</v>
      </c>
      <c r="B52" s="258"/>
      <c r="C52" s="259">
        <f ca="1">C31+C51</f>
        <v>28341</v>
      </c>
      <c r="D52" s="258"/>
      <c r="E52" s="258"/>
      <c r="F52" s="258"/>
      <c r="G52" s="260"/>
    </row>
    <row r="55" spans="1:7" ht="15.5">
      <c r="B55" s="262" t="s">
        <v>39</v>
      </c>
      <c r="C55" s="263"/>
    </row>
    <row r="56" spans="1:7" ht="13">
      <c r="B56" s="265" t="s">
        <v>40</v>
      </c>
      <c r="C56" s="266">
        <f ca="1">ROUND(C51/C52,3)</f>
        <v>0.121</v>
      </c>
    </row>
    <row r="57" spans="1:7" ht="13">
      <c r="B57" s="265" t="s">
        <v>41</v>
      </c>
      <c r="C57" s="267">
        <f ca="1">1-C56</f>
        <v>0.879</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487" t="s">
        <v>3181</v>
      </c>
      <c r="B1" s="3487"/>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488" t="s">
        <v>3232</v>
      </c>
      <c r="B1" s="3488"/>
      <c r="C1" s="3488"/>
      <c r="D1" s="3488"/>
      <c r="E1" s="3488"/>
      <c r="F1" s="3489"/>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45947</v>
      </c>
      <c r="B1" s="2928" t="s">
        <v>3376</v>
      </c>
      <c r="C1" s="2929"/>
      <c r="D1" s="2929"/>
      <c r="E1" s="2929"/>
      <c r="F1" s="2929"/>
      <c r="G1" s="2929"/>
      <c r="H1" s="2929"/>
      <c r="I1" s="2929"/>
      <c r="J1" s="2895"/>
      <c r="K1" s="2929" t="s">
        <v>454</v>
      </c>
      <c r="L1" s="2929"/>
      <c r="M1" s="2929"/>
      <c r="N1" s="2929"/>
      <c r="O1" s="2929"/>
      <c r="P1" s="2929"/>
      <c r="Q1" s="2895"/>
      <c r="R1" s="3490" t="s">
        <v>456</v>
      </c>
      <c r="S1" s="3491"/>
      <c r="T1" s="3491"/>
      <c r="U1" s="3491"/>
      <c r="V1" s="3491"/>
      <c r="W1" s="3491"/>
      <c r="X1" s="2895"/>
      <c r="Y1" s="3490" t="s">
        <v>457</v>
      </c>
      <c r="Z1" s="3491"/>
      <c r="AA1" s="3491"/>
      <c r="AB1" s="3491"/>
      <c r="AC1" s="3491"/>
      <c r="AD1" s="3491"/>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5" customFormat="1" ht="13">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3379</v>
      </c>
    </row>
    <row r="27" spans="1:44">
      <c r="I27" s="1405" t="s">
        <v>2825</v>
      </c>
    </row>
    <row r="29" spans="1:44" s="2009" customFormat="1" ht="13">
      <c r="B29" s="2928" t="s">
        <v>3377</v>
      </c>
      <c r="C29" s="2929"/>
      <c r="D29" s="2929"/>
      <c r="E29" s="2929"/>
      <c r="F29" s="2929"/>
      <c r="G29" s="2929"/>
      <c r="H29" s="2929"/>
      <c r="I29" s="2929"/>
      <c r="J29" s="2895"/>
      <c r="K29" s="2929" t="s">
        <v>2826</v>
      </c>
      <c r="L29" s="2929"/>
      <c r="M29" s="2929"/>
      <c r="N29" s="2929"/>
      <c r="O29" s="2929"/>
      <c r="P29" s="2929"/>
      <c r="Q29" s="2895"/>
      <c r="R29" s="3490" t="s">
        <v>2827</v>
      </c>
      <c r="S29" s="3491"/>
      <c r="T29" s="3491"/>
      <c r="U29" s="3491"/>
      <c r="V29" s="3491"/>
      <c r="W29" s="3491"/>
      <c r="X29" s="2895"/>
      <c r="Y29" s="3490" t="s">
        <v>2828</v>
      </c>
      <c r="Z29" s="3491"/>
      <c r="AA29" s="3491"/>
      <c r="AB29" s="3491"/>
      <c r="AC29" s="3491"/>
      <c r="AD29" s="3491"/>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5" customFormat="1" ht="13">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49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49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49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3">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49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3">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49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03" t="s">
        <v>2839</v>
      </c>
      <c r="B1" s="3503"/>
      <c r="C1" s="3503"/>
      <c r="D1" s="3503"/>
      <c r="E1" s="3503"/>
      <c r="F1" s="3503"/>
      <c r="G1" s="3504"/>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1"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02"/>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45947</v>
      </c>
      <c r="D1" s="1217" t="s">
        <v>603</v>
      </c>
      <c r="E1" s="1212">
        <f>'数据-取费表'!B22</f>
        <v>1</v>
      </c>
      <c r="F1" s="1217" t="s">
        <v>604</v>
      </c>
      <c r="G1" s="1213">
        <f ca="1">IF(OR(C1&lt;C27,E1&lt;=1),INDIRECT("d"&amp;$K$1)/100,ROUND((D5+(E1-C5)*(D7-D5)/(C7-C5))/100,4))</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6">
      <c r="A3" s="3182"/>
      <c r="B3" s="3182"/>
      <c r="C3" s="3182"/>
      <c r="D3" s="801" t="s">
        <v>925</v>
      </c>
      <c r="E3" s="801" t="s">
        <v>931</v>
      </c>
      <c r="F3" s="801" t="s">
        <v>925</v>
      </c>
      <c r="G3" s="801" t="s">
        <v>926</v>
      </c>
      <c r="H3" s="801" t="s">
        <v>925</v>
      </c>
      <c r="I3" s="801" t="s">
        <v>926</v>
      </c>
    </row>
    <row r="4" spans="1:9" ht="15.5">
      <c r="A4" s="1403" t="str">
        <f>项目基本情况!S2</f>
        <v>北京市平谷区平谷大街甲16号房地产</v>
      </c>
      <c r="B4" s="801">
        <f>项目基本情况!C17</f>
        <v>16450.849999999999</v>
      </c>
      <c r="C4" s="801">
        <f>项目基本情况!C18</f>
        <v>27183.86</v>
      </c>
      <c r="D4" s="801">
        <f ca="1">结果表!D118</f>
        <v>5115</v>
      </c>
      <c r="E4" s="801">
        <f ca="1">结果表!E118</f>
        <v>3109</v>
      </c>
      <c r="F4" s="801">
        <f ca="1">结果表!F118</f>
        <v>2647</v>
      </c>
      <c r="G4" s="801">
        <f ca="1">结果表!G118</f>
        <v>1609</v>
      </c>
      <c r="H4" s="801">
        <f ca="1">结果表!H118</f>
        <v>7762</v>
      </c>
      <c r="I4" s="801">
        <f ca="1">结果表!I118</f>
        <v>4718</v>
      </c>
    </row>
    <row r="5" spans="1:9" ht="30" customHeight="1">
      <c r="A5" s="3182" t="s">
        <v>927</v>
      </c>
      <c r="B5" s="3182"/>
      <c r="C5" s="3182"/>
      <c r="D5" s="3182" t="str">
        <f ca="1">结果表!D119</f>
        <v>伍仟壹佰壹拾伍万元整</v>
      </c>
      <c r="E5" s="3182"/>
      <c r="F5" s="3182" t="str">
        <f ca="1">结果表!F119</f>
        <v>贰仟陆佰肆拾柒万元整</v>
      </c>
      <c r="G5" s="3182"/>
      <c r="H5" s="3182" t="str">
        <f ca="1">结果表!H119</f>
        <v>柒仟柒佰陆拾贰万元整</v>
      </c>
      <c r="I5" s="3182"/>
    </row>
    <row r="6" spans="1:9" ht="15.5">
      <c r="A6" s="3181" t="str">
        <f>结果表!A120</f>
        <v>估价师知悉的法定优先受偿款</v>
      </c>
      <c r="B6" s="3181"/>
      <c r="C6" s="3181"/>
      <c r="D6" s="3181">
        <f>结果表!D120</f>
        <v>0</v>
      </c>
      <c r="E6" s="3181"/>
      <c r="F6" s="3181"/>
      <c r="G6" s="3181"/>
      <c r="H6" s="3181"/>
      <c r="I6" s="3181"/>
    </row>
    <row r="7" spans="1:9" ht="15.5">
      <c r="A7" s="3182" t="s">
        <v>927</v>
      </c>
      <c r="B7" s="3182"/>
      <c r="C7" s="3182"/>
      <c r="D7" s="3183" t="str">
        <f>结果表!D121</f>
        <v>零元整</v>
      </c>
      <c r="E7" s="3184"/>
      <c r="F7" s="3184"/>
      <c r="G7" s="3184"/>
      <c r="H7" s="3184"/>
      <c r="I7" s="3185"/>
    </row>
    <row r="8" spans="1:9" ht="15.5">
      <c r="A8" s="3181" t="str">
        <f>结果表!A122</f>
        <v>房地产抵押价值</v>
      </c>
      <c r="B8" s="3181"/>
      <c r="C8" s="3181"/>
      <c r="D8" s="3181">
        <f ca="1">结果表!D122</f>
        <v>7762</v>
      </c>
      <c r="E8" s="3181"/>
      <c r="F8" s="3181"/>
      <c r="G8" s="3181"/>
      <c r="H8" s="3181"/>
      <c r="I8" s="3181"/>
    </row>
    <row r="9" spans="1:9" ht="15.5">
      <c r="A9" s="3182" t="s">
        <v>927</v>
      </c>
      <c r="B9" s="3182"/>
      <c r="C9" s="3182"/>
      <c r="D9" s="3182" t="str">
        <f ca="1">结果表!D123</f>
        <v>柒仟柒佰陆拾贰万元整</v>
      </c>
      <c r="E9" s="3182"/>
      <c r="F9" s="3182"/>
      <c r="G9" s="3182"/>
      <c r="H9" s="3182"/>
      <c r="I9" s="3182"/>
    </row>
    <row r="10" spans="1:9" ht="15.5">
      <c r="A10" s="3181" t="str">
        <f>结果表!A124</f>
        <v/>
      </c>
      <c r="B10" s="3181"/>
      <c r="C10" s="3181"/>
      <c r="D10" s="3181" t="str">
        <f>结果表!D124</f>
        <v>——</v>
      </c>
      <c r="E10" s="3181"/>
      <c r="F10" s="3181"/>
      <c r="G10" s="3181"/>
      <c r="H10" s="3181"/>
      <c r="I10" s="3181"/>
    </row>
    <row r="11" spans="1:9" ht="15.5">
      <c r="A11" s="3182" t="s">
        <v>927</v>
      </c>
      <c r="B11" s="3182"/>
      <c r="C11" s="3182"/>
      <c r="D11" s="3182" t="e">
        <f>结果表!D125</f>
        <v>#VALUE!</v>
      </c>
      <c r="E11" s="3182"/>
      <c r="F11" s="3182"/>
      <c r="G11" s="3182"/>
      <c r="H11" s="3182"/>
      <c r="I11" s="3182"/>
    </row>
    <row r="12" spans="1:9" ht="15.5">
      <c r="A12" s="3181" t="str">
        <f>结果表!A126</f>
        <v/>
      </c>
      <c r="B12" s="3181"/>
      <c r="C12" s="3181"/>
      <c r="D12" s="3181" t="str">
        <f>结果表!D126</f>
        <v>——</v>
      </c>
      <c r="E12" s="3181"/>
      <c r="F12" s="3181"/>
      <c r="G12" s="3181"/>
      <c r="H12" s="3181"/>
      <c r="I12" s="3181"/>
    </row>
    <row r="13" spans="1:9" ht="16" thickBot="1">
      <c r="A13" s="3179" t="s">
        <v>927</v>
      </c>
      <c r="B13" s="3179"/>
      <c r="C13" s="3179"/>
      <c r="D13" s="3179" t="e">
        <f>结果表!D127</f>
        <v>#VALUE!</v>
      </c>
      <c r="E13" s="3179"/>
      <c r="F13" s="3179"/>
      <c r="G13" s="3179"/>
      <c r="H13" s="3179"/>
      <c r="I13" s="3179"/>
    </row>
    <row r="14" spans="1:9" ht="14.5" thickTop="1">
      <c r="A14" s="3180" t="s">
        <v>932</v>
      </c>
      <c r="B14" s="3180"/>
      <c r="C14" s="3180"/>
      <c r="D14" s="3180"/>
      <c r="E14" s="3180"/>
      <c r="F14" s="3180"/>
      <c r="G14" s="3180"/>
      <c r="H14" s="3180"/>
      <c r="I14" s="3180"/>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4" t="s">
        <v>949</v>
      </c>
      <c r="B1" s="3194"/>
      <c r="C1" s="3194"/>
      <c r="D1" s="3194"/>
    </row>
    <row r="2" spans="1:4" ht="18">
      <c r="A2" s="3195" t="s">
        <v>933</v>
      </c>
      <c r="B2" s="3195"/>
      <c r="C2" s="3195"/>
      <c r="D2" s="3195"/>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5" t="s">
        <v>939</v>
      </c>
      <c r="B6" s="3195"/>
      <c r="C6" s="3195"/>
      <c r="D6" s="3195"/>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6" t="s">
        <v>942</v>
      </c>
      <c r="B11" s="3188"/>
      <c r="C11" s="3188"/>
      <c r="D11" s="3188"/>
    </row>
    <row r="12" spans="1:4" ht="15.5">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88" t="str">
        <f>IF(项目基本情况!B8="抵押","4.本次评估估价师所知悉的法定优先受偿款情况说明如下：","——")</f>
        <v>4.本次评估估价师所知悉的法定优先受偿款情况说明如下：</v>
      </c>
      <c r="B14" s="3193"/>
      <c r="C14" s="3193"/>
      <c r="D14" s="3193"/>
    </row>
    <row r="15" spans="1:4" ht="42" customHeight="1">
      <c r="A15" s="318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8"/>
      <c r="C15" s="3188"/>
      <c r="D15" s="3188"/>
    </row>
    <row r="16" spans="1:4" ht="30" customHeight="1">
      <c r="A16" s="3190" t="s">
        <v>943</v>
      </c>
      <c r="B16" s="3190"/>
      <c r="C16" s="3190"/>
      <c r="D16" s="3190"/>
    </row>
    <row r="17" spans="1:4" ht="144" customHeight="1">
      <c r="A17" s="3190" t="s">
        <v>944</v>
      </c>
      <c r="B17" s="3190"/>
      <c r="C17" s="3190"/>
      <c r="D17" s="3190"/>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8"/>
      <c r="C20" s="3188"/>
      <c r="D20" s="3188"/>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1"/>
      <c r="C21" s="3191"/>
      <c r="D21" s="3191"/>
    </row>
    <row r="22" spans="1:4" ht="18.75" customHeight="1">
      <c r="A22" s="3192" t="s">
        <v>945</v>
      </c>
      <c r="B22" s="3192"/>
      <c r="C22" s="3192"/>
      <c r="D22" s="3192"/>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89">
        <v>42551</v>
      </c>
      <c r="D31" s="31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2" t="s">
        <v>956</v>
      </c>
      <c r="B15" s="3197" t="s">
        <v>109</v>
      </c>
      <c r="C15" s="3198"/>
    </row>
    <row r="16" spans="1:7" ht="14">
      <c r="A16" s="3203"/>
      <c r="B16" s="3197" t="s">
        <v>42</v>
      </c>
      <c r="C16" s="3198"/>
    </row>
    <row r="17" spans="1:3" ht="14">
      <c r="A17" s="3203"/>
      <c r="B17" s="3200" t="s">
        <v>957</v>
      </c>
      <c r="C17" s="1429" t="s">
        <v>956</v>
      </c>
    </row>
    <row r="18" spans="1:3" ht="14">
      <c r="A18" s="3203"/>
      <c r="B18" s="3200"/>
      <c r="C18" s="1429" t="s">
        <v>958</v>
      </c>
    </row>
    <row r="19" spans="1:3" ht="14">
      <c r="A19" s="3203"/>
      <c r="B19" s="3200"/>
      <c r="C19" s="1429" t="s">
        <v>959</v>
      </c>
    </row>
    <row r="20" spans="1:3" ht="14">
      <c r="A20" s="3204"/>
      <c r="B20" s="3199" t="s">
        <v>960</v>
      </c>
      <c r="C20" s="3198"/>
    </row>
    <row r="21" spans="1:3" ht="14">
      <c r="A21" s="1430" t="s">
        <v>961</v>
      </c>
      <c r="B21" s="1431"/>
      <c r="C21" s="1432"/>
    </row>
    <row r="22" spans="1:3" ht="14">
      <c r="A22" s="3201" t="s">
        <v>962</v>
      </c>
      <c r="B22" s="3199" t="s">
        <v>963</v>
      </c>
      <c r="C22" s="3198"/>
    </row>
    <row r="23" spans="1:3" ht="14">
      <c r="A23" s="3201"/>
      <c r="B23" s="3199" t="s">
        <v>964</v>
      </c>
      <c r="C23" s="3198"/>
    </row>
    <row r="24" spans="1:3" ht="14">
      <c r="A24" s="3201"/>
      <c r="B24" s="3199" t="s">
        <v>965</v>
      </c>
      <c r="C24" s="3198"/>
    </row>
    <row r="25" spans="1:3" ht="14">
      <c r="A25" s="3201"/>
      <c r="B25" s="3200" t="s">
        <v>966</v>
      </c>
      <c r="C25" s="1429" t="s">
        <v>967</v>
      </c>
    </row>
    <row r="26" spans="1:3" ht="14">
      <c r="A26" s="3201"/>
      <c r="B26" s="3200"/>
      <c r="C26" s="1429" t="s">
        <v>968</v>
      </c>
    </row>
    <row r="27" spans="1:3" ht="14">
      <c r="A27" s="3201"/>
      <c r="B27" s="3200"/>
      <c r="C27" s="1429" t="s">
        <v>969</v>
      </c>
    </row>
    <row r="28" spans="1:3" ht="14">
      <c r="A28" s="3201"/>
      <c r="B28" s="3200"/>
      <c r="C28" s="1429" t="s">
        <v>970</v>
      </c>
    </row>
    <row r="29" spans="1:3" ht="14">
      <c r="A29" s="3201"/>
      <c r="B29" s="3200"/>
      <c r="C29" s="1429" t="s">
        <v>971</v>
      </c>
    </row>
    <row r="30" spans="1:3" ht="14">
      <c r="A30" s="3201"/>
      <c r="B30" s="3200"/>
      <c r="C30" s="1429" t="s">
        <v>972</v>
      </c>
    </row>
    <row r="31" spans="1:3" ht="14">
      <c r="A31" s="3201"/>
      <c r="B31" s="3200"/>
      <c r="C31" s="1429" t="s">
        <v>973</v>
      </c>
    </row>
    <row r="32" spans="1:3" ht="14">
      <c r="A32" s="3201"/>
      <c r="B32" s="3200"/>
      <c r="C32" s="1429" t="s">
        <v>974</v>
      </c>
    </row>
    <row r="33" spans="1:3" ht="14">
      <c r="A33" s="3201"/>
      <c r="B33" s="3200"/>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45947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5" t="s">
        <v>2160</v>
      </c>
      <c r="B17" s="3205"/>
      <c r="C17" s="3205"/>
      <c r="D17" s="3205"/>
      <c r="E17" s="3205"/>
      <c r="F17" s="3205"/>
      <c r="G17" s="3205"/>
      <c r="H17" s="3205"/>
    </row>
    <row r="18" spans="1:8" ht="24" customHeight="1">
      <c r="A18" s="3206" t="s">
        <v>2161</v>
      </c>
      <c r="B18" s="3206"/>
      <c r="C18" s="3206"/>
      <c r="D18" s="2160"/>
      <c r="E18" s="3207" t="s">
        <v>2162</v>
      </c>
      <c r="F18" s="3206"/>
      <c r="G18" s="320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收益法</vt:lpstr>
      <vt:lpstr>信息</vt:lpstr>
      <vt:lpstr>中指</vt:lpstr>
      <vt:lpstr>选取案例</vt:lpstr>
      <vt:lpstr>租金案例</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2025-10-17T07:40:04Z</dcterms:modified>
</cp:coreProperties>
</file>