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法拍" sheetId="82"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F51" i="82" l="1"/>
  <c r="D51" i="82"/>
  <c r="F28" i="82"/>
  <c r="D28" i="82"/>
  <c r="F3" i="82"/>
  <c r="D3" i="82"/>
  <c r="D5" i="9"/>
  <c r="I47" i="21"/>
  <c r="G47" i="21"/>
  <c r="E47" i="21"/>
  <c r="I33" i="21"/>
  <c r="G33" i="21"/>
  <c r="E33" i="21"/>
  <c r="C33" i="21"/>
  <c r="L7" i="80"/>
  <c r="K7" i="80"/>
  <c r="K6" i="80"/>
  <c r="G37" i="21"/>
  <c r="E37" i="21"/>
  <c r="C37" i="21"/>
  <c r="I6" i="21" l="1"/>
  <c r="G6" i="21"/>
  <c r="E6" i="21"/>
  <c r="I5" i="21"/>
  <c r="G5" i="21"/>
  <c r="E5" i="21"/>
  <c r="I7" i="21"/>
  <c r="G7" i="21"/>
  <c r="E7" i="21"/>
  <c r="B55" i="1" l="1"/>
  <c r="Y6" i="1"/>
  <c r="O21" i="1"/>
  <c r="N6" i="1" s="1"/>
  <c r="O19" i="1"/>
  <c r="F19" i="6"/>
  <c r="D3" i="4" l="1"/>
  <c r="C60" i="78" l="1"/>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s="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s="1"/>
  <c r="T31" i="79"/>
  <c r="W31" i="79" s="1"/>
  <c r="U31" i="79"/>
  <c r="U30" i="79"/>
  <c r="R15" i="79"/>
  <c r="T17" i="79"/>
  <c r="W17" i="79"/>
  <c r="T6" i="79"/>
  <c r="W6" i="79" s="1"/>
  <c r="T5" i="79"/>
  <c r="W5" i="79" s="1"/>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c r="T3" i="79"/>
  <c r="W3" i="79"/>
  <c r="U33" i="79"/>
  <c r="AD39" i="79"/>
  <c r="T38" i="79"/>
  <c r="T36" i="79"/>
  <c r="W36" i="79" s="1"/>
  <c r="T39" i="79"/>
  <c r="W39" i="79" s="1"/>
  <c r="T37" i="79"/>
  <c r="T35" i="79"/>
  <c r="W35" i="79" s="1"/>
  <c r="S40" i="79"/>
  <c r="T41" i="79"/>
  <c r="W41" i="79" s="1"/>
  <c r="T43" i="79"/>
  <c r="W43" i="79" s="1"/>
  <c r="T45" i="79"/>
  <c r="W45" i="79"/>
  <c r="S39" i="79"/>
  <c r="S37" i="79"/>
  <c r="S38" i="79"/>
  <c r="S36" i="79"/>
  <c r="S35" i="79"/>
  <c r="U39" i="79"/>
  <c r="U37" i="79"/>
  <c r="U38" i="79"/>
  <c r="U36" i="79"/>
  <c r="U35" i="79"/>
  <c r="T42" i="79"/>
  <c r="W42" i="79"/>
  <c r="T44" i="79"/>
  <c r="W44" i="79" s="1"/>
  <c r="S10" i="79"/>
  <c r="S13" i="79"/>
  <c r="S14" i="79"/>
  <c r="S9" i="79"/>
  <c r="U10" i="79"/>
  <c r="U13" i="79"/>
  <c r="U14" i="79"/>
  <c r="U9" i="79"/>
  <c r="P18" i="79"/>
  <c r="T18" i="79"/>
  <c r="W18" i="79" s="1"/>
  <c r="R10" i="79"/>
  <c r="R13" i="79"/>
  <c r="R14" i="79"/>
  <c r="R9" i="79"/>
  <c r="T10" i="79"/>
  <c r="W10" i="79" s="1"/>
  <c r="T13" i="79"/>
  <c r="W13" i="79" s="1"/>
  <c r="T14" i="79"/>
  <c r="W14" i="79"/>
  <c r="T9" i="79"/>
  <c r="W9" i="79" s="1"/>
  <c r="V10" i="79"/>
  <c r="V13" i="79"/>
  <c r="V14" i="79"/>
  <c r="V9" i="79"/>
  <c r="P16" i="79"/>
  <c r="T16" i="79"/>
  <c r="W16" i="79"/>
  <c r="P20" i="79"/>
  <c r="T20" i="79"/>
  <c r="W20" i="79"/>
  <c r="AA3" i="79"/>
  <c r="AD3"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s="1"/>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s="1"/>
  <c r="K59" i="67"/>
  <c r="P61" i="67"/>
  <c r="K59" i="15"/>
  <c r="P74" i="15"/>
  <c r="D115" i="39"/>
  <c r="E115" i="39"/>
  <c r="F115" i="39"/>
  <c r="G115" i="39"/>
  <c r="H115" i="39"/>
  <c r="I115" i="39"/>
  <c r="J115" i="39"/>
  <c r="K115" i="39"/>
  <c r="L115" i="39"/>
  <c r="M115" i="39"/>
  <c r="C115" i="39"/>
  <c r="A21" i="62"/>
  <c r="B67" i="72" s="1"/>
  <c r="A20" i="62"/>
  <c r="A22" i="51"/>
  <c r="A21" i="51"/>
  <c r="B16" i="72" s="1"/>
  <c r="A20" i="51"/>
  <c r="B15" i="72" s="1"/>
  <c r="A15" i="62"/>
  <c r="B61" i="72" s="1"/>
  <c r="A14" i="62"/>
  <c r="B60" i="72" s="1"/>
  <c r="A13" i="62"/>
  <c r="B59" i="72" s="1"/>
  <c r="A19" i="62"/>
  <c r="B65" i="72"/>
  <c r="A12" i="62"/>
  <c r="B58" i="72" s="1"/>
  <c r="A120" i="9"/>
  <c r="K120" i="9" s="1"/>
  <c r="H2" i="52"/>
  <c r="A1" i="52"/>
  <c r="A3" i="53"/>
  <c r="Q26" i="71"/>
  <c r="P26" i="71"/>
  <c r="O26" i="71"/>
  <c r="N26" i="71"/>
  <c r="A15" i="51"/>
  <c r="B12" i="72" s="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s="1"/>
  <c r="B44" i="72"/>
  <c r="B42" i="72"/>
  <c r="B69" i="72"/>
  <c r="B68" i="72"/>
  <c r="B63" i="72"/>
  <c r="B62" i="72"/>
  <c r="B66" i="72"/>
  <c r="B10" i="72"/>
  <c r="C53" i="10"/>
  <c r="B51" i="10"/>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s="1"/>
  <c r="F38" i="69"/>
  <c r="E37" i="69"/>
  <c r="F36" i="69"/>
  <c r="F35" i="69"/>
  <c r="F21" i="69"/>
  <c r="F40" i="69" s="1"/>
  <c r="F20" i="69"/>
  <c r="F39" i="69"/>
  <c r="E10" i="69"/>
  <c r="E9" i="69"/>
  <c r="C7"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AA8" i="71" s="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13" i="53"/>
  <c r="B29" i="72"/>
  <c r="R35" i="4"/>
  <c r="Q35" i="4"/>
  <c r="P35" i="4"/>
  <c r="O35" i="4"/>
  <c r="N35" i="4"/>
  <c r="M35" i="4"/>
  <c r="L35" i="4"/>
  <c r="K34" i="4"/>
  <c r="T34" i="4"/>
  <c r="H15" i="4"/>
  <c r="G15" i="4"/>
  <c r="F12" i="1"/>
  <c r="G12" i="1" s="1"/>
  <c r="F15" i="4"/>
  <c r="F11" i="1"/>
  <c r="D15" i="4"/>
  <c r="F7" i="1"/>
  <c r="G7" i="1" s="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N15" i="3"/>
  <c r="BO15" i="3"/>
  <c r="BP15" i="3"/>
  <c r="BL15" i="3"/>
  <c r="BM16" i="3"/>
  <c r="BM17" i="3"/>
  <c r="BO13" i="3"/>
  <c r="BO14" i="3"/>
  <c r="BO16" i="3"/>
  <c r="BO17" i="3"/>
  <c r="BN13" i="3"/>
  <c r="BN14" i="3"/>
  <c r="BN16" i="3"/>
  <c r="BP16" i="3"/>
  <c r="BL16" i="3"/>
  <c r="BN17" i="3"/>
  <c r="BP13" i="3"/>
  <c r="BP5" i="3" s="1"/>
  <c r="G29" i="6" s="1"/>
  <c r="BP14" i="3"/>
  <c r="BP17" i="3"/>
  <c r="E19" i="6"/>
  <c r="E20" i="6"/>
  <c r="E21" i="6"/>
  <c r="K8" i="1"/>
  <c r="M8" i="1" s="1"/>
  <c r="F23" i="15"/>
  <c r="D24" i="15"/>
  <c r="E22" i="6"/>
  <c r="E23" i="6"/>
  <c r="K10" i="1"/>
  <c r="M10" i="1" s="1"/>
  <c r="E24" i="6"/>
  <c r="E25" i="6"/>
  <c r="E26" i="6"/>
  <c r="BB13" i="3"/>
  <c r="BC13" i="3"/>
  <c r="BD13" i="3"/>
  <c r="BD5" i="3" s="1"/>
  <c r="BE13" i="3"/>
  <c r="BF13" i="3"/>
  <c r="BG13" i="3"/>
  <c r="BG5" i="3" s="1"/>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C18" i="9" s="1"/>
  <c r="D18" i="9" s="1"/>
  <c r="I55" i="9"/>
  <c r="F55" i="9"/>
  <c r="O53" i="9"/>
  <c r="D89" i="9"/>
  <c r="C89" i="9"/>
  <c r="C87" i="9"/>
  <c r="C94" i="9" s="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s="1"/>
  <c r="I54" i="21"/>
  <c r="J54" i="21" s="1"/>
  <c r="G54" i="21"/>
  <c r="H54" i="21"/>
  <c r="D125" i="21"/>
  <c r="J43" i="21" s="1"/>
  <c r="D123" i="21"/>
  <c r="E123" i="21" s="1"/>
  <c r="F123" i="21" s="1"/>
  <c r="G123" i="21" s="1"/>
  <c r="H123" i="21" s="1"/>
  <c r="I123" i="21" s="1"/>
  <c r="J123" i="21" s="1"/>
  <c r="K123" i="21" s="1"/>
  <c r="L123" i="21" s="1"/>
  <c r="M123" i="21" s="1"/>
  <c r="D119" i="21"/>
  <c r="F40" i="21"/>
  <c r="AA40" i="21" s="1"/>
  <c r="D117" i="21"/>
  <c r="E117" i="21" s="1"/>
  <c r="D115" i="21"/>
  <c r="E115" i="21" s="1"/>
  <c r="F115" i="21" s="1"/>
  <c r="G115" i="21" s="1"/>
  <c r="H115" i="21" s="1"/>
  <c r="I115" i="21" s="1"/>
  <c r="J115" i="21" s="1"/>
  <c r="K115" i="21" s="1"/>
  <c r="L115" i="21" s="1"/>
  <c r="M115" i="21" s="1"/>
  <c r="D113" i="21"/>
  <c r="E113" i="21" s="1"/>
  <c r="D110" i="21"/>
  <c r="E110" i="21" s="1"/>
  <c r="F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F77" i="21" s="1"/>
  <c r="G77" i="21" s="1"/>
  <c r="B130" i="21"/>
  <c r="B128" i="21"/>
  <c r="J45" i="21"/>
  <c r="W45" i="21"/>
  <c r="B126" i="21"/>
  <c r="B98" i="21"/>
  <c r="H31" i="21"/>
  <c r="B96" i="21"/>
  <c r="B94" i="21"/>
  <c r="J29" i="21" s="1"/>
  <c r="B92" i="21"/>
  <c r="B90" i="21"/>
  <c r="J27" i="21" s="1"/>
  <c r="B74" i="21"/>
  <c r="B72" i="21"/>
  <c r="F13" i="21" s="1"/>
  <c r="H13" i="21"/>
  <c r="AB13" i="21" s="1"/>
  <c r="B70" i="21"/>
  <c r="F12" i="21" s="1"/>
  <c r="C19" i="21"/>
  <c r="C17" i="21"/>
  <c r="C23" i="21"/>
  <c r="Q9" i="21"/>
  <c r="Z9" i="21"/>
  <c r="Q10" i="21"/>
  <c r="Z10" i="21" s="1"/>
  <c r="Q11" i="21"/>
  <c r="Z11" i="21"/>
  <c r="Q12" i="21"/>
  <c r="Z12" i="21" s="1"/>
  <c r="Q13" i="21"/>
  <c r="Z13" i="21"/>
  <c r="Q14" i="21"/>
  <c r="Z14" i="21" s="1"/>
  <c r="Q15" i="21"/>
  <c r="Z15" i="21"/>
  <c r="Q17" i="21"/>
  <c r="Z17" i="21"/>
  <c r="Q19" i="21"/>
  <c r="Z19" i="2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AC38" i="21" s="1"/>
  <c r="Q38" i="21"/>
  <c r="Z38" i="21"/>
  <c r="Q39" i="21"/>
  <c r="Z39" i="21"/>
  <c r="H40" i="21"/>
  <c r="AB40" i="21" s="1"/>
  <c r="Q40" i="21"/>
  <c r="Z40" i="21"/>
  <c r="Q41" i="21"/>
  <c r="Z41" i="21"/>
  <c r="Q42" i="21"/>
  <c r="Z42" i="21"/>
  <c r="Q43" i="21"/>
  <c r="Z43" i="21"/>
  <c r="Q44" i="21"/>
  <c r="Z44" i="21" s="1"/>
  <c r="Q45" i="21"/>
  <c r="Z45" i="21"/>
  <c r="Q46" i="21"/>
  <c r="Z46" i="21"/>
  <c r="P47" i="21"/>
  <c r="R47" i="21"/>
  <c r="T47" i="21"/>
  <c r="V47" i="21"/>
  <c r="P48" i="21"/>
  <c r="P49" i="21"/>
  <c r="F8" i="21"/>
  <c r="S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U34" i="21" s="1"/>
  <c r="H38" i="21"/>
  <c r="AB38" i="21" s="1"/>
  <c r="F38" i="21"/>
  <c r="AA38" i="21" s="1"/>
  <c r="F39" i="21"/>
  <c r="AA39" i="21" s="1"/>
  <c r="J40" i="21"/>
  <c r="W40" i="21" s="1"/>
  <c r="H35" i="21"/>
  <c r="AB35" i="21" s="1"/>
  <c r="J8" i="21"/>
  <c r="AC8" i="21" s="1"/>
  <c r="H8" i="21"/>
  <c r="U8" i="21" s="1"/>
  <c r="H10" i="21"/>
  <c r="AB10" i="21"/>
  <c r="H39" i="21"/>
  <c r="U39" i="21" s="1"/>
  <c r="J34" i="21"/>
  <c r="W34" i="21" s="1"/>
  <c r="F35" i="21"/>
  <c r="AA35" i="21" s="1"/>
  <c r="J10" i="21"/>
  <c r="AC10" i="21" s="1"/>
  <c r="J19" i="21"/>
  <c r="AC19"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s="1"/>
  <c r="C25" i="39"/>
  <c r="H11" i="39"/>
  <c r="S40" i="39"/>
  <c r="C15" i="39"/>
  <c r="H32" i="33"/>
  <c r="AB32" i="33"/>
  <c r="H11" i="21"/>
  <c r="U11" i="21" s="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2" i="21"/>
  <c r="AC42" i="21" s="1"/>
  <c r="J44" i="34"/>
  <c r="F44" i="34"/>
  <c r="AA44" i="34"/>
  <c r="J10" i="35"/>
  <c r="AC10" i="35"/>
  <c r="J14" i="21"/>
  <c r="W14" i="2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s="1"/>
  <c r="H17" i="21"/>
  <c r="AB17" i="21" s="1"/>
  <c r="F15" i="21"/>
  <c r="S15" i="21" s="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H37" i="21"/>
  <c r="U37" i="21" s="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s="1"/>
  <c r="E52" i="37" s="1"/>
  <c r="F52" i="37" s="1"/>
  <c r="G52" i="37" s="1"/>
  <c r="H52" i="37" s="1"/>
  <c r="I52" i="37" s="1"/>
  <c r="C7" i="34"/>
  <c r="C7" i="36"/>
  <c r="C46" i="36"/>
  <c r="D46" i="36" s="1"/>
  <c r="W35" i="40"/>
  <c r="A118" i="9"/>
  <c r="A4" i="52"/>
  <c r="B41" i="72" s="1"/>
  <c r="J11" i="39"/>
  <c r="W11" i="39"/>
  <c r="F11" i="39"/>
  <c r="S11" i="39"/>
  <c r="AA11" i="39"/>
  <c r="G4" i="4"/>
  <c r="I4" i="4"/>
  <c r="A2" i="9"/>
  <c r="F61" i="43"/>
  <c r="H64" i="43" s="1"/>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s="1"/>
  <c r="F50" i="43"/>
  <c r="H54" i="43" s="1"/>
  <c r="F72" i="43"/>
  <c r="H72" i="43" s="1"/>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M6" i="1" s="1"/>
  <c r="O6" i="1" s="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s="1"/>
  <c r="O12" i="1" s="1"/>
  <c r="S13" i="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s="1"/>
  <c r="F23" i="21"/>
  <c r="S23" i="21" s="1"/>
  <c r="E85" i="21"/>
  <c r="F85" i="21" s="1"/>
  <c r="G85" i="21" s="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s="1"/>
  <c r="C7" i="33"/>
  <c r="C7" i="21"/>
  <c r="C7" i="40"/>
  <c r="C63" i="40"/>
  <c r="M47" i="9"/>
  <c r="G23" i="43"/>
  <c r="A4" i="51"/>
  <c r="B6" i="72" s="1"/>
  <c r="D48" i="35"/>
  <c r="L20" i="6"/>
  <c r="B6" i="1"/>
  <c r="E6" i="1" s="1"/>
  <c r="K11" i="1"/>
  <c r="M11" i="1" s="1"/>
  <c r="O11" i="1" s="1"/>
  <c r="P11" i="1"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F33" i="21"/>
  <c r="AA33" i="21" s="1"/>
  <c r="J33" i="21"/>
  <c r="AC33" i="21" s="1"/>
  <c r="H33" i="21"/>
  <c r="U33" i="21" s="1"/>
  <c r="F37" i="21"/>
  <c r="AA37" i="21" s="1"/>
  <c r="AB14" i="21"/>
  <c r="AB46" i="21"/>
  <c r="AB31" i="21"/>
  <c r="U31" i="21"/>
  <c r="U13" i="21"/>
  <c r="H15" i="21"/>
  <c r="U15" i="21" s="1"/>
  <c r="J17" i="21"/>
  <c r="W17" i="21" s="1"/>
  <c r="AC14" i="21"/>
  <c r="S46" i="21"/>
  <c r="H45" i="21"/>
  <c r="U45" i="21"/>
  <c r="H9" i="21"/>
  <c r="AB9" i="21" s="1"/>
  <c r="AA31" i="21"/>
  <c r="K141" i="21"/>
  <c r="K144" i="21"/>
  <c r="K143" i="21"/>
  <c r="AB25" i="21"/>
  <c r="AA30" i="21"/>
  <c r="AC45" i="21"/>
  <c r="F10" i="21"/>
  <c r="AA10" i="21"/>
  <c r="K145" i="21"/>
  <c r="W25" i="21"/>
  <c r="W31" i="21"/>
  <c r="S27" i="21"/>
  <c r="AB29" i="21"/>
  <c r="AC34"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s="1"/>
  <c r="H23" i="21"/>
  <c r="U23" i="21" s="1"/>
  <c r="D6" i="52"/>
  <c r="AP7" i="1"/>
  <c r="AB45" i="21"/>
  <c r="A18" i="62"/>
  <c r="B64" i="72" s="1"/>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s="1"/>
  <c r="AB20" i="71"/>
  <c r="AB19" i="71"/>
  <c r="S20" i="71"/>
  <c r="F21" i="71"/>
  <c r="F20" i="71"/>
  <c r="F19" i="71"/>
  <c r="F18" i="71"/>
  <c r="F17" i="71"/>
  <c r="Y20" i="71"/>
  <c r="Z20" i="71" s="1"/>
  <c r="X3" i="71"/>
  <c r="C21" i="71"/>
  <c r="D21" i="71"/>
  <c r="E21" i="71"/>
  <c r="E20" i="71"/>
  <c r="F9" i="1"/>
  <c r="G9" i="1" s="1"/>
  <c r="F10" i="1"/>
  <c r="G10" i="1" s="1"/>
  <c r="F8" i="1"/>
  <c r="G8" i="1" s="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s="1"/>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s="1"/>
  <c r="G526" i="3"/>
  <c r="AZ420" i="3"/>
  <c r="AZ424" i="3"/>
  <c r="AZ434" i="3"/>
  <c r="AZ436" i="3"/>
  <c r="AZ438" i="3"/>
  <c r="AZ446" i="3"/>
  <c r="AZ450" i="3"/>
  <c r="W36" i="39"/>
  <c r="U23" i="40"/>
  <c r="AA39" i="37"/>
  <c r="AC16" i="36"/>
  <c r="AB12" i="33"/>
  <c r="C27" i="39"/>
  <c r="U40" i="40"/>
  <c r="AC9" i="40"/>
  <c r="W36" i="35"/>
  <c r="J12" i="21"/>
  <c r="AC12" i="21" s="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s="1"/>
  <c r="E286" i="3" s="1"/>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s="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s="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C4" i="12"/>
  <c r="I4" i="6"/>
  <c r="G3" i="43"/>
  <c r="G30" i="6"/>
  <c r="G31" i="6" s="1"/>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s="1"/>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s="1"/>
  <c r="D18" i="53"/>
  <c r="B35" i="72" s="1"/>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s="1"/>
  <c r="K4" i="4"/>
  <c r="B46" i="48"/>
  <c r="B4" i="72"/>
  <c r="B4" i="62"/>
  <c r="B71" i="72"/>
  <c r="D9" i="53"/>
  <c r="B25" i="72"/>
  <c r="B24" i="72"/>
  <c r="Y16" i="71"/>
  <c r="Z16" i="71" s="1"/>
  <c r="Y15" i="71"/>
  <c r="Z15" i="71" s="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s="1"/>
  <c r="H48" i="35" s="1"/>
  <c r="I48" i="35" s="1"/>
  <c r="J48" i="35" s="1"/>
  <c r="P28" i="43"/>
  <c r="B66" i="40" s="1"/>
  <c r="P25" i="43"/>
  <c r="P29" i="43"/>
  <c r="P27" i="43"/>
  <c r="B70" i="39" s="1"/>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s="1"/>
  <c r="E8" i="70"/>
  <c r="S6" i="1"/>
  <c r="AQ6" i="1" s="1"/>
  <c r="B1" i="74"/>
  <c r="C17" i="71"/>
  <c r="D18" i="71"/>
  <c r="E6" i="70"/>
  <c r="S11" i="1"/>
  <c r="AR11" i="1" s="1"/>
  <c r="E11" i="70"/>
  <c r="S9" i="1"/>
  <c r="AR9" i="1" s="1"/>
  <c r="T8" i="1"/>
  <c r="S7" i="1"/>
  <c r="AR7" i="1" s="1"/>
  <c r="E7" i="70"/>
  <c r="S10" i="1"/>
  <c r="AR10" i="1" s="1"/>
  <c r="E10" i="70"/>
  <c r="S12" i="1"/>
  <c r="AQ12" i="1" s="1"/>
  <c r="B2" i="74"/>
  <c r="C16" i="71"/>
  <c r="D17" i="71"/>
  <c r="R7" i="1"/>
  <c r="E12" i="70"/>
  <c r="F34" i="11"/>
  <c r="F11" i="12"/>
  <c r="E9" i="70"/>
  <c r="AQ7" i="1"/>
  <c r="T7" i="1"/>
  <c r="R11" i="1"/>
  <c r="R9" i="1"/>
  <c r="R10" i="1"/>
  <c r="D8" i="74"/>
  <c r="D7" i="74"/>
  <c r="R8" i="1"/>
  <c r="R12" i="1"/>
  <c r="C15" i="71"/>
  <c r="T16" i="71"/>
  <c r="D16" i="71"/>
  <c r="U16" i="71"/>
  <c r="C14" i="71"/>
  <c r="D15" i="71"/>
  <c r="K48" i="35"/>
  <c r="L48" i="35" s="1"/>
  <c r="M48" i="35" s="1"/>
  <c r="N48" i="35" s="1"/>
  <c r="O48" i="35" s="1"/>
  <c r="H7" i="35"/>
  <c r="U7" i="35" s="1"/>
  <c r="D14" i="71"/>
  <c r="C13" i="71"/>
  <c r="C12" i="71"/>
  <c r="D13" i="71"/>
  <c r="C11" i="71"/>
  <c r="T12" i="71"/>
  <c r="D12" i="71"/>
  <c r="U12" i="71"/>
  <c r="C10" i="71"/>
  <c r="D11" i="71"/>
  <c r="D10" i="71"/>
  <c r="C9" i="71"/>
  <c r="B2" i="33"/>
  <c r="C8" i="71"/>
  <c r="D9" i="71"/>
  <c r="B2" i="36"/>
  <c r="B3" i="36" s="1"/>
  <c r="B2" i="35"/>
  <c r="B2" i="37"/>
  <c r="B2" i="34"/>
  <c r="C7" i="71"/>
  <c r="D8" i="71"/>
  <c r="D7" i="71"/>
  <c r="C6" i="71"/>
  <c r="D6" i="71"/>
  <c r="C5" i="71"/>
  <c r="D5" i="71"/>
  <c r="M24" i="43"/>
  <c r="B6" i="74"/>
  <c r="D6" i="74"/>
  <c r="M23" i="67"/>
  <c r="AO11" i="1"/>
  <c r="E7" i="76"/>
  <c r="F13" i="67"/>
  <c r="D3" i="73"/>
  <c r="D2" i="37"/>
  <c r="M6" i="15"/>
  <c r="B11" i="76"/>
  <c r="D2" i="34"/>
  <c r="D2" i="35"/>
  <c r="E2" i="68"/>
  <c r="B13" i="76"/>
  <c r="F6" i="15"/>
  <c r="D6" i="73"/>
  <c r="AO13" i="1"/>
  <c r="AO8" i="1"/>
  <c r="D2" i="36"/>
  <c r="M29" i="67"/>
  <c r="D35" i="9"/>
  <c r="AO7" i="1"/>
  <c r="M26" i="67"/>
  <c r="F16" i="15"/>
  <c r="M6" i="67"/>
  <c r="AO9" i="1"/>
  <c r="F9" i="67"/>
  <c r="B9" i="76"/>
  <c r="F40" i="67"/>
  <c r="F42" i="67"/>
  <c r="M27" i="67"/>
  <c r="F7" i="15"/>
  <c r="E2" i="69"/>
  <c r="M28" i="15"/>
  <c r="F36" i="67"/>
  <c r="F9" i="15"/>
  <c r="J15" i="67"/>
  <c r="F7" i="67"/>
  <c r="M22" i="15"/>
  <c r="L47" i="67"/>
  <c r="F8" i="67"/>
  <c r="F13" i="15"/>
  <c r="F38" i="67"/>
  <c r="B8" i="76"/>
  <c r="M9" i="15"/>
  <c r="L48" i="67"/>
  <c r="F38" i="15"/>
  <c r="M24" i="67"/>
  <c r="M21" i="15"/>
  <c r="M22" i="67"/>
  <c r="M29" i="15"/>
  <c r="F36" i="15"/>
  <c r="F37" i="67"/>
  <c r="B10" i="76"/>
  <c r="M9" i="67"/>
  <c r="M28" i="67"/>
  <c r="F41" i="15"/>
  <c r="L47" i="15"/>
  <c r="F26" i="15"/>
  <c r="M8" i="67"/>
  <c r="E9" i="76"/>
  <c r="AO10" i="1"/>
  <c r="F37" i="15"/>
  <c r="M24" i="15"/>
  <c r="M27" i="15"/>
  <c r="M23" i="15"/>
  <c r="E12" i="76"/>
  <c r="F8" i="15"/>
  <c r="F43" i="67"/>
  <c r="F35" i="15"/>
  <c r="F16" i="67"/>
  <c r="M8" i="15"/>
  <c r="F20" i="31"/>
  <c r="E10" i="76"/>
  <c r="L48" i="15"/>
  <c r="D34" i="9"/>
  <c r="C76" i="67"/>
  <c r="F40" i="15"/>
  <c r="D2" i="33"/>
  <c r="AO12" i="1"/>
  <c r="F6" i="67"/>
  <c r="D5" i="73"/>
  <c r="B12" i="76"/>
  <c r="E13" i="76"/>
  <c r="F42" i="15"/>
  <c r="F26" i="67"/>
  <c r="M26" i="15"/>
  <c r="D7" i="73"/>
  <c r="D2" i="21"/>
  <c r="F43" i="15"/>
  <c r="B7" i="76"/>
  <c r="D4" i="73"/>
  <c r="E11" i="76"/>
  <c r="C76" i="15"/>
  <c r="J15" i="15"/>
  <c r="E8" i="76"/>
  <c r="AB33" i="21" l="1"/>
  <c r="W44" i="21"/>
  <c r="AB44" i="21"/>
  <c r="S44" i="21"/>
  <c r="F42" i="21"/>
  <c r="AA42" i="21" s="1"/>
  <c r="H42" i="21"/>
  <c r="AC43" i="21"/>
  <c r="W43" i="21"/>
  <c r="E125" i="21"/>
  <c r="F43" i="21"/>
  <c r="S42" i="21"/>
  <c r="W42" i="21"/>
  <c r="W41" i="21"/>
  <c r="U40" i="21"/>
  <c r="S40" i="21"/>
  <c r="J39" i="21"/>
  <c r="AC39" i="21" s="1"/>
  <c r="F117" i="21"/>
  <c r="G117" i="21" s="1"/>
  <c r="AB39" i="21"/>
  <c r="S39" i="21"/>
  <c r="G110" i="21"/>
  <c r="H110" i="21" s="1"/>
  <c r="I110" i="21" s="1"/>
  <c r="J110" i="21" s="1"/>
  <c r="K110" i="21" s="1"/>
  <c r="L110" i="21" s="1"/>
  <c r="M110" i="21" s="1"/>
  <c r="F36" i="21"/>
  <c r="S36" i="21" s="1"/>
  <c r="J36" i="21"/>
  <c r="AC36" i="21" s="1"/>
  <c r="H36" i="21"/>
  <c r="AB36" i="21" s="1"/>
  <c r="W19" i="21"/>
  <c r="S35" i="21"/>
  <c r="W33" i="21"/>
  <c r="F101" i="21"/>
  <c r="G101" i="21" s="1"/>
  <c r="H101" i="21" s="1"/>
  <c r="J32" i="21"/>
  <c r="W32" i="21" s="1"/>
  <c r="S33" i="21"/>
  <c r="W29" i="21"/>
  <c r="AC29" i="21"/>
  <c r="F29" i="21"/>
  <c r="W30" i="21"/>
  <c r="U30" i="21"/>
  <c r="U27" i="21"/>
  <c r="L89" i="21"/>
  <c r="F26" i="21" s="1"/>
  <c r="AC28" i="21"/>
  <c r="S28" i="21"/>
  <c r="F113" i="21"/>
  <c r="G113" i="21" s="1"/>
  <c r="H113" i="21" s="1"/>
  <c r="J37" i="21"/>
  <c r="W37" i="21" s="1"/>
  <c r="U38" i="21"/>
  <c r="S38" i="21"/>
  <c r="W38" i="21"/>
  <c r="AC37" i="21"/>
  <c r="S37" i="21"/>
  <c r="W23" i="21"/>
  <c r="AA23" i="21"/>
  <c r="AA19" i="21"/>
  <c r="U19" i="21"/>
  <c r="U17" i="21"/>
  <c r="AC17" i="21"/>
  <c r="S17" i="21"/>
  <c r="AC15" i="21"/>
  <c r="AB15" i="21"/>
  <c r="AA15" i="21"/>
  <c r="S13" i="21"/>
  <c r="AA13" i="21"/>
  <c r="S12" i="21"/>
  <c r="AA12" i="21"/>
  <c r="W10" i="21"/>
  <c r="W13" i="21"/>
  <c r="J11" i="21"/>
  <c r="W11" i="21" s="1"/>
  <c r="AC35" i="21"/>
  <c r="U35" i="21"/>
  <c r="AB34"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s="1"/>
  <c r="C92" i="9"/>
  <c r="B41" i="1"/>
  <c r="M18" i="15"/>
  <c r="F30" i="69"/>
  <c r="C30" i="69" s="1"/>
  <c r="F52" i="9"/>
  <c r="F30" i="11"/>
  <c r="C40" i="69"/>
  <c r="C21" i="68"/>
  <c r="C40" i="68"/>
  <c r="AQ10" i="1"/>
  <c r="T10" i="1"/>
  <c r="AR6" i="1"/>
  <c r="L27" i="6"/>
  <c r="AR8" i="1"/>
  <c r="F26" i="43"/>
  <c r="E26" i="43"/>
  <c r="H26" i="43"/>
  <c r="N94" i="46"/>
  <c r="J26" i="43"/>
  <c r="B116" i="43"/>
  <c r="I119" i="43" s="1"/>
  <c r="J119" i="43" s="1"/>
  <c r="K119" i="43" s="1"/>
  <c r="L119" i="43" s="1"/>
  <c r="M119" i="43" s="1"/>
  <c r="BA13" i="3"/>
  <c r="E2" i="70"/>
  <c r="AR13" i="1"/>
  <c r="AQ13" i="1"/>
  <c r="T13" i="1"/>
  <c r="Z7" i="43"/>
  <c r="E28" i="6"/>
  <c r="BL13" i="3"/>
  <c r="BL5" i="3" s="1"/>
  <c r="F29" i="6"/>
  <c r="E29" i="6" s="1"/>
  <c r="K15" i="1" s="1"/>
  <c r="B3" i="35"/>
  <c r="I122" i="43"/>
  <c r="J122" i="43" s="1"/>
  <c r="K122" i="43" s="1"/>
  <c r="L122" i="43" s="1"/>
  <c r="M122" i="43" s="1"/>
  <c r="I121" i="43"/>
  <c r="J121" i="43" s="1"/>
  <c r="K121" i="43" s="1"/>
  <c r="L121" i="43" s="1"/>
  <c r="M121" i="43" s="1"/>
  <c r="G121" i="43"/>
  <c r="H121" i="43" s="1"/>
  <c r="D121" i="43"/>
  <c r="E121" i="43" s="1"/>
  <c r="F121" i="43" s="1"/>
  <c r="B122" i="43"/>
  <c r="C122" i="43" s="1"/>
  <c r="D119" i="43"/>
  <c r="E119" i="43" s="1"/>
  <c r="F119" i="43" s="1"/>
  <c r="G119" i="43" s="1"/>
  <c r="H119" i="43" s="1"/>
  <c r="B120" i="43"/>
  <c r="C120" i="43" s="1"/>
  <c r="D118" i="43"/>
  <c r="E118" i="43" s="1"/>
  <c r="F118" i="43" s="1"/>
  <c r="G118" i="43" s="1"/>
  <c r="H118" i="43" s="1"/>
  <c r="T11" i="1"/>
  <c r="I120" i="43"/>
  <c r="J120" i="43" s="1"/>
  <c r="K120" i="43" s="1"/>
  <c r="L120" i="43" s="1"/>
  <c r="M120" i="43" s="1"/>
  <c r="AQ11" i="1"/>
  <c r="B119" i="43"/>
  <c r="C119" i="43" s="1"/>
  <c r="D122" i="43"/>
  <c r="E122" i="43" s="1"/>
  <c r="F122" i="43" s="1"/>
  <c r="G122" i="43" s="1"/>
  <c r="H122" i="43" s="1"/>
  <c r="E14" i="6"/>
  <c r="E63" i="39" s="1"/>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s="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s="1"/>
  <c r="C36" i="69"/>
  <c r="H16" i="1"/>
  <c r="O7" i="1"/>
  <c r="P7" i="1" s="1"/>
  <c r="O13" i="1"/>
  <c r="P13" i="1" s="1"/>
  <c r="O10" i="1"/>
  <c r="P10" i="1" s="1"/>
  <c r="O8" i="1"/>
  <c r="P8" i="1" s="1"/>
  <c r="T12" i="1"/>
  <c r="C36" i="11"/>
  <c r="AR12" i="1"/>
  <c r="T9" i="1"/>
  <c r="T6" i="1"/>
  <c r="P12" i="1"/>
  <c r="AQ9" i="1"/>
  <c r="S16" i="1"/>
  <c r="Q16" i="1"/>
  <c r="P6" i="1"/>
  <c r="C13" i="12" s="1"/>
  <c r="B118" i="43"/>
  <c r="B121" i="43"/>
  <c r="C121" i="43" s="1"/>
  <c r="I118" i="43"/>
  <c r="J118" i="43" s="1"/>
  <c r="K118" i="43" s="1"/>
  <c r="L118" i="43" s="1"/>
  <c r="M118" i="43" s="1"/>
  <c r="D120" i="43"/>
  <c r="E120" i="43" s="1"/>
  <c r="F120" i="43" s="1"/>
  <c r="G120" i="43" s="1"/>
  <c r="H120" i="43" s="1"/>
  <c r="N370" i="46"/>
  <c r="E59" i="40"/>
  <c r="G11" i="1"/>
  <c r="G16" i="1" s="1"/>
  <c r="X8" i="71"/>
  <c r="B37" i="48"/>
  <c r="B2" i="72" s="1"/>
  <c r="Y8" i="71"/>
  <c r="Z8" i="71" s="1"/>
  <c r="C23" i="43"/>
  <c r="J52" i="37"/>
  <c r="K52" i="37" s="1"/>
  <c r="L52" i="37" s="1"/>
  <c r="M52" i="37" s="1"/>
  <c r="N52" i="37" s="1"/>
  <c r="O52" i="37" s="1"/>
  <c r="F7" i="37"/>
  <c r="AB7" i="35"/>
  <c r="T38" i="35" s="1"/>
  <c r="G38" i="35" s="1"/>
  <c r="F58" i="33"/>
  <c r="G58" i="33" s="1"/>
  <c r="H58" i="33" s="1"/>
  <c r="I58" i="33" s="1"/>
  <c r="J58" i="33" s="1"/>
  <c r="K58" i="33" s="1"/>
  <c r="L58" i="33" s="1"/>
  <c r="M58" i="33" s="1"/>
  <c r="N58" i="33" s="1"/>
  <c r="O58" i="33" s="1"/>
  <c r="J7" i="33"/>
  <c r="C7" i="78"/>
  <c r="D7" i="78" s="1"/>
  <c r="C6" i="78"/>
  <c r="D6" i="78" s="1"/>
  <c r="C5" i="78"/>
  <c r="D5" i="78" s="1"/>
  <c r="F7" i="35"/>
  <c r="E46" i="36"/>
  <c r="F46" i="36" s="1"/>
  <c r="G46" i="36" s="1"/>
  <c r="H46" i="36" s="1"/>
  <c r="I46" i="36" s="1"/>
  <c r="J46" i="36" s="1"/>
  <c r="K46" i="36" s="1"/>
  <c r="L46" i="36" s="1"/>
  <c r="M46" i="36" s="1"/>
  <c r="N46" i="36" s="1"/>
  <c r="O46" i="36" s="1"/>
  <c r="J7" i="36"/>
  <c r="F7" i="36"/>
  <c r="E59" i="34"/>
  <c r="F59" i="34" s="1"/>
  <c r="G59" i="34" s="1"/>
  <c r="H59" i="34" s="1"/>
  <c r="I59" i="34" s="1"/>
  <c r="J59" i="34" s="1"/>
  <c r="K59" i="34" s="1"/>
  <c r="L59" i="34" s="1"/>
  <c r="M59" i="34" s="1"/>
  <c r="N59" i="34" s="1"/>
  <c r="O59" i="34" s="1"/>
  <c r="D63" i="40"/>
  <c r="C65" i="40"/>
  <c r="J7" i="35"/>
  <c r="H7" i="33"/>
  <c r="D69" i="39"/>
  <c r="E67" i="39"/>
  <c r="L1" i="73"/>
  <c r="F7" i="33"/>
  <c r="D58" i="21"/>
  <c r="H7" i="36"/>
  <c r="J7" i="37"/>
  <c r="H7" i="37"/>
  <c r="C36" i="68"/>
  <c r="B10" i="70"/>
  <c r="J20" i="15"/>
  <c r="B7" i="70"/>
  <c r="M7" i="67"/>
  <c r="M17" i="67" s="1"/>
  <c r="F50" i="67"/>
  <c r="B9" i="70"/>
  <c r="C27" i="15"/>
  <c r="F66" i="67"/>
  <c r="B11" i="70"/>
  <c r="F69" i="15"/>
  <c r="F65" i="15"/>
  <c r="I54" i="15"/>
  <c r="J53" i="15"/>
  <c r="L56" i="15" s="1"/>
  <c r="J57" i="15"/>
  <c r="J55" i="15" s="1"/>
  <c r="J58" i="15" s="1"/>
  <c r="Q50" i="15" s="1"/>
  <c r="F51" i="15"/>
  <c r="Q71" i="15"/>
  <c r="B8" i="70"/>
  <c r="B12" i="70"/>
  <c r="C34" i="67"/>
  <c r="M7" i="15"/>
  <c r="M17" i="15" s="1"/>
  <c r="F50" i="15"/>
  <c r="C6" i="67"/>
  <c r="F31" i="67"/>
  <c r="C34" i="15"/>
  <c r="F63" i="15"/>
  <c r="C62" i="15" s="1"/>
  <c r="F71" i="67"/>
  <c r="F71" i="15"/>
  <c r="F51" i="67"/>
  <c r="F64" i="15"/>
  <c r="B20" i="31"/>
  <c r="B21" i="31" s="1"/>
  <c r="F65" i="67"/>
  <c r="Q71" i="67"/>
  <c r="F31" i="15"/>
  <c r="C6" i="15"/>
  <c r="J53" i="67"/>
  <c r="I54" i="67"/>
  <c r="J57" i="67"/>
  <c r="J55" i="67" s="1"/>
  <c r="J58" i="67" s="1"/>
  <c r="Q50" i="67" s="1"/>
  <c r="L56" i="67"/>
  <c r="F68" i="15"/>
  <c r="L58" i="15"/>
  <c r="L59" i="15"/>
  <c r="N59" i="15"/>
  <c r="M59" i="15"/>
  <c r="N59" i="67"/>
  <c r="L58" i="67"/>
  <c r="M59" i="67"/>
  <c r="L59" i="67"/>
  <c r="K1" i="73"/>
  <c r="C27" i="67"/>
  <c r="F64" i="67"/>
  <c r="F68" i="67"/>
  <c r="F66" i="15"/>
  <c r="B13" i="70"/>
  <c r="C23" i="12"/>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F3" i="73"/>
  <c r="F5" i="73"/>
  <c r="C14" i="67"/>
  <c r="C16" i="67"/>
  <c r="C17" i="67"/>
  <c r="C14" i="15"/>
  <c r="F4" i="73"/>
  <c r="F6" i="73"/>
  <c r="C17" i="15"/>
  <c r="G1" i="73"/>
  <c r="C16" i="15"/>
  <c r="F7" i="73"/>
  <c r="S26" i="21" l="1"/>
  <c r="AA26" i="21"/>
  <c r="F125" i="21"/>
  <c r="G125" i="21" s="1"/>
  <c r="H43" i="21"/>
  <c r="U42" i="21"/>
  <c r="AB42" i="21"/>
  <c r="U36" i="21"/>
  <c r="AC32" i="21"/>
  <c r="S43" i="21"/>
  <c r="AA43" i="21"/>
  <c r="W39" i="21"/>
  <c r="W36" i="21"/>
  <c r="AA36" i="21"/>
  <c r="I101" i="21"/>
  <c r="J101" i="21" s="1"/>
  <c r="K101" i="21" s="1"/>
  <c r="L101" i="21" s="1"/>
  <c r="M101" i="21" s="1"/>
  <c r="H32" i="21"/>
  <c r="F32" i="21"/>
  <c r="AA29" i="21"/>
  <c r="S29" i="21"/>
  <c r="M89" i="21"/>
  <c r="J26" i="21"/>
  <c r="H26" i="21"/>
  <c r="AC11" i="21"/>
  <c r="W9" i="21"/>
  <c r="AC9" i="21"/>
  <c r="G21" i="43"/>
  <c r="C20" i="43" s="1"/>
  <c r="D5" i="43" s="1"/>
  <c r="F48" i="9"/>
  <c r="O52" i="9" s="1"/>
  <c r="F31" i="12"/>
  <c r="C31" i="12" s="1"/>
  <c r="F28" i="15"/>
  <c r="C28" i="15" s="1"/>
  <c r="M18" i="67"/>
  <c r="D68" i="9"/>
  <c r="F32" i="15"/>
  <c r="F60" i="15" s="1"/>
  <c r="F30" i="68"/>
  <c r="F32" i="67"/>
  <c r="F60" i="67" s="1"/>
  <c r="F54" i="9"/>
  <c r="F53" i="9"/>
  <c r="F28" i="67"/>
  <c r="C28" i="67" s="1"/>
  <c r="C48" i="11"/>
  <c r="C30" i="11"/>
  <c r="C48" i="69"/>
  <c r="F48" i="69"/>
  <c r="E30" i="6"/>
  <c r="K14" i="1"/>
  <c r="AZ13" i="3"/>
  <c r="AZ5" i="3" s="1"/>
  <c r="BA5" i="3"/>
  <c r="E27" i="6" s="1"/>
  <c r="F30" i="6"/>
  <c r="E61" i="39"/>
  <c r="E57" i="40"/>
  <c r="E64" i="39"/>
  <c r="E60" i="40"/>
  <c r="H6" i="3"/>
  <c r="E6" i="3" s="1"/>
  <c r="D19" i="12"/>
  <c r="C19" i="12" s="1"/>
  <c r="D9" i="69"/>
  <c r="D9" i="11"/>
  <c r="C9" i="11" s="1"/>
  <c r="D9" i="68"/>
  <c r="F27" i="6"/>
  <c r="E51" i="40"/>
  <c r="E56" i="39"/>
  <c r="E60" i="39"/>
  <c r="E56" i="40"/>
  <c r="E16" i="6"/>
  <c r="E58" i="40"/>
  <c r="E62" i="39"/>
  <c r="C18" i="15"/>
  <c r="C15" i="15"/>
  <c r="C118" i="43"/>
  <c r="D116" i="43" s="1"/>
  <c r="F27" i="11"/>
  <c r="F27" i="68"/>
  <c r="F28" i="12"/>
  <c r="C29" i="12" s="1"/>
  <c r="D28" i="12" s="1"/>
  <c r="F27" i="69"/>
  <c r="J6" i="15"/>
  <c r="J18" i="15" s="1"/>
  <c r="J10" i="39"/>
  <c r="H10" i="40"/>
  <c r="U10" i="40" s="1"/>
  <c r="H10" i="39"/>
  <c r="AB10" i="39" s="1"/>
  <c r="F10" i="40"/>
  <c r="S10" i="40" s="1"/>
  <c r="J10" i="40"/>
  <c r="AC10" i="40" s="1"/>
  <c r="F10" i="39"/>
  <c r="AA10" i="39" s="1"/>
  <c r="I1" i="73"/>
  <c r="B39" i="1" s="1"/>
  <c r="M11" i="15" s="1"/>
  <c r="J10" i="15" s="1"/>
  <c r="D65" i="40"/>
  <c r="E63" i="40"/>
  <c r="S7" i="35"/>
  <c r="AA7" i="35"/>
  <c r="R38" i="35" s="1"/>
  <c r="W7" i="33"/>
  <c r="AC7" i="33"/>
  <c r="V48" i="33" s="1"/>
  <c r="I48" i="33" s="1"/>
  <c r="AB7" i="37"/>
  <c r="T42" i="37" s="1"/>
  <c r="G42" i="37" s="1"/>
  <c r="U7" i="37"/>
  <c r="E58" i="21"/>
  <c r="U7" i="33"/>
  <c r="AB7" i="33"/>
  <c r="T48" i="33" s="1"/>
  <c r="G48" i="33" s="1"/>
  <c r="F7" i="34"/>
  <c r="AA7" i="36"/>
  <c r="R36" i="36" s="1"/>
  <c r="S7" i="36"/>
  <c r="G42" i="35"/>
  <c r="H42" i="35" s="1"/>
  <c r="AC7" i="37"/>
  <c r="V42" i="37" s="1"/>
  <c r="I42" i="37" s="1"/>
  <c r="W7" i="37"/>
  <c r="W7" i="35"/>
  <c r="AC7" i="35"/>
  <c r="V38" i="35" s="1"/>
  <c r="I38" i="35" s="1"/>
  <c r="H7" i="34"/>
  <c r="W7" i="36"/>
  <c r="AC7" i="36"/>
  <c r="V36" i="36" s="1"/>
  <c r="I36" i="36" s="1"/>
  <c r="AA7" i="37"/>
  <c r="R42" i="37" s="1"/>
  <c r="S7" i="37"/>
  <c r="AB7" i="36"/>
  <c r="T36" i="36" s="1"/>
  <c r="G36" i="36" s="1"/>
  <c r="U7" i="36"/>
  <c r="S7" i="33"/>
  <c r="AA7" i="33"/>
  <c r="R48" i="33" s="1"/>
  <c r="E69" i="39"/>
  <c r="F67" i="39"/>
  <c r="J7" i="34"/>
  <c r="C49" i="67"/>
  <c r="C61" i="67" s="1"/>
  <c r="C49" i="15"/>
  <c r="C15" i="67"/>
  <c r="C18" i="67"/>
  <c r="B40" i="1"/>
  <c r="Q60" i="67"/>
  <c r="Q73" i="67"/>
  <c r="Q73" i="15"/>
  <c r="Q60" i="15"/>
  <c r="J6" i="67"/>
  <c r="C32" i="67"/>
  <c r="C33" i="67"/>
  <c r="C61" i="15"/>
  <c r="Q61" i="15"/>
  <c r="Q74" i="15"/>
  <c r="Q74" i="67"/>
  <c r="Q61" i="67"/>
  <c r="F59" i="15"/>
  <c r="Q52" i="67"/>
  <c r="F1" i="67"/>
  <c r="C32" i="15"/>
  <c r="C33" i="15"/>
  <c r="Q52" i="15"/>
  <c r="F1" i="15"/>
  <c r="F59" i="67"/>
  <c r="AE6" i="1"/>
  <c r="AB43" i="21" l="1"/>
  <c r="U43" i="21"/>
  <c r="AA32" i="21"/>
  <c r="S32" i="21"/>
  <c r="U32" i="21"/>
  <c r="AB32" i="21"/>
  <c r="AB26" i="21"/>
  <c r="U26" i="21"/>
  <c r="W26" i="21"/>
  <c r="AC26" i="21"/>
  <c r="J19" i="15"/>
  <c r="C41" i="43"/>
  <c r="C40" i="43"/>
  <c r="G40" i="43" s="1"/>
  <c r="I40" i="43" s="1"/>
  <c r="C37" i="43"/>
  <c r="E37" i="43" s="1"/>
  <c r="C39" i="43"/>
  <c r="C38" i="43"/>
  <c r="C42" i="43"/>
  <c r="C5" i="43"/>
  <c r="G37" i="43"/>
  <c r="I37" i="43" s="1"/>
  <c r="F48" i="68"/>
  <c r="C30" i="68"/>
  <c r="C48" i="68"/>
  <c r="S10" i="39"/>
  <c r="AB10" i="40"/>
  <c r="K22" i="6"/>
  <c r="M22" i="6" s="1"/>
  <c r="I22" i="6" s="1"/>
  <c r="S22" i="6" s="1"/>
  <c r="K25" i="6"/>
  <c r="M25" i="6" s="1"/>
  <c r="I25" i="6" s="1"/>
  <c r="S25" i="6" s="1"/>
  <c r="E31" i="6"/>
  <c r="K23" i="6"/>
  <c r="M23" i="6" s="1"/>
  <c r="I23" i="6" s="1"/>
  <c r="S23" i="6" s="1"/>
  <c r="K21" i="6"/>
  <c r="M21" i="6" s="1"/>
  <c r="I21" i="6" s="1"/>
  <c r="S21" i="6" s="1"/>
  <c r="K26" i="6"/>
  <c r="M26" i="6" s="1"/>
  <c r="I26" i="6" s="1"/>
  <c r="S26" i="6" s="1"/>
  <c r="K24" i="6"/>
  <c r="M24" i="6" s="1"/>
  <c r="I24" i="6" s="1"/>
  <c r="S24" i="6" s="1"/>
  <c r="K20" i="6"/>
  <c r="M20" i="6" s="1"/>
  <c r="I20" i="6" s="1"/>
  <c r="S20" i="6" s="1"/>
  <c r="E3" i="6"/>
  <c r="AY6" i="3"/>
  <c r="M14" i="1"/>
  <c r="C34" i="69"/>
  <c r="K16" i="1"/>
  <c r="F31" i="6"/>
  <c r="K19" i="6"/>
  <c r="E65" i="39"/>
  <c r="C9" i="68"/>
  <c r="C9" i="69"/>
  <c r="W10" i="40"/>
  <c r="J5" i="15"/>
  <c r="J26" i="15" s="1"/>
  <c r="J29" i="15" s="1"/>
  <c r="C19" i="15"/>
  <c r="C20" i="15" s="1"/>
  <c r="C26" i="15" s="1"/>
  <c r="M11" i="67"/>
  <c r="J10" i="67" s="1"/>
  <c r="J5" i="67" s="1"/>
  <c r="U10" i="39"/>
  <c r="F45" i="68"/>
  <c r="C47" i="68"/>
  <c r="D45" i="68" s="1"/>
  <c r="C29" i="68"/>
  <c r="D27" i="68" s="1"/>
  <c r="C47" i="11"/>
  <c r="D45" i="11" s="1"/>
  <c r="C29" i="11"/>
  <c r="D27" i="11" s="1"/>
  <c r="C29" i="69"/>
  <c r="D27" i="69" s="1"/>
  <c r="F45" i="69"/>
  <c r="C47" i="69"/>
  <c r="D45" i="69" s="1"/>
  <c r="F11" i="15"/>
  <c r="C10" i="15" s="1"/>
  <c r="C5" i="15" s="1"/>
  <c r="AA10" i="40"/>
  <c r="F11" i="67"/>
  <c r="C53" i="67" s="1"/>
  <c r="C48" i="67" s="1"/>
  <c r="W10" i="39"/>
  <c r="AC10" i="39"/>
  <c r="I42" i="35"/>
  <c r="J42" i="35" s="1"/>
  <c r="I52" i="33"/>
  <c r="J52" i="33" s="1"/>
  <c r="E65" i="40"/>
  <c r="F63" i="40"/>
  <c r="C19" i="67"/>
  <c r="C20" i="67" s="1"/>
  <c r="W7" i="34"/>
  <c r="AC7" i="34"/>
  <c r="V49" i="34" s="1"/>
  <c r="I49" i="34" s="1"/>
  <c r="G67" i="39"/>
  <c r="F69" i="39"/>
  <c r="I40" i="36"/>
  <c r="J40" i="36" s="1"/>
  <c r="R37" i="36"/>
  <c r="E36" i="36"/>
  <c r="I41" i="36" s="1"/>
  <c r="J41" i="36" s="1"/>
  <c r="G46" i="37"/>
  <c r="H46" i="37" s="1"/>
  <c r="G47" i="37"/>
  <c r="H47" i="37" s="1"/>
  <c r="G40" i="36"/>
  <c r="H40" i="36" s="1"/>
  <c r="G41" i="36"/>
  <c r="H41" i="36" s="1"/>
  <c r="R43" i="37"/>
  <c r="E42" i="37"/>
  <c r="AA7" i="34"/>
  <c r="R49" i="34" s="1"/>
  <c r="S7" i="34"/>
  <c r="R39" i="35"/>
  <c r="E38" i="35"/>
  <c r="G43" i="35"/>
  <c r="H43" i="35" s="1"/>
  <c r="E48" i="33"/>
  <c r="I53" i="33" s="1"/>
  <c r="J53" i="33" s="1"/>
  <c r="R49" i="33"/>
  <c r="U7" i="34"/>
  <c r="AB7" i="34"/>
  <c r="T49" i="34" s="1"/>
  <c r="G49" i="34" s="1"/>
  <c r="I46" i="37"/>
  <c r="J46" i="37" s="1"/>
  <c r="I47" i="37"/>
  <c r="J47" i="37" s="1"/>
  <c r="G53" i="33"/>
  <c r="H53" i="33" s="1"/>
  <c r="G52" i="33"/>
  <c r="H52" i="33" s="1"/>
  <c r="F58" i="21"/>
  <c r="J17" i="15"/>
  <c r="C31" i="67"/>
  <c r="C31" i="15"/>
  <c r="J18" i="67"/>
  <c r="J19" i="67"/>
  <c r="L36" i="43"/>
  <c r="F24" i="67"/>
  <c r="C24" i="67" s="1"/>
  <c r="F24" i="15"/>
  <c r="C24" i="15" s="1"/>
  <c r="F22" i="69"/>
  <c r="F22" i="11"/>
  <c r="F25" i="12"/>
  <c r="F22" i="68"/>
  <c r="F41" i="67"/>
  <c r="E39" i="43" l="1"/>
  <c r="G39" i="43"/>
  <c r="I39" i="43" s="1"/>
  <c r="T6" i="43"/>
  <c r="V6" i="43" s="1"/>
  <c r="T15" i="43"/>
  <c r="V15" i="43" s="1"/>
  <c r="T7" i="43"/>
  <c r="V7" i="43" s="1"/>
  <c r="T11" i="43"/>
  <c r="V11" i="43" s="1"/>
  <c r="T9" i="43"/>
  <c r="V9" i="43" s="1"/>
  <c r="T4" i="43"/>
  <c r="V4" i="43" s="1"/>
  <c r="T16" i="43"/>
  <c r="V16" i="43" s="1"/>
  <c r="T8" i="43"/>
  <c r="V8" i="43" s="1"/>
  <c r="T10" i="43"/>
  <c r="V10" i="43" s="1"/>
  <c r="T12" i="43"/>
  <c r="V12" i="43" s="1"/>
  <c r="T5" i="43"/>
  <c r="V5" i="43" s="1"/>
  <c r="T3" i="43"/>
  <c r="V3" i="43" s="1"/>
  <c r="C33" i="43"/>
  <c r="T13" i="43"/>
  <c r="V13" i="43" s="1"/>
  <c r="T14" i="43"/>
  <c r="V14" i="43" s="1"/>
  <c r="T2" i="43"/>
  <c r="V2" i="43" s="1"/>
  <c r="G42" i="43"/>
  <c r="I42" i="43" s="1"/>
  <c r="E42" i="43"/>
  <c r="E40" i="43"/>
  <c r="E38" i="43"/>
  <c r="G38" i="43"/>
  <c r="I38" i="43" s="1"/>
  <c r="E41" i="43"/>
  <c r="G41" i="43"/>
  <c r="I41" i="43" s="1"/>
  <c r="F69" i="67"/>
  <c r="J24" i="15"/>
  <c r="C53" i="15"/>
  <c r="C48" i="15" s="1"/>
  <c r="C66" i="15" s="1"/>
  <c r="C38" i="69"/>
  <c r="C35" i="69"/>
  <c r="K27" i="6"/>
  <c r="M19" i="6"/>
  <c r="O14" i="1"/>
  <c r="O16" i="1" s="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s="1"/>
  <c r="D37" i="11"/>
  <c r="C37" i="11" s="1"/>
  <c r="L18" i="9"/>
  <c r="D3" i="34"/>
  <c r="B3" i="34" s="1"/>
  <c r="D14" i="12"/>
  <c r="D19" i="11"/>
  <c r="C19" i="11" s="1"/>
  <c r="D3" i="33"/>
  <c r="B3" i="33" s="1"/>
  <c r="M18" i="9"/>
  <c r="B118" i="9" s="1"/>
  <c r="C17" i="4"/>
  <c r="B4" i="52" s="1"/>
  <c r="B43" i="72" s="1"/>
  <c r="E6" i="6"/>
  <c r="C10" i="67"/>
  <c r="C5" i="67" s="1"/>
  <c r="C38" i="67" s="1"/>
  <c r="C48" i="33"/>
  <c r="C49" i="33"/>
  <c r="E43" i="35"/>
  <c r="F43" i="35" s="1"/>
  <c r="E42" i="35"/>
  <c r="F42" i="35" s="1"/>
  <c r="E47" i="37"/>
  <c r="F47" i="37" s="1"/>
  <c r="E46" i="37"/>
  <c r="F46" i="37" s="1"/>
  <c r="I53" i="34"/>
  <c r="J53" i="34" s="1"/>
  <c r="G58" i="21"/>
  <c r="E52" i="33"/>
  <c r="F52" i="33" s="1"/>
  <c r="E53" i="33"/>
  <c r="F53" i="33" s="1"/>
  <c r="C38" i="35"/>
  <c r="C39" i="35"/>
  <c r="M3" i="35" s="1"/>
  <c r="C42" i="37"/>
  <c r="C43" i="37"/>
  <c r="F65" i="40"/>
  <c r="G63" i="40"/>
  <c r="I43" i="35"/>
  <c r="J43" i="35" s="1"/>
  <c r="G53" i="34"/>
  <c r="H53" i="34" s="1"/>
  <c r="G54" i="34"/>
  <c r="H54" i="34" s="1"/>
  <c r="E40" i="36"/>
  <c r="F40" i="36" s="1"/>
  <c r="E41" i="36"/>
  <c r="F41" i="36" s="1"/>
  <c r="R50" i="34"/>
  <c r="E49" i="34"/>
  <c r="I54" i="34" s="1"/>
  <c r="J54" i="34" s="1"/>
  <c r="C37" i="36"/>
  <c r="C36" i="36"/>
  <c r="H67" i="39"/>
  <c r="G69" i="39"/>
  <c r="C23" i="15"/>
  <c r="C29" i="15" s="1"/>
  <c r="C13" i="15" s="1"/>
  <c r="C38" i="15"/>
  <c r="C26" i="12"/>
  <c r="D25" i="12" s="1"/>
  <c r="C23" i="67"/>
  <c r="J17" i="67"/>
  <c r="F41" i="68"/>
  <c r="C23" i="68"/>
  <c r="C44" i="68"/>
  <c r="D41" i="68" s="1"/>
  <c r="C26" i="68"/>
  <c r="D22" i="68" s="1"/>
  <c r="C60" i="67"/>
  <c r="C59" i="67" s="1"/>
  <c r="C66" i="67"/>
  <c r="C24" i="11"/>
  <c r="C26" i="11"/>
  <c r="D22" i="11" s="1"/>
  <c r="C44" i="11"/>
  <c r="D41" i="11" s="1"/>
  <c r="C23" i="11"/>
  <c r="Q36" i="43"/>
  <c r="M36" i="43"/>
  <c r="O36" i="43"/>
  <c r="N36" i="43"/>
  <c r="L37" i="43"/>
  <c r="P36" i="43"/>
  <c r="C26" i="67"/>
  <c r="C44" i="69"/>
  <c r="D41" i="69" s="1"/>
  <c r="C26" i="69"/>
  <c r="D22" i="69" s="1"/>
  <c r="F41" i="69"/>
  <c r="C60" i="15"/>
  <c r="C59" i="15" s="1"/>
  <c r="J24" i="67"/>
  <c r="J26" i="67"/>
  <c r="J29" i="67" s="1"/>
  <c r="E33" i="43" l="1"/>
  <c r="C30" i="43" s="1"/>
  <c r="C34" i="43"/>
  <c r="E34" i="43" s="1"/>
  <c r="C31" i="43" s="1"/>
  <c r="C34" i="68"/>
  <c r="C34" i="11"/>
  <c r="L16" i="1"/>
  <c r="D17" i="12"/>
  <c r="C17" i="12" s="1"/>
  <c r="C14" i="12"/>
  <c r="N16" i="1"/>
  <c r="P14" i="1"/>
  <c r="P16" i="1" s="1"/>
  <c r="C11" i="12" s="1"/>
  <c r="D20" i="12"/>
  <c r="C20" i="12" s="1"/>
  <c r="C18" i="12" s="1"/>
  <c r="D10" i="68"/>
  <c r="D10" i="11"/>
  <c r="C10" i="11" s="1"/>
  <c r="D10" i="69"/>
  <c r="C20" i="11"/>
  <c r="C25" i="11" s="1"/>
  <c r="C22" i="11" s="1"/>
  <c r="H20" i="6"/>
  <c r="H21" i="6"/>
  <c r="H23" i="6"/>
  <c r="H22" i="6"/>
  <c r="H26" i="6"/>
  <c r="H24" i="6"/>
  <c r="D22" i="6"/>
  <c r="C18" i="4"/>
  <c r="D14" i="6"/>
  <c r="D25" i="6"/>
  <c r="D5" i="6"/>
  <c r="D26" i="6"/>
  <c r="D11" i="6"/>
  <c r="E61" i="40"/>
  <c r="L19" i="9"/>
  <c r="M19" i="9"/>
  <c r="C118" i="9" s="1"/>
  <c r="D29" i="6"/>
  <c r="D24" i="6"/>
  <c r="R24" i="6" s="1"/>
  <c r="D28" i="6"/>
  <c r="D30" i="6" s="1"/>
  <c r="D10" i="6"/>
  <c r="D8" i="6"/>
  <c r="D23" i="6"/>
  <c r="D9" i="6"/>
  <c r="D15" i="6"/>
  <c r="D19" i="6"/>
  <c r="H25" i="6"/>
  <c r="D13" i="6"/>
  <c r="D20" i="6"/>
  <c r="D12" i="6"/>
  <c r="D21" i="6"/>
  <c r="R21" i="6" s="1"/>
  <c r="D6" i="6"/>
  <c r="M27" i="6"/>
  <c r="I19" i="6"/>
  <c r="C36" i="15"/>
  <c r="C57" i="15"/>
  <c r="C64" i="15" s="1"/>
  <c r="G65" i="40"/>
  <c r="H63" i="40"/>
  <c r="E53" i="34"/>
  <c r="F53" i="34" s="1"/>
  <c r="E54" i="34"/>
  <c r="F54" i="34" s="1"/>
  <c r="I67" i="39"/>
  <c r="H69" i="39"/>
  <c r="C49" i="34"/>
  <c r="C50" i="34"/>
  <c r="H58" i="21"/>
  <c r="Q49" i="15"/>
  <c r="J14" i="15"/>
  <c r="J22" i="15" s="1"/>
  <c r="J59" i="15"/>
  <c r="J60" i="15" s="1"/>
  <c r="Q48" i="15" s="1"/>
  <c r="C29" i="67"/>
  <c r="J14" i="67" s="1"/>
  <c r="Q37" i="43"/>
  <c r="P37" i="43"/>
  <c r="N37" i="43"/>
  <c r="M37" i="43"/>
  <c r="O37" i="43"/>
  <c r="C56" i="15"/>
  <c r="C65" i="15" s="1"/>
  <c r="Q70" i="15"/>
  <c r="C75" i="15"/>
  <c r="C37" i="15"/>
  <c r="E6" i="76"/>
  <c r="E2" i="76" l="1"/>
  <c r="B2" i="43"/>
  <c r="C30" i="15"/>
  <c r="C39" i="15" s="1"/>
  <c r="C80" i="15" s="1"/>
  <c r="C79" i="15" s="1"/>
  <c r="R22" i="6"/>
  <c r="R23" i="6"/>
  <c r="R25" i="6"/>
  <c r="C10" i="69"/>
  <c r="C8" i="69" s="1"/>
  <c r="C5" i="69" s="1"/>
  <c r="C23" i="69" s="1"/>
  <c r="D19" i="69"/>
  <c r="C15" i="12"/>
  <c r="C12" i="12"/>
  <c r="C35" i="11"/>
  <c r="C38" i="11"/>
  <c r="S19" i="6"/>
  <c r="S27" i="6" s="1"/>
  <c r="H19" i="6"/>
  <c r="I27" i="6"/>
  <c r="D27" i="6"/>
  <c r="D31" i="6" s="1"/>
  <c r="D16" i="6"/>
  <c r="F50" i="11"/>
  <c r="F50" i="68"/>
  <c r="F50" i="69"/>
  <c r="R20" i="6"/>
  <c r="R26" i="6"/>
  <c r="A10" i="51"/>
  <c r="B9" i="72" s="1"/>
  <c r="C4" i="52"/>
  <c r="B45" i="72" s="1"/>
  <c r="A7" i="51"/>
  <c r="B7" i="72" s="1"/>
  <c r="C28" i="11"/>
  <c r="C27" i="11" s="1"/>
  <c r="C31" i="11" s="1"/>
  <c r="C10" i="68"/>
  <c r="D19" i="68"/>
  <c r="C38" i="68"/>
  <c r="C35" i="68"/>
  <c r="C58" i="15"/>
  <c r="C67" i="15" s="1"/>
  <c r="C68" i="15" s="1"/>
  <c r="C71" i="15" s="1"/>
  <c r="J13" i="15"/>
  <c r="J23" i="15" s="1"/>
  <c r="J16" i="15" s="1"/>
  <c r="J25" i="15" s="1"/>
  <c r="J59" i="67"/>
  <c r="J60" i="67" s="1"/>
  <c r="Q48" i="67" s="1"/>
  <c r="Q49" i="67"/>
  <c r="L46" i="15"/>
  <c r="C13" i="67"/>
  <c r="Q70" i="67" s="1"/>
  <c r="C36" i="67"/>
  <c r="C57" i="67"/>
  <c r="C64" i="67" s="1"/>
  <c r="H7" i="21"/>
  <c r="I69" i="39"/>
  <c r="J67" i="39"/>
  <c r="H65" i="40"/>
  <c r="I63" i="40"/>
  <c r="I58" i="21"/>
  <c r="J58" i="21" s="1"/>
  <c r="K58" i="21" s="1"/>
  <c r="L58" i="21" s="1"/>
  <c r="M58" i="21" s="1"/>
  <c r="N58" i="21" s="1"/>
  <c r="O58" i="21" s="1"/>
  <c r="F7" i="21"/>
  <c r="J7" i="21"/>
  <c r="J13" i="67"/>
  <c r="J23" i="67" s="1"/>
  <c r="J22" i="67"/>
  <c r="B6" i="76"/>
  <c r="L51" i="15"/>
  <c r="C40" i="15" l="1"/>
  <c r="Q47" i="15" s="1"/>
  <c r="Q53" i="15" s="1"/>
  <c r="Q69" i="15"/>
  <c r="Q68" i="15" s="1"/>
  <c r="B2" i="76"/>
  <c r="B3" i="76" s="1"/>
  <c r="B3" i="43"/>
  <c r="C33" i="11"/>
  <c r="C39" i="11" s="1"/>
  <c r="C16" i="12"/>
  <c r="C21" i="12" s="1"/>
  <c r="C22" i="12" s="1"/>
  <c r="C30" i="12" s="1"/>
  <c r="C28" i="12" s="1"/>
  <c r="H27" i="6"/>
  <c r="R19" i="6"/>
  <c r="D37" i="68"/>
  <c r="C37" i="68" s="1"/>
  <c r="C33" i="68" s="1"/>
  <c r="C19" i="68"/>
  <c r="I5" i="6"/>
  <c r="I6" i="6"/>
  <c r="D37" i="69"/>
  <c r="C37" i="69" s="1"/>
  <c r="C33" i="69" s="1"/>
  <c r="C19" i="69"/>
  <c r="C24" i="69" s="1"/>
  <c r="C75" i="67"/>
  <c r="C56" i="67"/>
  <c r="C65" i="67" s="1"/>
  <c r="C58" i="67" s="1"/>
  <c r="C67" i="67" s="1"/>
  <c r="C68" i="67" s="1"/>
  <c r="C71" i="67" s="1"/>
  <c r="L46" i="67"/>
  <c r="C37" i="67"/>
  <c r="C30" i="67" s="1"/>
  <c r="C39" i="67" s="1"/>
  <c r="S7" i="21"/>
  <c r="AA7" i="21"/>
  <c r="R48" i="21" s="1"/>
  <c r="J69" i="39"/>
  <c r="K67" i="39"/>
  <c r="I65" i="40"/>
  <c r="J63" i="40"/>
  <c r="AB7" i="21"/>
  <c r="T48" i="21" s="1"/>
  <c r="G48" i="21" s="1"/>
  <c r="U7" i="21"/>
  <c r="W7" i="21"/>
  <c r="AC7" i="21"/>
  <c r="V48" i="21" s="1"/>
  <c r="I48" i="21" s="1"/>
  <c r="J16" i="67"/>
  <c r="J25" i="67" s="1"/>
  <c r="Q67" i="15"/>
  <c r="L57" i="15"/>
  <c r="L60" i="15" s="1"/>
  <c r="L51" i="67"/>
  <c r="Q65" i="15" l="1"/>
  <c r="C43" i="15"/>
  <c r="C83" i="15"/>
  <c r="C82" i="15" s="1"/>
  <c r="C46" i="15"/>
  <c r="Q56" i="15"/>
  <c r="B2" i="15"/>
  <c r="B3" i="15" s="1"/>
  <c r="C42" i="11"/>
  <c r="C43" i="11"/>
  <c r="C46" i="11"/>
  <c r="C45" i="11" s="1"/>
  <c r="C27" i="12"/>
  <c r="C25" i="12" s="1"/>
  <c r="C32" i="12" s="1"/>
  <c r="B2" i="12" s="1"/>
  <c r="B3" i="12" s="1"/>
  <c r="R27" i="6"/>
  <c r="R6" i="1"/>
  <c r="C20" i="69"/>
  <c r="C42" i="69"/>
  <c r="C39" i="69"/>
  <c r="C43" i="69" s="1"/>
  <c r="C42" i="68"/>
  <c r="C39" i="68"/>
  <c r="C43" i="68" s="1"/>
  <c r="C20" i="68"/>
  <c r="C25" i="68" s="1"/>
  <c r="C24" i="68"/>
  <c r="Q69" i="67"/>
  <c r="Q68" i="67" s="1"/>
  <c r="C80" i="67"/>
  <c r="C79" i="67" s="1"/>
  <c r="C40" i="67"/>
  <c r="Q47" i="67" s="1"/>
  <c r="Q53" i="67" s="1"/>
  <c r="L67" i="39"/>
  <c r="K69" i="39"/>
  <c r="G53" i="21"/>
  <c r="H53" i="21" s="1"/>
  <c r="G52" i="21"/>
  <c r="H52" i="21" s="1"/>
  <c r="I52" i="21"/>
  <c r="J52" i="21" s="1"/>
  <c r="J65" i="40"/>
  <c r="K63" i="40"/>
  <c r="R49" i="21"/>
  <c r="E48" i="21"/>
  <c r="Q67" i="67"/>
  <c r="L57" i="67"/>
  <c r="L60" i="67" s="1"/>
  <c r="Q66" i="15"/>
  <c r="Q75" i="15" s="1"/>
  <c r="Q57" i="15"/>
  <c r="F35" i="67"/>
  <c r="M21" i="67"/>
  <c r="Q62" i="15" l="1"/>
  <c r="C41" i="11"/>
  <c r="C49" i="11" s="1"/>
  <c r="C51" i="11" s="1"/>
  <c r="C52" i="11" s="1"/>
  <c r="B2" i="11" s="1"/>
  <c r="B3" i="11" s="1"/>
  <c r="F63" i="67"/>
  <c r="C62" i="67" s="1"/>
  <c r="J20" i="67"/>
  <c r="R16" i="1"/>
  <c r="C22" i="68"/>
  <c r="C41" i="68"/>
  <c r="C28" i="68"/>
  <c r="C27" i="68" s="1"/>
  <c r="C41" i="69"/>
  <c r="C25" i="69"/>
  <c r="C22" i="69" s="1"/>
  <c r="C28" i="69"/>
  <c r="C27" i="69" s="1"/>
  <c r="C46" i="69"/>
  <c r="C45" i="69" s="1"/>
  <c r="C46" i="68"/>
  <c r="C45" i="68" s="1"/>
  <c r="C83" i="67"/>
  <c r="C82" i="67" s="1"/>
  <c r="C43" i="67"/>
  <c r="D2" i="67"/>
  <c r="B2" i="67" s="1"/>
  <c r="Q56" i="67"/>
  <c r="Q65" i="67"/>
  <c r="C45" i="67"/>
  <c r="C46" i="67" s="1"/>
  <c r="L63" i="40"/>
  <c r="K65" i="40"/>
  <c r="E52" i="21"/>
  <c r="F52" i="21" s="1"/>
  <c r="E53" i="21"/>
  <c r="F53" i="21" s="1"/>
  <c r="I53" i="21"/>
  <c r="J53" i="21" s="1"/>
  <c r="C48" i="21"/>
  <c r="C49" i="21"/>
  <c r="L69" i="39"/>
  <c r="M67" i="39"/>
  <c r="Q57" i="67"/>
  <c r="Q66" i="67"/>
  <c r="AO6" i="1"/>
  <c r="C19" i="9"/>
  <c r="C102" i="9" l="1"/>
  <c r="C21" i="9"/>
  <c r="B2" i="21"/>
  <c r="B3" i="21"/>
  <c r="C31" i="68"/>
  <c r="C49" i="69"/>
  <c r="C51" i="69" s="1"/>
  <c r="C31" i="69"/>
  <c r="C49" i="68"/>
  <c r="C51" i="68" s="1"/>
  <c r="B6" i="70"/>
  <c r="B2" i="70" s="1"/>
  <c r="B3" i="70" s="1"/>
  <c r="Q75" i="67"/>
  <c r="C56" i="11"/>
  <c r="C57" i="11" s="1"/>
  <c r="B3" i="67"/>
  <c r="Q62" i="67"/>
  <c r="N67" i="39"/>
  <c r="M69" i="39"/>
  <c r="L65" i="40"/>
  <c r="M63" i="40"/>
  <c r="D19" i="9"/>
  <c r="C20" i="9"/>
  <c r="D20" i="9"/>
  <c r="D103" i="9" l="1"/>
  <c r="D102" i="9"/>
  <c r="D21" i="9"/>
  <c r="G19" i="9"/>
  <c r="D22" i="9"/>
  <c r="C103" i="9"/>
  <c r="G20" i="9"/>
  <c r="C52" i="68"/>
  <c r="B2" i="68" s="1"/>
  <c r="B3" i="68" s="1"/>
  <c r="C52" i="69"/>
  <c r="B2" i="69" s="1"/>
  <c r="B3" i="69" s="1"/>
  <c r="M65" i="40"/>
  <c r="N63" i="40"/>
  <c r="N69" i="39"/>
  <c r="O67" i="39"/>
  <c r="O69" i="39" s="1"/>
  <c r="G21" i="9" l="1"/>
  <c r="D14" i="74"/>
  <c r="C32" i="9"/>
  <c r="C35" i="9" s="1"/>
  <c r="C34" i="9" s="1"/>
  <c r="G22" i="9"/>
  <c r="C57" i="68"/>
  <c r="C56" i="68" s="1"/>
  <c r="C57" i="69"/>
  <c r="C56" i="69" s="1"/>
  <c r="F7" i="39"/>
  <c r="H7" i="39"/>
  <c r="J7" i="39"/>
  <c r="O63" i="40"/>
  <c r="O65" i="40" s="1"/>
  <c r="N65" i="40"/>
  <c r="B5" i="74" l="1"/>
  <c r="D5" i="74" s="1"/>
  <c r="F14" i="74"/>
  <c r="E14" i="74"/>
  <c r="J7" i="40"/>
  <c r="F7" i="40"/>
  <c r="H7" i="40"/>
  <c r="AC7" i="39"/>
  <c r="V47" i="39" s="1"/>
  <c r="I47" i="39" s="1"/>
  <c r="W7" i="39"/>
  <c r="AB7" i="39"/>
  <c r="T47" i="39" s="1"/>
  <c r="G47" i="39" s="1"/>
  <c r="U7" i="39"/>
  <c r="S7" i="39"/>
  <c r="AA7" i="39"/>
  <c r="R47" i="39" s="1"/>
  <c r="G51" i="39" l="1"/>
  <c r="H51" i="39" s="1"/>
  <c r="G52" i="39"/>
  <c r="H52" i="39" s="1"/>
  <c r="E47" i="39"/>
  <c r="R48" i="39"/>
  <c r="I51" i="39"/>
  <c r="J51" i="39" s="1"/>
  <c r="U7" i="40"/>
  <c r="AB7" i="40"/>
  <c r="T42" i="40" s="1"/>
  <c r="G42" i="40" s="1"/>
  <c r="S7" i="40"/>
  <c r="AA7" i="40"/>
  <c r="R42" i="40" s="1"/>
  <c r="W7" i="40"/>
  <c r="AC7" i="40"/>
  <c r="V42" i="40" s="1"/>
  <c r="I42" i="40" s="1"/>
  <c r="I46" i="40" l="1"/>
  <c r="J46" i="40" s="1"/>
  <c r="G47" i="40"/>
  <c r="H47" i="40" s="1"/>
  <c r="G46" i="40"/>
  <c r="H46" i="40" s="1"/>
  <c r="E51" i="39"/>
  <c r="F51" i="39" s="1"/>
  <c r="E52" i="39"/>
  <c r="F52" i="39" s="1"/>
  <c r="C48" i="39"/>
  <c r="C47" i="39"/>
  <c r="R43" i="40"/>
  <c r="E42" i="40"/>
  <c r="I52" i="39"/>
  <c r="J52" i="39" s="1"/>
  <c r="B63" i="39" l="1"/>
  <c r="F63" i="39" s="1"/>
  <c r="B60" i="39"/>
  <c r="F60" i="39" s="1"/>
  <c r="B57" i="39"/>
  <c r="F57" i="39" s="1"/>
  <c r="B62" i="39"/>
  <c r="F62" i="39" s="1"/>
  <c r="B64" i="39"/>
  <c r="F64" i="39" s="1"/>
  <c r="B59" i="39"/>
  <c r="F59" i="39" s="1"/>
  <c r="B56" i="39"/>
  <c r="F56" i="39" s="1"/>
  <c r="F65" i="39" s="1"/>
  <c r="B2" i="39" s="1"/>
  <c r="B3" i="39" s="1"/>
  <c r="B61" i="39"/>
  <c r="F61" i="39" s="1"/>
  <c r="B58" i="39"/>
  <c r="F58" i="39" s="1"/>
  <c r="E46" i="40"/>
  <c r="F46" i="40" s="1"/>
  <c r="E47" i="40"/>
  <c r="F47" i="40" s="1"/>
  <c r="I47" i="40"/>
  <c r="J47" i="40" s="1"/>
  <c r="C42" i="40"/>
  <c r="C43" i="40"/>
  <c r="B58" i="40" l="1"/>
  <c r="F58" i="40" s="1"/>
  <c r="B53" i="40"/>
  <c r="F53" i="40" s="1"/>
  <c r="B52" i="40"/>
  <c r="F52" i="40" s="1"/>
  <c r="B60" i="40"/>
  <c r="F60" i="40" s="1"/>
  <c r="B51" i="40"/>
  <c r="F51" i="40" s="1"/>
  <c r="B54" i="40"/>
  <c r="F54" i="40" s="1"/>
  <c r="F61" i="40"/>
  <c r="B2" i="40" s="1"/>
  <c r="B3" i="40" s="1"/>
  <c r="B57" i="40"/>
  <c r="F57" i="40" s="1"/>
  <c r="B59" i="40"/>
  <c r="F59" i="40" s="1"/>
  <c r="B56" i="40"/>
  <c r="F56" i="40" s="1"/>
  <c r="N60" i="9"/>
  <c r="N61" i="9"/>
  <c r="C81" i="9"/>
  <c r="B30" i="72"/>
  <c r="C86" i="9"/>
  <c r="B31" i="72"/>
  <c r="M54" i="9"/>
  <c r="E97" i="9"/>
  <c r="B47" i="72"/>
  <c r="M48" i="9"/>
  <c r="B49" i="72"/>
  <c r="D9" i="52"/>
  <c r="D4" i="52"/>
  <c r="C5" i="74"/>
  <c r="B48" i="72"/>
  <c r="H4" i="52"/>
  <c r="C104" i="9"/>
  <c r="N59" i="9"/>
  <c r="P57" i="9"/>
  <c r="N58" i="9"/>
  <c r="C96" i="9"/>
  <c r="E96" i="9"/>
  <c r="B20" i="72"/>
  <c r="D15" i="53"/>
  <c r="H108" i="9"/>
  <c r="C6" i="74"/>
  <c r="E4" i="52"/>
  <c r="D7" i="53"/>
  <c r="B21" i="72"/>
  <c r="D59" i="9"/>
  <c r="M55" i="9"/>
  <c r="D53" i="9"/>
  <c r="D52" i="9"/>
  <c r="C93" i="9"/>
  <c r="F4" i="52"/>
  <c r="B51" i="72"/>
  <c r="D5" i="53"/>
  <c r="D6" i="53"/>
  <c r="B22" i="72"/>
  <c r="C64" i="9"/>
  <c r="C63" i="9"/>
  <c r="C67" i="9"/>
  <c r="C68" i="9"/>
  <c r="D54" i="9"/>
  <c r="C80" i="9"/>
  <c r="E80" i="9"/>
  <c r="E81" i="9"/>
  <c r="N57" i="9"/>
  <c r="C105" i="9"/>
  <c r="I4" i="52"/>
  <c r="H102" i="9"/>
  <c r="H119" i="9"/>
  <c r="H5" i="52"/>
  <c r="D55" i="9"/>
  <c r="M53" i="9"/>
  <c r="D8" i="52"/>
  <c r="D122" i="9"/>
  <c r="D123" i="9"/>
  <c r="C97" i="9"/>
  <c r="D58" i="9"/>
  <c r="D56" i="9"/>
  <c r="H107" i="9"/>
  <c r="D13" i="53"/>
  <c r="D14" i="53"/>
  <c r="B32" i="72"/>
  <c r="F119" i="9"/>
  <c r="F5" i="52"/>
  <c r="B53" i="72"/>
  <c r="F118" i="9"/>
  <c r="G118" i="9"/>
  <c r="G4" i="52"/>
  <c r="B52" i="72"/>
  <c r="E118" i="9"/>
  <c r="D118" i="9"/>
  <c r="D119" i="9"/>
  <c r="D5" i="52"/>
  <c r="C78" i="9"/>
  <c r="C73" i="9"/>
  <c r="C72" i="9"/>
  <c r="C79"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<sst xmlns="http://schemas.openxmlformats.org/spreadsheetml/2006/main" count="8041" uniqueCount="3556">
  <si>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</si>
  <si>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</si>
  <si>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</si>
  <si>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</si>
  <si>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</si>
  <si>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</si>
  <si>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</si>
  <si>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</si>
  <si>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</si>
  <si>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</si>
  <si>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</si>
  <si>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</si>
  <si>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</si>
  <si>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</si>
  <si>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</si>
  <si>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</si>
  <si>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</si>
  <si>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</si>
  <si>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</si>
  <si>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</si>
  <si>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</si>
  <si>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</si>
  <si>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</si>
  <si>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</si>
  <si>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</si>
  <si>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</si>
  <si>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</si>
  <si>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</si>
  <si>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</si>
  <si>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</si>
  <si>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</si>
  <si>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</si>
  <si>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</si>
  <si>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</si>
  <si>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</si>
  <si>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</si>
  <si>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</si>
  <si>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</si>
  <si>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</si>
  <si>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</si>
  <si>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</si>
  <si>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</si>
  <si>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</si>
  <si>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</si>
  <si>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</si>
  <si>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</si>
  <si>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</si>
  <si>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</si>
  <si>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</si>
  <si>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</si>
  <si>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</si>
  <si>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</si>
  <si>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</si>
  <si>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</si>
  <si>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</si>
  <si>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</si>
  <si>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</si>
  <si>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</si>
  <si>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</si>
  <si>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</si>
  <si>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</si>
  <si>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</si>
  <si>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</si>
  <si>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</si>
  <si>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</si>
  <si>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</si>
  <si>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</si>
  <si>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</si>
  <si>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</si>
  <si>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</si>
  <si>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</si>
  <si>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</si>
  <si>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</si>
  <si>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</si>
  <si>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</si>
  <si>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</si>
  <si>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</si>
  <si>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</si>
  <si>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</si>
  <si>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</si>
  <si>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</si>
  <si>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</si>
  <si>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</si>
  <si>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</si>
  <si>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</si>
  <si>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</si>
  <si>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</si>
  <si>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</si>
  <si>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</si>
  <si>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</si>
  <si>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</si>
  <si>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</si>
  <si>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</si>
  <si>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</si>
  <si>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</si>
  <si>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</si>
  <si>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</si>
  <si>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</si>
  <si>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</si>
  <si>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</si>
  <si>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</si>
  <si>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</si>
  <si>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</si>
  <si>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</si>
  <si>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</si>
  <si>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</si>
  <si>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</si>
  <si>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</si>
  <si>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</si>
  <si>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</si>
  <si>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</si>
  <si>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</si>
  <si>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</si>
  <si>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</si>
  <si>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</si>
  <si>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</si>
  <si>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</si>
  <si>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</si>
  <si>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</si>
  <si>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</si>
  <si>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</si>
  <si>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</si>
  <si>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</si>
  <si>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</si>
  <si>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</si>
  <si>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</si>
  <si>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</si>
  <si>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</si>
  <si>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</si>
  <si>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</si>
  <si>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</si>
  <si>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</si>
  <si>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</si>
  <si>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</si>
  <si>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</si>
  <si>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</si>
  <si>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</si>
  <si>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</si>
  <si>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</si>
  <si>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</si>
  <si>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</si>
  <si>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</si>
  <si>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</si>
  <si>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</si>
  <si>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</si>
  <si>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</si>
  <si>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</si>
  <si>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</si>
  <si>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</si>
  <si>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</si>
  <si>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</si>
  <si>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</si>
  <si>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</si>
  <si>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</si>
  <si>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</si>
  <si>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</si>
  <si>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</si>
  <si>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</si>
  <si>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</si>
  <si>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</si>
  <si>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</si>
  <si>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</si>
  <si>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</si>
  <si>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</si>
  <si>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</si>
  <si>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</si>
  <si>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</si>
  <si>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</si>
  <si>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</si>
  <si>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</si>
  <si>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</si>
  <si>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</si>
  <si>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</si>
  <si>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</si>
  <si>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</si>
  <si>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</si>
  <si>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</si>
  <si>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</si>
  <si>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</si>
  <si>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</si>
  <si>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</si>
  <si>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</si>
  <si>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</si>
  <si>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</si>
  <si>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</si>
  <si>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</si>
  <si>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</si>
  <si>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</si>
  <si>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</si>
  <si>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</si>
  <si>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</si>
  <si>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</si>
  <si>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</si>
  <si>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</si>
  <si>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</si>
  <si>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</si>
  <si>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</si>
  <si>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</si>
  <si>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</si>
  <si>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</si>
  <si>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</si>
  <si>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</si>
  <si>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</si>
  <si>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</si>
  <si>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</si>
  <si>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</si>
  <si>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</si>
  <si>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</si>
  <si>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</si>
  <si>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</si>
  <si>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</si>
  <si>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</si>
  <si>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</si>
  <si>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</si>
  <si>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</si>
  <si>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</si>
  <si>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</si>
  <si>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</si>
  <si>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</si>
  <si>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</si>
  <si>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</si>
  <si>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</si>
  <si>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</si>
  <si>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</si>
  <si>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</si>
  <si>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</si>
  <si>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</si>
  <si>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</si>
  <si>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</si>
  <si>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</si>
  <si>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</si>
  <si>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</si>
  <si>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</si>
  <si>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</si>
  <si>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</si>
  <si>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</si>
  <si>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</si>
  <si>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</si>
  <si>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</si>
  <si>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</si>
  <si>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</si>
  <si>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</si>
  <si>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</si>
  <si>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</si>
  <si>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</si>
  <si>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</si>
  <si>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</si>
  <si>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</si>
  <si>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</si>
  <si>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</si>
  <si>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</si>
  <si>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</si>
  <si>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</si>
  <si>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</si>
  <si>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</si>
  <si>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</si>
  <si>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</si>
  <si>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</si>
  <si>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</si>
  <si>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</si>
  <si>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</si>
  <si>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</si>
  <si>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</si>
  <si>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</si>
  <si>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</si>
  <si>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</si>
  <si>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</si>
  <si>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</si>
  <si>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</si>
  <si>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</si>
  <si>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</si>
  <si>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</si>
  <si>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</si>
  <si>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</si>
  <si>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</si>
  <si>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</si>
  <si>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</si>
  <si>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</si>
  <si>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</si>
  <si>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</si>
  <si>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</si>
  <si>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</si>
  <si>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</si>
  <si>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</si>
  <si>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</si>
  <si>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</si>
  <si>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</si>
  <si>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</si>
  <si>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</si>
  <si>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</si>
  <si>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</si>
  <si>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</si>
  <si>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</si>
  <si>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</si>
  <si>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</si>
  <si>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</si>
  <si>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</si>
  <si>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</si>
  <si>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</si>
  <si>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</si>
  <si>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</si>
  <si>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</si>
  <si>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</si>
  <si>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</si>
  <si>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</si>
  <si>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</si>
  <si>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</si>
  <si>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</si>
  <si>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</si>
  <si>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</si>
  <si>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</si>
  <si>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</si>
  <si>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</si>
  <si>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</si>
  <si>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</si>
  <si>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</si>
  <si>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</si>
  <si>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</si>
  <si>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</si>
  <si>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</si>
  <si>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</si>
  <si>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</si>
  <si>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</si>
  <si>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</si>
  <si>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</si>
  <si>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</si>
  <si>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</si>
  <si>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</si>
  <si>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</si>
  <si>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</si>
  <si>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</si>
  <si>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</si>
  <si>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</si>
  <si>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</si>
  <si>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</si>
  <si>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</si>
  <si>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</si>
  <si>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</si>
  <si>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</si>
  <si>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</si>
  <si>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</si>
  <si>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</si>
  <si>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</si>
  <si>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</si>
  <si>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</si>
  <si>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</si>
  <si>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</si>
  <si>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</si>
  <si>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</si>
  <si>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</si>
  <si>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</si>
  <si>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</si>
  <si>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</si>
  <si>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</si>
  <si>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</si>
  <si>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</si>
  <si>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</si>
  <si>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</si>
  <si>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</si>
  <si>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</si>
  <si>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</si>
  <si>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</si>
  <si>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</si>
  <si>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</si>
  <si>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</si>
  <si>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</si>
  <si>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</si>
  <si>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</si>
  <si>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</si>
  <si>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</si>
  <si>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</si>
  <si>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</si>
  <si>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</si>
  <si>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</si>
  <si>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</si>
  <si>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</si>
  <si>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</si>
  <si>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</si>
  <si>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</si>
  <si>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</si>
  <si>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</si>
  <si>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</si>
  <si>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</si>
  <si>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</si>
  <si>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</si>
  <si>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</si>
  <si>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</si>
  <si>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</si>
  <si>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</si>
  <si>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</si>
  <si>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</si>
  <si>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</si>
  <si>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</si>
  <si>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</si>
  <si>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</si>
  <si>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</si>
  <si>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</si>
  <si>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</si>
  <si>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</si>
  <si>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</si>
  <si>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</si>
  <si>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</si>
  <si>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</si>
  <si>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</si>
  <si>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</si>
  <si>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</si>
  <si>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</si>
  <si>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</si>
  <si>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</si>
  <si>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</si>
  <si>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</si>
  <si>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</si>
  <si>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</si>
  <si>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</si>
  <si>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</si>
  <si>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</si>
  <si>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</si>
  <si>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</si>
  <si>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</si>
  <si>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</si>
  <si>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</si>
  <si>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</si>
  <si>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</si>
  <si>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</si>
  <si>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</si>
  <si>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</si>
  <si>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</si>
  <si>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</si>
  <si>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</si>
  <si>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</si>
  <si>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</si>
  <si>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</si>
  <si>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</si>
  <si>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</si>
  <si>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</si>
  <si>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</si>
  <si>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</si>
  <si>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</si>
  <si>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</si>
  <si>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</si>
  <si>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</si>
  <si>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</si>
  <si>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</si>
  <si>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</si>
  <si>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</si>
  <si>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</si>
  <si>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</si>
  <si>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</si>
  <si>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</si>
  <si>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</si>
  <si>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</si>
  <si>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</si>
  <si>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</si>
  <si>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</si>
  <si>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</si>
  <si>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</si>
  <si>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</si>
  <si>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</si>
  <si>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</si>
  <si>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</si>
  <si>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</si>
  <si>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</si>
  <si>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</si>
  <si>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</si>
  <si>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</si>
  <si>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</si>
  <si>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</si>
  <si>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</si>
  <si>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</si>
  <si>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</si>
  <si>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</si>
  <si>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</si>
  <si>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</si>
  <si>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</si>
  <si>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</si>
  <si>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</si>
  <si>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</si>
  <si>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</si>
  <si>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</si>
  <si>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</si>
  <si>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</si>
  <si>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</si>
  <si>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</si>
  <si>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</si>
  <si>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</si>
  <si>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</si>
  <si>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</si>
  <si>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</si>
  <si>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</si>
  <si>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</si>
  <si>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</si>
  <si>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</si>
  <si>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</si>
  <si>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</si>
  <si>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</si>
  <si>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</si>
  <si>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</si>
  <si>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</si>
  <si>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</si>
  <si>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</si>
  <si>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</si>
  <si>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</si>
  <si>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</si>
  <si>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</si>
  <si>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</si>
  <si>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</si>
  <si>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</si>
  <si>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</si>
  <si>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</si>
  <si>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</si>
  <si>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</si>
  <si>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</si>
  <si>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</si>
  <si>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</si>
  <si>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</si>
  <si>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</si>
  <si>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</si>
  <si>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</si>
  <si>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</si>
  <si>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</si>
  <si>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</si>
  <si>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</si>
  <si>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</si>
  <si>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</si>
  <si>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</si>
  <si>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</si>
  <si>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</si>
  <si>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</si>
  <si>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</si>
  <si>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</si>
  <si>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</si>
  <si>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</si>
  <si>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</si>
  <si>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</si>
  <si>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</si>
  <si>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</si>
  <si>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</si>
  <si>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</si>
  <si>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</si>
  <si>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</si>
  <si>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</si>
  <si>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</si>
  <si>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</si>
  <si>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</si>
  <si>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</si>
  <si>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</si>
  <si>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</si>
  <si>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</si>
  <si>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</si>
  <si>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</si>
  <si>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</si>
  <si>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</si>
  <si>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</si>
  <si>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</si>
  <si>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</si>
  <si>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</si>
  <si>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</si>
  <si>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</si>
  <si>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</si>
  <si>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</si>
  <si>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</si>
  <si>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</si>
  <si>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</si>
  <si>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</si>
  <si>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</si>
  <si>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</si>
  <si>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</si>
  <si>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</si>
  <si>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</si>
  <si>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</si>
  <si>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</si>
  <si>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</si>
  <si>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</si>
  <si>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</si>
  <si>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</si>
  <si>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</si>
  <si>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</si>
  <si>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</si>
  <si>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</si>
  <si>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</si>
  <si>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</si>
  <si>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</si>
  <si>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</si>
  <si>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</si>
  <si>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</si>
  <si>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</si>
  <si>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</si>
  <si>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</si>
  <si>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</si>
  <si>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</si>
  <si>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</si>
  <si>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</si>
  <si>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</si>
  <si>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</si>
  <si>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</si>
  <si>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</si>
  <si>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</si>
  <si>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</si>
  <si>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</si>
  <si>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</si>
  <si>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</si>
  <si>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</si>
  <si>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</si>
  <si>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</si>
  <si>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</si>
  <si>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</si>
  <si>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</si>
  <si>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</si>
  <si>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</si>
  <si>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</si>
  <si>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</si>
  <si>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</si>
  <si>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</si>
  <si>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</si>
  <si>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</si>
  <si>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</si>
  <si>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</si>
  <si>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</si>
  <si>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</si>
  <si>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</si>
  <si>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</si>
  <si>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</si>
  <si>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</si>
  <si>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</si>
  <si>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</si>
  <si>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</si>
  <si>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</si>
  <si>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</si>
  <si>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</si>
  <si>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</si>
  <si>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</si>
  <si>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</si>
  <si>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</si>
  <si>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</si>
  <si>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</si>
  <si>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</si>
  <si>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</si>
  <si>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</si>
  <si>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</si>
  <si>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</si>
  <si>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</si>
  <si>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</si>
  <si>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</si>
  <si>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</si>
  <si>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</si>
  <si>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</si>
  <si>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</si>
  <si>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</si>
  <si>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</si>
  <si>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</si>
  <si>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</si>
  <si>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</si>
  <si>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</si>
  <si>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</si>
  <si>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</si>
  <si>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</si>
  <si>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</si>
  <si>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</si>
  <si>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</si>
  <si>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</si>
  <si>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</si>
  <si>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</si>
  <si>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</si>
  <si>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</si>
  <si>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</si>
  <si>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</si>
  <si>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</si>
  <si>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</si>
  <si>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</si>
  <si>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</si>
  <si>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</si>
  <si>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</si>
  <si>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</si>
  <si>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</si>
  <si>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</si>
  <si>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</si>
  <si>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</si>
  <si>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</si>
  <si>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</si>
  <si>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</si>
  <si>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</si>
  <si>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</si>
  <si>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</si>
  <si>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</si>
  <si>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</si>
  <si>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</si>
  <si>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</si>
  <si>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</si>
  <si>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</si>
  <si>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</si>
  <si>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</si>
  <si>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</si>
  <si>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</si>
  <si>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</si>
  <si>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</si>
  <si>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</si>
  <si>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</si>
  <si>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</si>
  <si>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</si>
  <si>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</si>
  <si>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</si>
  <si>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</si>
  <si>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</si>
  <si>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</si>
  <si>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</si>
  <si>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</si>
  <si>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</si>
  <si>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</si>
  <si>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</si>
  <si>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</si>
  <si>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</si>
  <si>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</si>
  <si>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</si>
  <si>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</si>
  <si>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</si>
  <si>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</si>
  <si>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</si>
  <si>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</si>
  <si>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</si>
  <si>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</si>
  <si>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</si>
  <si>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</si>
  <si>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</si>
  <si>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</si>
  <si>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</si>
  <si>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</si>
  <si>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</si>
  <si>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</si>
  <si>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</si>
  <si>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</si>
  <si>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</si>
  <si>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</si>
  <si>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</si>
  <si>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</si>
  <si>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</si>
  <si>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</si>
  <si>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</si>
  <si>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</si>
  <si>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</si>
  <si>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</si>
  <si>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</si>
  <si>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</si>
  <si>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</si>
  <si>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</si>
  <si>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</si>
  <si>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</si>
  <si>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</si>
  <si>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</si>
  <si>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</si>
  <si>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</si>
  <si>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</si>
  <si>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</si>
  <si>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</si>
  <si>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</si>
  <si>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</si>
  <si>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</si>
  <si>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</si>
  <si>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</si>
  <si>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</si>
  <si>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</si>
  <si>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</si>
  <si>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</si>
  <si>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</si>
  <si>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</si>
  <si>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</si>
  <si>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</si>
  <si>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</si>
  <si>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</si>
  <si>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</si>
  <si>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</si>
  <si>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</si>
  <si>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</si>
  <si>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</si>
  <si>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</si>
  <si>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</si>
  <si>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</si>
  <si>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</si>
  <si>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</si>
  <si>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</si>
  <si>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</si>
  <si>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</si>
  <si>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</si>
  <si>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</si>
  <si>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</si>
  <si>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</si>
  <si>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</si>
  <si>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</si>
  <si>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</si>
  <si>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</si>
  <si>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</si>
  <si>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</si>
  <si>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</si>
  <si>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</si>
  <si>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</si>
  <si>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</si>
  <si>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</si>
  <si>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</si>
  <si>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</si>
  <si>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</si>
  <si>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</si>
  <si>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</si>
  <si>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</si>
  <si>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</si>
  <si>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</si>
  <si>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</si>
  <si>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</si>
  <si>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</si>
  <si>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</si>
  <si>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</si>
  <si>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</si>
  <si>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</si>
  <si>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</si>
  <si>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</si>
  <si>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</si>
  <si>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</si>
  <si>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</si>
  <si>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</si>
  <si>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</si>
  <si>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</si>
  <si>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</si>
  <si>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</si>
  <si>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</si>
  <si>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</si>
  <si>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</si>
  <si>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</si>
  <si>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</si>
  <si>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</si>
  <si>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</si>
  <si>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</si>
  <si>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</si>
  <si>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</si>
  <si>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</si>
  <si>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</si>
  <si>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</si>
  <si>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</si>
  <si>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</si>
  <si>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</si>
  <si>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</si>
  <si>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</si>
  <si>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</si>
  <si>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</si>
  <si>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</si>
  <si>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</si>
  <si>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</si>
  <si>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</si>
  <si>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</si>
  <si>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</si>
  <si>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</si>
  <si>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</si>
  <si>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</si>
  <si>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</si>
  <si>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</si>
  <si>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</si>
  <si>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</si>
  <si>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</si>
  <si>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</si>
  <si>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</si>
  <si>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</si>
  <si>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</si>
  <si>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</si>
  <si>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</si>
  <si>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</si>
  <si>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</si>
  <si>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</si>
  <si>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</si>
  <si>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</si>
  <si>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</si>
  <si>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</si>
  <si>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</si>
  <si>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</si>
  <si>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</si>
  <si>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</si>
  <si>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</si>
  <si>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</si>
  <si>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</si>
  <si>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</si>
  <si>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</si>
  <si>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</si>
  <si>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</si>
  <si>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</si>
  <si>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</si>
  <si>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</si>
  <si>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</si>
  <si>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</si>
  <si>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</si>
  <si>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</si>
  <si>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</si>
  <si>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</si>
  <si>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</si>
  <si>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</si>
  <si>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</si>
  <si>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</si>
  <si>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</si>
  <si>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</si>
  <si>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</si>
  <si>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</si>
  <si>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</si>
  <si>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</si>
  <si>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</si>
  <si>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</si>
  <si>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</si>
  <si>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</si>
  <si>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</si>
  <si>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</si>
  <si>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</si>
  <si>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</si>
  <si>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</si>
  <si>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</si>
  <si>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</si>
  <si>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</si>
  <si>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</si>
  <si>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</si>
  <si>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</si>
  <si>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</si>
  <si>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</si>
  <si>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</si>
  <si>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</si>
  <si>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</si>
  <si>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</si>
  <si>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</si>
  <si>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</si>
  <si>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</si>
  <si>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</si>
  <si>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</si>
  <si>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</si>
  <si>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</si>
  <si>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</si>
  <si>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</si>
  <si>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</si>
  <si>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</si>
  <si>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</si>
  <si>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</si>
  <si>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</si>
  <si>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</si>
  <si>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</si>
  <si>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</si>
  <si>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</si>
  <si>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</si>
  <si>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</si>
  <si>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</si>
  <si>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</si>
  <si>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</si>
  <si>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</si>
  <si>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</si>
  <si>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</si>
  <si>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</si>
  <si>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</si>
  <si>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</si>
  <si>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</si>
  <si>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</si>
  <si>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</si>
  <si>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</si>
  <si>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</si>
  <si>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</si>
  <si>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</si>
  <si>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</si>
  <si>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</si>
  <si>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</si>
  <si>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</si>
  <si>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</si>
  <si>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</si>
  <si>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</si>
  <si>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</si>
  <si>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</si>
  <si>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</si>
  <si>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</si>
  <si>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</si>
  <si>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</si>
  <si>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</si>
  <si>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</si>
  <si>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</si>
  <si>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</si>
  <si>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</si>
  <si>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</si>
  <si>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</si>
  <si>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</si>
  <si>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</si>
  <si>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</si>
  <si>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</si>
  <si>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</si>
  <si>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</si>
  <si>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</si>
  <si>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</si>
  <si>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</si>
  <si>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</si>
  <si>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</si>
  <si>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</si>
  <si>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</si>
  <si>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</si>
  <si>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</si>
  <si>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</si>
  <si>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</si>
  <si>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</si>
  <si>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</si>
  <si>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</si>
  <si>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</si>
  <si>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</si>
  <si>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</si>
  <si>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</si>
  <si>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</si>
  <si>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</si>
  <si>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</si>
  <si>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</si>
  <si>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</si>
  <si>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</si>
  <si>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</si>
  <si>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</si>
  <si>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</si>
  <si>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</si>
  <si>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</si>
  <si>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</si>
  <si>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</si>
  <si>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</si>
  <si>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</si>
  <si>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</si>
  <si>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</si>
  <si>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</si>
  <si>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</si>
  <si>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</si>
  <si>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</si>
  <si>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</si>
  <si>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</si>
  <si>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</si>
  <si>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</si>
  <si>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</si>
  <si>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</si>
  <si>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</si>
  <si>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</si>
  <si>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</si>
  <si>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</si>
  <si>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</si>
  <si>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</si>
  <si>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</si>
  <si>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</si>
  <si>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</si>
  <si>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</si>
  <si>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</si>
  <si>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</si>
  <si>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</si>
  <si>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</si>
  <si>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</si>
  <si>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</si>
  <si>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</si>
  <si>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</si>
  <si>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</si>
  <si>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</si>
  <si>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</si>
  <si>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</si>
  <si>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</si>
  <si>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</si>
  <si>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</si>
  <si>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</si>
  <si>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</si>
  <si>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</si>
  <si>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</si>
  <si>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</si>
  <si>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</si>
  <si>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</si>
  <si>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</si>
  <si>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</si>
  <si>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</si>
  <si>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</si>
  <si>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</si>
  <si>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</si>
  <si>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</si>
  <si>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</si>
  <si>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</si>
  <si>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</si>
  <si>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</si>
  <si>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</si>
  <si>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</si>
  <si>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</si>
  <si>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</si>
  <si>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</si>
  <si>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</si>
  <si>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</si>
  <si>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</si>
  <si>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</si>
  <si>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</si>
  <si>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</si>
  <si>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</si>
  <si>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</si>
  <si>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</si>
  <si>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</si>
  <si>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</si>
  <si>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</si>
  <si>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</si>
  <si>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</si>
  <si>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</si>
  <si>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</si>
  <si>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</si>
  <si>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</si>
  <si>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</si>
  <si>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</si>
  <si>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</si>
  <si>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</si>
  <si>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</si>
  <si>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</si>
  <si>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</si>
  <si>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</si>
  <si>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</si>
  <si>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</si>
  <si>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</si>
  <si>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</si>
  <si>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</si>
  <si>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</si>
  <si>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</si>
  <si>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</si>
  <si>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</si>
  <si>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</si>
  <si>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</si>
  <si>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</si>
  <si>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</si>
  <si>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</si>
  <si>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</si>
  <si>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</si>
  <si>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</si>
  <si>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</si>
  <si>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</si>
  <si>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</si>
  <si>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</si>
  <si>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</si>
  <si>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</si>
  <si>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</si>
  <si>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</si>
  <si>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</si>
  <si>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</si>
  <si>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</si>
  <si>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</si>
  <si>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</si>
  <si>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</si>
  <si>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</si>
  <si>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</si>
  <si>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</si>
  <si>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</si>
  <si>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</si>
  <si>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</si>
  <si>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</si>
  <si>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</si>
  <si>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</si>
  <si>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</si>
  <si>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</si>
  <si>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</si>
  <si>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</si>
  <si>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</si>
  <si>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</si>
  <si>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</si>
  <si>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</si>
  <si>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</si>
  <si>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</si>
  <si>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</si>
  <si>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</si>
  <si>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</si>
  <si>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</si>
  <si>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</si>
  <si>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</si>
  <si>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</si>
  <si>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</si>
  <si>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</si>
  <si>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</si>
  <si>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</si>
  <si>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</si>
  <si>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</si>
  <si>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</si>
  <si>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</si>
  <si>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</si>
  <si>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</si>
  <si>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</si>
  <si>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</si>
  <si>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</si>
  <si>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</si>
  <si>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</si>
  <si>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</si>
  <si>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</si>
  <si>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</si>
  <si>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</si>
  <si>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</si>
  <si>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</si>
  <si>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</si>
  <si>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</si>
  <si>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</si>
  <si>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</si>
  <si>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</si>
  <si>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</si>
  <si>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</si>
  <si>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</si>
  <si>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</si>
  <si>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</si>
  <si>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</si>
  <si>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</si>
  <si>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</si>
  <si>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</si>
  <si>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</si>
  <si>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</si>
  <si>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</si>
  <si>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</si>
  <si>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</si>
  <si>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</si>
  <si>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</si>
  <si>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</si>
  <si>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</si>
  <si>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</si>
  <si>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</si>
  <si>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</si>
  <si>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</si>
  <si>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</si>
  <si>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</si>
  <si>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</si>
  <si>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</si>
  <si>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</si>
  <si>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</si>
  <si>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</si>
  <si>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</si>
  <si>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</si>
  <si>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</si>
  <si>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</si>
  <si>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</si>
  <si>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</si>
  <si>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</si>
  <si>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</si>
  <si>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</si>
  <si>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</si>
  <si>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</si>
  <si>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</si>
  <si>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</si>
  <si>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</si>
  <si>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</si>
  <si>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</si>
  <si>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</si>
  <si>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</si>
  <si>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</si>
  <si>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</si>
  <si>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</si>
  <si>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</si>
  <si>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</si>
  <si>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</si>
  <si>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</si>
  <si>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</si>
  <si>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</si>
  <si>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</si>
  <si>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</si>
  <si>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</si>
  <si>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</si>
  <si>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</si>
  <si>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</si>
  <si>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</si>
  <si>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</si>
  <si>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</si>
  <si>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</si>
  <si>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</si>
  <si>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</si>
  <si>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</si>
  <si>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</si>
  <si>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</si>
  <si>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</si>
  <si>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</si>
  <si>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</si>
  <si>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</si>
  <si>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</si>
  <si>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</si>
  <si>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</si>
  <si>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</si>
  <si>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</si>
  <si>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</si>
  <si>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</si>
  <si>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</si>
  <si>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</si>
  <si>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</si>
  <si>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</si>
  <si>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</si>
  <si>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</si>
  <si>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</si>
  <si>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</si>
  <si>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</si>
  <si>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</si>
  <si>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</si>
  <si>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</si>
  <si>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</si>
  <si>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</si>
  <si>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</si>
  <si>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</si>
  <si>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</si>
  <si>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</si>
  <si>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</si>
  <si>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</si>
  <si>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</si>
  <si>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</si>
  <si>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</si>
  <si>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</si>
  <si>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</si>
  <si>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</si>
  <si>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</si>
  <si>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</si>
  <si>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</si>
  <si>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</si>
  <si>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</si>
  <si>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</si>
  <si>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</si>
  <si>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</si>
  <si>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</si>
  <si>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</si>
  <si>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</si>
  <si>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</si>
  <si>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</si>
  <si>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</si>
  <si>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</si>
  <si>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</si>
  <si>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</si>
  <si>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</si>
  <si>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</si>
  <si>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</si>
  <si>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</si>
  <si>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</si>
  <si>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</si>
  <si>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</si>
  <si>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</si>
  <si>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</si>
  <si>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</si>
  <si>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</si>
  <si>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</si>
  <si>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</si>
  <si>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</si>
  <si>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</si>
  <si>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</si>
  <si>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</si>
  <si>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</si>
  <si>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</si>
  <si>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</si>
  <si>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</si>
  <si>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</si>
  <si>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</si>
  <si>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</si>
  <si>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</si>
  <si>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</si>
  <si>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</si>
  <si>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</si>
  <si>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</si>
  <si>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</si>
  <si>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</si>
  <si>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</si>
  <si>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</si>
  <si>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</si>
  <si>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</si>
  <si>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</si>
  <si>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</si>
  <si>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</si>
  <si>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</si>
  <si>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</si>
  <si>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</si>
  <si>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</si>
  <si>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</si>
  <si>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</si>
  <si>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</si>
  <si>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</si>
  <si>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</si>
  <si>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</si>
  <si>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</si>
  <si>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</si>
  <si>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</si>
  <si>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</si>
  <si>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</si>
  <si>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</si>
  <si>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</si>
  <si>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</si>
  <si>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</si>
  <si>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</si>
  <si>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</si>
  <si>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</si>
  <si>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</si>
  <si>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</si>
  <si>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</si>
  <si>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</si>
  <si>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</si>
  <si>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</si>
  <si>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</si>
  <si>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</si>
  <si>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</si>
  <si>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</si>
  <si>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</si>
  <si>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</si>
  <si>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</si>
  <si>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</si>
  <si>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</si>
  <si>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</si>
  <si>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</si>
  <si>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</si>
  <si>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</si>
  <si>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</si>
  <si>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</si>
  <si>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</si>
  <si>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</si>
  <si>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</si>
  <si>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</si>
  <si>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</si>
  <si>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</si>
  <si>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</si>
  <si>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</si>
  <si>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</si>
  <si>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</si>
  <si>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</si>
  <si>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</si>
  <si>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</si>
  <si>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</si>
  <si>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</si>
  <si>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</si>
  <si>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</si>
  <si>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</si>
  <si>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</si>
  <si>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</si>
  <si>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</si>
  <si>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</si>
  <si>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</si>
  <si>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</si>
  <si>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</si>
  <si>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</si>
  <si>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</si>
  <si>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</si>
  <si>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</si>
  <si>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</si>
  <si>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</si>
  <si>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</si>
  <si>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</si>
  <si>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</si>
  <si>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</si>
  <si>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</si>
  <si>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</si>
  <si>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</si>
  <si>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</si>
  <si>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</si>
  <si>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</si>
  <si>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</si>
  <si>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</si>
  <si>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</si>
  <si>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</si>
  <si>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</si>
  <si>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</si>
  <si>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</si>
  <si>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</si>
  <si>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</si>
  <si>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</si>
  <si>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</si>
  <si>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</si>
  <si>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</si>
  <si>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</si>
  <si>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</si>
  <si>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</si>
  <si>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</si>
  <si>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</si>
  <si>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</si>
  <si>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</si>
  <si>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</si>
  <si>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</si>
  <si>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</si>
  <si>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</si>
  <si>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</si>
  <si>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</si>
  <si>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</si>
  <si>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</si>
  <si>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</si>
  <si>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</si>
  <si>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</si>
  <si>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</si>
  <si>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</si>
  <si>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</si>
  <si>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</si>
  <si>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</si>
  <si>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</si>
  <si>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</si>
  <si>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</si>
  <si>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</si>
  <si>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</si>
  <si>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</si>
  <si>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</si>
  <si>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</si>
  <si>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</si>
  <si>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</si>
  <si>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</si>
  <si>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</si>
  <si>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</si>
  <si>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</si>
  <si>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</si>
  <si>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</si>
  <si>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</si>
  <si>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</si>
  <si>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</si>
  <si>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</si>
  <si>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</si>
  <si>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</si>
  <si>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</si>
  <si>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</si>
  <si>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</si>
  <si>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</si>
  <si>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</si>
  <si>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</si>
  <si>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</si>
  <si>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</si>
  <si>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</si>
  <si>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</si>
  <si>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</si>
  <si>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</si>
  <si>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</si>
  <si>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</si>
  <si>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</si>
  <si>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</si>
  <si>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</si>
  <si>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</si>
  <si>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</si>
  <si>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</si>
  <si>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</si>
  <si>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</si>
  <si>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</si>
  <si>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</si>
  <si>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</si>
  <si>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</si>
  <si>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</si>
  <si>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</si>
  <si>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</si>
  <si>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</si>
  <si>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</si>
  <si>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</si>
  <si>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</si>
  <si>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</si>
  <si>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</si>
  <si>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</si>
  <si>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</si>
  <si>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</si>
  <si>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</si>
  <si>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</si>
  <si>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</si>
  <si>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</si>
  <si>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</si>
  <si>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</si>
  <si>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</si>
  <si>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</si>
  <si>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</si>
  <si>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</si>
  <si>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</si>
  <si>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</si>
  <si>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</si>
  <si>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</si>
  <si>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</si>
  <si>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</si>
  <si>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</si>
  <si>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</si>
  <si>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</si>
  <si>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</si>
  <si>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</si>
  <si>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</si>
  <si>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</si>
  <si>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</si>
  <si>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</si>
  <si>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</si>
  <si>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</si>
  <si>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</si>
  <si>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</si>
  <si>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</si>
  <si>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</si>
  <si>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</si>
  <si>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</si>
  <si>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</si>
  <si>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</si>
  <si>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</si>
  <si>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</si>
  <si>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</si>
  <si>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</si>
  <si>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</si>
  <si>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</si>
  <si>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</si>
  <si>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</si>
  <si>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</si>
  <si>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</si>
  <si>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</si>
  <si>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</si>
  <si>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</si>
  <si>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</si>
  <si>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</si>
  <si>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</si>
  <si>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</si>
  <si>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</si>
  <si>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</si>
  <si>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</si>
  <si>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</si>
  <si>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</si>
  <si>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</si>
  <si>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</si>
  <si>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</si>
  <si>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</si>
  <si>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</si>
  <si>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</si>
  <si>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</si>
  <si>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</si>
  <si>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</si>
  <si>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</si>
  <si>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</si>
  <si>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</si>
  <si>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</si>
  <si>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</si>
  <si>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</si>
  <si>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</si>
  <si>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</si>
  <si>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</si>
  <si>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</si>
  <si>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</si>
  <si>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</si>
  <si>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</si>
  <si>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</si>
  <si>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</si>
  <si>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</si>
  <si>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</si>
  <si>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</si>
  <si>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</si>
  <si>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</si>
  <si>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</si>
  <si>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</si>
  <si>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</si>
  <si>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</si>
  <si>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</si>
  <si>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</si>
  <si>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</si>
  <si>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</si>
  <si>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</si>
  <si>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</si>
  <si>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</si>
  <si>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</si>
  <si>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</si>
  <si>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</si>
  <si>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</si>
  <si>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</si>
  <si>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</si>
  <si>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</si>
  <si>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</si>
  <si>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</si>
  <si>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</si>
  <si>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</si>
  <si>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</si>
  <si>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</si>
  <si>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</si>
  <si>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</si>
  <si>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</si>
  <si>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</si>
  <si>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</si>
  <si>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</si>
  <si>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</si>
  <si>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</si>
  <si>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</si>
  <si>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</si>
  <si>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</si>
  <si>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</si>
  <si>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</si>
  <si>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</si>
  <si>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</si>
  <si>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</si>
  <si>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</si>
  <si>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</si>
  <si>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</si>
  <si>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</si>
  <si>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</si>
  <si>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</si>
  <si>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</si>
  <si>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</si>
  <si>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</si>
  <si>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</si>
  <si>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</si>
  <si>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</si>
  <si>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</si>
  <si>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</si>
  <si>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</si>
  <si>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</si>
  <si>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</si>
  <si>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</si>
  <si>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</si>
  <si>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</si>
  <si>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</si>
  <si>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</si>
  <si>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</si>
  <si>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</si>
  <si>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</si>
  <si>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</si>
  <si>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</si>
  <si>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</si>
  <si>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</si>
  <si>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</si>
  <si>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</si>
  <si>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</si>
  <si>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</si>
  <si>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</si>
  <si>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</si>
  <si>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</si>
  <si>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</si>
  <si>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</si>
  <si>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</si>
  <si>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</si>
  <si>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</si>
  <si>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</si>
  <si>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</si>
  <si>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</si>
  <si>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</si>
  <si>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</si>
  <si>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</si>
  <si>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</si>
  <si>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</si>
  <si>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</si>
  <si>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</si>
  <si>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</si>
  <si>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</si>
  <si>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</si>
  <si>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</si>
  <si>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</si>
  <si>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</si>
  <si>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</si>
  <si>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</si>
  <si>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</si>
  <si>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</si>
  <si>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</si>
  <si>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</si>
  <si>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</si>
  <si>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</si>
  <si>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</si>
  <si>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</si>
  <si>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</si>
  <si>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</si>
  <si>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</si>
  <si>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</si>
  <si>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</si>
  <si>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</si>
  <si>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</si>
  <si>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</si>
  <si>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</si>
  <si>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</si>
  <si>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</si>
  <si>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</si>
  <si>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</si>
  <si>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</si>
  <si>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</si>
  <si>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</si>
  <si>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</si>
  <si>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</si>
  <si>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</si>
  <si>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</si>
  <si>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</si>
  <si>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</si>
  <si>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</si>
  <si>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</si>
  <si>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</si>
  <si>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</si>
  <si>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</si>
  <si>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</si>
  <si>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</si>
  <si>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</si>
  <si>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</si>
  <si>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</si>
  <si>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</si>
  <si>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</si>
  <si>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</si>
  <si>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</si>
  <si>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</si>
  <si>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</si>
  <si>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</si>
  <si>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</si>
  <si>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</si>
  <si>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</si>
  <si>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</si>
  <si>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</si>
  <si>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</si>
  <si>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</si>
  <si>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</si>
  <si>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</si>
  <si>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</si>
  <si>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</si>
  <si>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</si>
  <si>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</si>
  <si>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</si>
  <si>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</si>
  <si>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</si>
  <si>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</si>
  <si>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</si>
  <si>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</si>
  <si>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</si>
  <si>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</si>
  <si>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</si>
  <si>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</si>
  <si>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</si>
  <si>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</si>
  <si>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</si>
  <si>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</si>
  <si>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</si>
  <si>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</si>
  <si>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</si>
  <si>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</si>
  <si>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</si>
  <si>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</si>
  <si>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</si>
  <si>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</si>
  <si>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</si>
  <si>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</si>
  <si>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</si>
  <si>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</si>
  <si>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</si>
  <si>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</si>
  <si>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</si>
  <si>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</si>
  <si>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</si>
  <si>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</si>
  <si>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</si>
  <si>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</si>
  <si>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</si>
  <si>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</si>
  <si>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</si>
  <si>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</si>
  <si>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</si>
  <si>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</si>
  <si>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</si>
  <si>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</si>
  <si>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</si>
  <si>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</si>
  <si>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</si>
  <si>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</si>
  <si>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</si>
  <si>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</si>
  <si>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</si>
  <si>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</si>
  <si>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</si>
  <si>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</si>
  <si>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</si>
  <si>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</si>
  <si>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</si>
  <si>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</si>
  <si>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</si>
  <si>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</si>
  <si>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</si>
  <si>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</si>
  <si>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</si>
  <si>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</si>
  <si>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</si>
  <si>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</si>
  <si>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</si>
  <si>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</si>
  <si>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</si>
  <si>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</si>
  <si>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</si>
  <si>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</si>
  <si>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</si>
  <si>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</si>
  <si>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</si>
  <si>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</si>
  <si>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</si>
  <si>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</si>
  <si>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</si>
  <si>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</si>
  <si>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</si>
  <si>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</si>
  <si>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</si>
  <si>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</si>
  <si>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</si>
  <si>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</si>
  <si>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</si>
  <si>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</si>
  <si>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</si>
  <si>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</si>
  <si>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</si>
  <si>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</si>
  <si>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</si>
  <si>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</si>
  <si>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</si>
  <si>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</si>
  <si>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</si>
  <si>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</si>
  <si>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</si>
  <si>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</si>
  <si>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</si>
  <si>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</si>
  <si>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</si>
  <si>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</si>
  <si>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</si>
  <si>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</si>
  <si>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</si>
  <si>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</si>
  <si>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</si>
  <si>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</si>
  <si>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</si>
  <si>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</si>
  <si>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</si>
  <si>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</si>
  <si>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</si>
  <si>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</si>
  <si>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</si>
  <si>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</si>
  <si>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</si>
  <si>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</si>
  <si>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</si>
  <si>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</si>
  <si>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</si>
  <si>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</si>
  <si>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</si>
  <si>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</si>
  <si>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</si>
  <si>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</si>
  <si>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</si>
  <si>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</si>
  <si>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</si>
  <si>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</si>
  <si>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</si>
  <si>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</si>
  <si>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</si>
  <si>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</si>
  <si>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</si>
  <si>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</si>
  <si>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</si>
  <si>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</si>
  <si>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</si>
  <si>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</si>
  <si>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</si>
  <si>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</si>
  <si>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</si>
  <si>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</si>
  <si>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</si>
  <si>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</si>
  <si>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</si>
  <si>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</si>
  <si>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</si>
  <si>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</si>
  <si>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</si>
  <si>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</si>
  <si>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</si>
  <si>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</si>
  <si>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</si>
  <si>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</si>
  <si>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</si>
  <si>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</si>
  <si>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</si>
  <si>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</si>
  <si>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</si>
  <si>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</si>
  <si>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</si>
  <si>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</si>
  <si>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</si>
  <si>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</si>
  <si>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</si>
  <si>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</si>
  <si>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</si>
  <si>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</si>
  <si>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</si>
  <si>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</si>
  <si>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</si>
  <si>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</si>
  <si>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</si>
  <si>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</si>
  <si>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</si>
  <si>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</si>
  <si>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</si>
  <si>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</si>
  <si>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</si>
  <si>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</si>
  <si>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</si>
  <si>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</si>
  <si>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</si>
  <si>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</si>
  <si>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</si>
  <si>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</si>
  <si>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</si>
  <si>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</si>
  <si>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</si>
  <si>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</si>
  <si>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</si>
  <si>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</si>
  <si>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</si>
  <si>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</si>
  <si>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</si>
  <si>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</si>
  <si>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</si>
  <si>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</si>
  <si>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</si>
  <si>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</si>
  <si>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</si>
  <si>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</si>
  <si>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</si>
  <si>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</si>
  <si>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</si>
  <si>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</si>
  <si>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</si>
  <si>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</si>
  <si>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</si>
  <si>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</si>
  <si>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</si>
  <si>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</si>
  <si>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</si>
  <si>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</si>
  <si>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</si>
  <si>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</si>
  <si>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</si>
  <si>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</si>
  <si>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</si>
  <si>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</si>
  <si>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</si>
  <si>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</si>
  <si>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</si>
  <si>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</si>
  <si>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</si>
  <si>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</si>
  <si>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</si>
  <si>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</si>
  <si>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</si>
  <si>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</si>
  <si>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</si>
  <si>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</si>
  <si>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</si>
  <si>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</si>
  <si>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</si>
  <si>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</si>
  <si>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</si>
  <si>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</si>
  <si>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</si>
  <si>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</si>
  <si>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</si>
  <si>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</si>
  <si>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</si>
  <si>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</si>
  <si>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</si>
  <si>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</si>
  <si>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</si>
  <si>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</si>
  <si>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</si>
  <si>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</si>
  <si>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</si>
  <si>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</si>
  <si>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</si>
  <si>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</si>
  <si>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</si>
  <si>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</si>
  <si>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</si>
  <si>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</si>
  <si>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</si>
  <si>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</si>
  <si>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</si>
  <si>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</si>
  <si>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</si>
  <si>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</si>
  <si>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</si>
  <si>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</si>
  <si>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</si>
  <si>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</si>
  <si>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</si>
  <si>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</si>
  <si>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</si>
  <si>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</si>
  <si>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</si>
  <si>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</si>
  <si>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</si>
  <si>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</si>
  <si>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</si>
  <si>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</si>
  <si>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</si>
  <si>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</si>
  <si>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</si>
  <si>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</si>
  <si>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</si>
  <si>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</si>
  <si>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</si>
  <si>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</si>
  <si>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</si>
  <si>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</si>
  <si>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</si>
  <si>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</si>
  <si>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</si>
  <si>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</si>
  <si>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</si>
  <si>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</si>
  <si>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</si>
  <si>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</si>
  <si>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</si>
  <si>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</si>
  <si>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</si>
  <si>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</si>
  <si>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</si>
  <si>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</si>
  <si>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</si>
  <si>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</si>
  <si>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</si>
  <si>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</si>
  <si>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</si>
  <si>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</si>
  <si>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</si>
  <si>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</si>
  <si>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</si>
  <si>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</si>
  <si>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</si>
  <si>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</si>
  <si>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</si>
  <si>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</si>
  <si>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</si>
  <si>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</si>
  <si>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</si>
  <si>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</si>
  <si>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</si>
  <si>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</si>
  <si>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</si>
  <si>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</si>
  <si>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</si>
  <si>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</si>
  <si>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</si>
  <si>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</si>
  <si>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</si>
  <si>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</si>
  <si>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</si>
  <si>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</si>
  <si>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</si>
  <si>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</si>
  <si>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</si>
  <si>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</si>
  <si>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</si>
  <si>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</si>
  <si>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</si>
  <si>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</si>
  <si>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</si>
  <si>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</si>
  <si>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</si>
  <si>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</si>
  <si>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</si>
  <si>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</si>
  <si>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</si>
  <si>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</si>
  <si>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</si>
  <si>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</si>
  <si>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</si>
  <si>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</si>
  <si>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</si>
  <si>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</si>
  <si>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</si>
  <si>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</si>
  <si>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</si>
  <si>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</si>
  <si>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</si>
  <si>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</si>
  <si>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</si>
  <si>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</si>
  <si>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</si>
  <si>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</si>
  <si>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</si>
  <si>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</si>
  <si>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</si>
  <si>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</si>
  <si>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</si>
  <si>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</si>
  <si>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</si>
  <si>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</si>
  <si>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</si>
  <si>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</si>
  <si>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</si>
  <si>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</si>
  <si>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</si>
  <si>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</si>
  <si>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</si>
  <si>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</si>
  <si>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</si>
  <si>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</si>
  <si>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</si>
  <si>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</si>
  <si>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</si>
  <si>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</si>
  <si>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</si>
  <si>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</si>
  <si>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</si>
  <si>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</si>
  <si>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</si>
  <si>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</si>
  <si>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</si>
  <si>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</si>
  <si>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</si>
  <si>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</si>
  <si>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</si>
  <si>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</si>
  <si>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</si>
  <si>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</si>
  <si>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</si>
  <si>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</si>
  <si>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</si>
  <si>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</si>
  <si>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</si>
  <si>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</si>
  <si>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</si>
  <si>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</si>
  <si>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</si>
  <si>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</si>
  <si>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</si>
  <si>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</si>
  <si>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</si>
  <si>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</si>
  <si>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</si>
  <si>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</si>
  <si>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</si>
  <si>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</si>
  <si>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</si>
  <si>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</si>
  <si>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</si>
  <si>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</si>
  <si>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</si>
  <si>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</si>
  <si>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</si>
  <si>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</si>
  <si>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</si>
  <si>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</si>
  <si>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</si>
  <si>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</si>
  <si>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</si>
  <si>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</si>
  <si>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</si>
  <si>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</si>
  <si>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</si>
  <si>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</si>
  <si>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</si>
  <si>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</si>
  <si>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</si>
  <si>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</si>
  <si>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</si>
  <si>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</si>
  <si>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</si>
  <si>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</si>
  <si>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</si>
  <si>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</si>
  <si>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</si>
  <si>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</si>
  <si>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</si>
  <si>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</si>
  <si>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</si>
  <si>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</si>
  <si>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</si>
  <si>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</si>
  <si>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</si>
  <si>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</si>
  <si>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</si>
  <si>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</si>
  <si>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</si>
  <si>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</si>
  <si>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</si>
  <si>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</si>
  <si>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</si>
  <si>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</si>
  <si>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</si>
  <si>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</si>
  <si>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</si>
  <si>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</si>
  <si>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</si>
  <si>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</si>
  <si>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</si>
  <si>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</si>
  <si>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</si>
  <si>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</si>
  <si>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</si>
  <si>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</si>
  <si>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</si>
  <si>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</si>
  <si>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</si>
  <si>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</si>
  <si>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</si>
  <si>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</si>
  <si>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</si>
  <si>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</si>
  <si>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</si>
  <si>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</si>
  <si>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</si>
  <si>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</si>
  <si>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</si>
  <si>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</si>
  <si>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</si>
  <si>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</si>
  <si>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</si>
  <si>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</si>
  <si>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</si>
  <si>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</si>
  <si>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</si>
  <si>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</si>
  <si>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</si>
  <si>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</si>
  <si>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</si>
  <si>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</si>
  <si>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</si>
  <si>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</si>
  <si>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</si>
  <si>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</si>
  <si>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</si>
  <si>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</si>
  <si>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</si>
  <si>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</si>
  <si>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</si>
  <si>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</si>
  <si>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</si>
  <si>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</si>
  <si>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</si>
  <si>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</si>
  <si>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</si>
  <si>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</si>
  <si>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</si>
  <si>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</si>
  <si>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</si>
  <si>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</si>
  <si>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</si>
  <si>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</si>
  <si>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</si>
  <si>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</si>
  <si>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</si>
  <si>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</si>
  <si>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</si>
  <si>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</si>
  <si>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</si>
  <si>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</si>
  <si>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</si>
  <si>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</si>
  <si>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</si>
  <si>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</si>
  <si>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</si>
  <si>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</si>
  <si>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</si>
  <si>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</si>
  <si>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</si>
  <si>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</si>
  <si>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</si>
  <si>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</si>
  <si>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</si>
  <si>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</si>
  <si>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</si>
  <si>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</si>
  <si>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</si>
  <si>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</si>
  <si>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</si>
  <si>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</si>
  <si>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</si>
  <si>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</si>
  <si>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</si>
  <si>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</si>
  <si>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</si>
  <si>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</si>
  <si>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</si>
  <si>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</si>
  <si>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</si>
  <si>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</si>
  <si>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</si>
  <si>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</si>
  <si>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</si>
  <si>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</si>
  <si>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</si>
  <si>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</si>
  <si>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</si>
  <si>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</si>
  <si>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</si>
  <si>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</si>
  <si>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</si>
  <si>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</si>
  <si>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</si>
  <si>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</si>
  <si>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</si>
  <si>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</si>
  <si>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</si>
  <si>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</si>
  <si>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</si>
  <si>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</si>
  <si>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</si>
  <si>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</si>
  <si>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</si>
  <si>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</si>
  <si>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</si>
  <si>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</si>
  <si>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</si>
  <si>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</si>
  <si>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</si>
  <si>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</si>
  <si>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</si>
  <si>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</si>
  <si>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</si>
  <si>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</si>
  <si>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</si>
  <si>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</si>
  <si>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</si>
  <si>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</si>
  <si>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</si>
  <si>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</si>
  <si>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</si>
  <si>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</si>
  <si>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</si>
  <si>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</si>
  <si>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</si>
  <si>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</si>
  <si>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</si>
  <si>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</si>
  <si>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</si>
  <si>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</si>
  <si>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</si>
  <si>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</si>
  <si>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</si>
  <si>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</si>
  <si>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</si>
  <si>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</si>
  <si>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</si>
  <si>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</si>
  <si>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</si>
  <si>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</si>
  <si>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</si>
  <si>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</si>
  <si>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</si>
  <si>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</si>
  <si>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</si>
  <si>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</si>
  <si>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</si>
  <si>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</si>
  <si>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</si>
  <si>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</si>
  <si>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</si>
  <si>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</si>
  <si>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</si>
  <si>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</si>
  <si>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</si>
  <si>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</si>
  <si>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</si>
  <si>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</si>
  <si>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</si>
  <si>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</si>
  <si>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</si>
  <si>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</si>
  <si>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</si>
  <si>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</si>
  <si>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</si>
  <si>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</si>
  <si>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</si>
  <si>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</si>
  <si>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</si>
  <si>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</si>
  <si>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</si>
  <si>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</si>
  <si>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</si>
  <si>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</si>
  <si>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</si>
  <si>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</si>
  <si>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</si>
  <si>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</si>
  <si>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</si>
  <si>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</si>
  <si>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</si>
  <si>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</si>
  <si>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</si>
  <si>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</si>
  <si>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</si>
  <si>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</si>
  <si>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</si>
  <si>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</si>
  <si>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</si>
  <si>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</si>
  <si>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</si>
  <si>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</si>
  <si>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</si>
  <si>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</si>
  <si>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</si>
  <si>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</si>
  <si>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</si>
  <si>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</si>
  <si>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</si>
  <si>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</si>
  <si>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</si>
  <si>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</si>
  <si>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</si>
  <si>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</si>
  <si>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</si>
  <si>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</si>
  <si>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</si>
  <si>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</si>
  <si>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</si>
  <si>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</si>
  <si>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</si>
  <si>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</si>
  <si>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</si>
  <si>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</si>
  <si>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</si>
  <si>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</si>
  <si>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</si>
  <si>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</si>
  <si>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</si>
  <si>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</si>
  <si>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</si>
  <si>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</si>
  <si>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</si>
  <si>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</si>
  <si>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</si>
  <si>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</si>
  <si>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</si>
  <si>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</si>
  <si>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</si>
  <si>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</si>
  <si>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</si>
  <si>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</si>
  <si>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</si>
  <si>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</si>
  <si>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</si>
  <si>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</si>
  <si>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</si>
  <si>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</si>
  <si>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</si>
  <si>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</si>
  <si>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</si>
  <si>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</si>
  <si>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</si>
  <si>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</si>
  <si>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</si>
  <si>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</si>
  <si>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</si>
  <si>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</si>
  <si>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</si>
  <si>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</si>
  <si>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</si>
  <si>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</si>
  <si>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</si>
  <si>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</si>
  <si>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</si>
  <si>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</si>
  <si>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</si>
  <si>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</si>
  <si>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</si>
  <si>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</si>
  <si>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</si>
  <si>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</si>
  <si>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</si>
  <si>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</si>
  <si>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</si>
  <si>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</si>
  <si>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</si>
  <si>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</si>
  <si>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</si>
  <si>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</si>
  <si>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</si>
  <si>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</si>
  <si>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</si>
  <si>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</si>
  <si>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</si>
  <si>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</si>
  <si>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</si>
  <si>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</si>
  <si>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</si>
  <si>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</si>
  <si>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</si>
  <si>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</si>
  <si>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</si>
  <si>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</si>
  <si>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</si>
  <si>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</si>
  <si>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</si>
  <si>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</si>
  <si>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</si>
  <si>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</si>
  <si>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</si>
  <si>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</si>
  <si>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</si>
  <si>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</si>
  <si>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</si>
  <si>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</si>
  <si>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</si>
  <si>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</si>
  <si>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</si>
  <si>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</si>
  <si>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</si>
  <si>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</si>
  <si>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</si>
  <si>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</si>
  <si>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</si>
  <si>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</si>
  <si>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</si>
  <si>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</si>
  <si>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</si>
  <si>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</si>
  <si>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</si>
  <si>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</si>
  <si>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</si>
  <si>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</si>
  <si>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</si>
  <si>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</si>
  <si>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</si>
  <si>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</si>
  <si>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</si>
  <si>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</si>
  <si>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</si>
  <si>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</si>
  <si>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</si>
  <si>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</si>
  <si>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</si>
  <si>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</si>
  <si>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</si>
  <si>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</si>
  <si>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</si>
  <si>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</si>
  <si>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</si>
  <si>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</si>
  <si>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</si>
  <si>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</si>
  <si>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</si>
  <si>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</si>
  <si>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</si>
  <si>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</si>
  <si>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</si>
  <si>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</si>
  <si>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</si>
  <si>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</si>
  <si>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</si>
  <si>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</si>
  <si>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</si>
  <si>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</si>
  <si>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</si>
  <si>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</si>
  <si>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</si>
  <si>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</si>
  <si>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</si>
  <si>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</si>
  <si>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</si>
  <si>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</si>
  <si>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</si>
  <si>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</si>
  <si>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</si>
  <si>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</si>
  <si>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</si>
  <si>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</si>
  <si>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</si>
  <si>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</si>
  <si>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</si>
  <si>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</si>
  <si>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</si>
  <si>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</si>
  <si>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</si>
  <si>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</si>
  <si>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</si>
  <si>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</si>
  <si>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</si>
  <si>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</si>
  <si>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</si>
  <si>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</si>
  <si>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</si>
  <si>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</si>
  <si>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</si>
  <si>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</si>
  <si>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</si>
  <si>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</si>
  <si>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</si>
  <si>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</si>
  <si>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</si>
  <si>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</si>
  <si>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</si>
  <si>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</si>
  <si>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</si>
  <si>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</si>
  <si>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</si>
  <si>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</si>
  <si>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</si>
  <si>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</si>
  <si>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</si>
  <si>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</si>
  <si>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</si>
  <si>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</si>
  <si>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</si>
  <si>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</si>
  <si>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</si>
  <si>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</si>
  <si>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</si>
  <si>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</si>
  <si>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</si>
  <si>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</si>
  <si>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</si>
  <si>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</si>
  <si>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</si>
  <si>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</si>
  <si>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</si>
  <si>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</si>
  <si>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</si>
  <si>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</si>
  <si>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</si>
  <si>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</si>
  <si>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</si>
  <si>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</si>
  <si>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</si>
  <si>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</si>
  <si>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</si>
  <si>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</si>
  <si>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</si>
  <si>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</si>
  <si>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</si>
  <si>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</si>
  <si>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</si>
  <si>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</si>
  <si>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</si>
  <si>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</si>
  <si>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</si>
  <si>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</si>
  <si>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</si>
  <si>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</si>
  <si>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</si>
  <si>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</si>
  <si>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</si>
  <si>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</si>
  <si>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</si>
  <si>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</si>
  <si>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</si>
  <si>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</si>
  <si>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</si>
  <si>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</si>
  <si>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</si>
  <si>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</si>
  <si>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</si>
  <si>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</si>
  <si>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</si>
  <si>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</si>
  <si>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</si>
  <si>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</si>
  <si>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</si>
  <si>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</si>
  <si>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</si>
  <si>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</si>
  <si>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</si>
  <si>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</si>
  <si>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</si>
  <si>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</si>
  <si>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</si>
  <si>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</si>
  <si>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</si>
  <si>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</si>
  <si>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</si>
  <si>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</si>
  <si>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</si>
  <si>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</si>
  <si>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</si>
  <si>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</si>
  <si>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</si>
  <si>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</si>
  <si>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</si>
  <si>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</si>
  <si>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</si>
  <si>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</si>
  <si>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</si>
  <si>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</si>
  <si>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</si>
  <si>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</si>
  <si>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</si>
  <si>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</si>
  <si>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</si>
  <si>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</si>
  <si>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</si>
  <si>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</si>
  <si>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</si>
  <si>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</si>
  <si>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</si>
  <si>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</si>
  <si>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</si>
  <si>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</si>
  <si>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</si>
  <si>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</si>
  <si>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</si>
  <si>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</si>
  <si>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</si>
  <si>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</si>
  <si>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</si>
  <si>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</si>
  <si>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</si>
  <si>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</si>
  <si>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</si>
  <si>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</si>
  <si>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</si>
  <si>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</si>
  <si>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</si>
  <si>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</si>
  <si>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</si>
  <si>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</si>
  <si>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</si>
  <si>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</si>
  <si>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</si>
  <si>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</si>
  <si>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</si>
  <si>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</si>
  <si>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</si>
  <si>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</si>
  <si>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</si>
  <si>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</si>
  <si>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</si>
  <si>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</si>
  <si>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</si>
  <si>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</si>
  <si>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</si>
  <si>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</si>
  <si>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</si>
  <si>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</si>
  <si>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</si>
  <si>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</si>
  <si>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</si>
  <si>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</si>
  <si>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</si>
  <si>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</si>
  <si>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</si>
  <si>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</si>
  <si>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</si>
  <si>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</si>
  <si>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</si>
  <si>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</si>
  <si>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</si>
  <si>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</si>
  <si>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</si>
  <si>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</si>
  <si>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</si>
  <si>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</si>
  <si>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</si>
  <si>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</si>
  <si>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</si>
  <si>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</si>
  <si>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</si>
  <si>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</si>
  <si>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</si>
  <si>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</si>
  <si>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</si>
  <si>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</si>
  <si>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</si>
  <si>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</si>
  <si>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</si>
  <si>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</si>
  <si>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</si>
  <si>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</si>
  <si>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</si>
  <si>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</si>
  <si>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</si>
  <si>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</si>
  <si>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</si>
  <si>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</si>
  <si>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</si>
  <si>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</si>
  <si>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</si>
  <si>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</si>
  <si>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</si>
  <si>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</si>
  <si>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</si>
  <si>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</si>
  <si>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</si>
  <si>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</si>
  <si>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</si>
  <si>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</si>
  <si>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</si>
  <si>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</si>
  <si>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</si>
  <si>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</si>
  <si>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</si>
  <si>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</si>
  <si>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</si>
  <si>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</si>
  <si>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</si>
  <si>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</si>
  <si>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</si>
  <si>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</si>
  <si>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</si>
  <si>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</si>
  <si>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</si>
  <si>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</si>
  <si>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</si>
  <si>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</si>
  <si>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</si>
  <si>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</si>
  <si>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</si>
  <si>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</si>
  <si>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</si>
  <si>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</si>
  <si>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</si>
  <si>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</si>
  <si>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</si>
  <si>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</si>
  <si>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</si>
  <si>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</si>
  <si>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</si>
  <si>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</si>
  <si>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</si>
  <si>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</si>
  <si>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</si>
  <si>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</si>
  <si>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</si>
  <si>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</si>
  <si>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</si>
  <si>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</si>
  <si>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</si>
  <si>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</si>
  <si>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</si>
  <si>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</si>
  <si>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</si>
  <si>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</si>
  <si>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</si>
  <si>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</si>
  <si>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</si>
  <si>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</si>
  <si>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</si>
  <si>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</si>
  <si>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</si>
  <si>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</si>
  <si>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</si>
  <si>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</si>
  <si>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</si>
  <si>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</si>
  <si>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</si>
  <si>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</si>
  <si>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</si>
  <si>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</si>
  <si>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</si>
  <si>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</si>
  <si>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</si>
  <si>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</si>
  <si>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</si>
  <si>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</si>
  <si>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</si>
  <si>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</si>
  <si>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</si>
  <si>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</si>
  <si>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</si>
  <si>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</si>
  <si>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</si>
  <si>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</si>
  <si>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</si>
  <si>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</si>
  <si>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</si>
  <si>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</si>
  <si>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</si>
  <si>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</si>
  <si>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</si>
  <si>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</si>
  <si>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</si>
  <si>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</si>
  <si>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</si>
  <si>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</si>
  <si>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</si>
  <si>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</si>
  <si>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</si>
  <si>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</si>
  <si>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</si>
  <si>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</si>
  <si>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</si>
  <si>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</si>
  <si>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</si>
  <si>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</si>
  <si>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</si>
  <si>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</si>
  <si>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</si>
  <si>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</si>
  <si>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</si>
  <si>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</si>
  <si>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</si>
  <si>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</si>
  <si>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</si>
  <si>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</si>
  <si>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</si>
  <si>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</si>
  <si>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</si>
  <si>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</si>
  <si>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</si>
  <si>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</si>
  <si>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</si>
  <si>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</si>
  <si>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</si>
  <si>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</si>
  <si>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</si>
  <si>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</si>
  <si>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</si>
  <si>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</si>
  <si>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</si>
  <si>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</si>
  <si>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</si>
  <si>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</si>
  <si>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</si>
  <si>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</si>
  <si>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</si>
  <si>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</si>
  <si>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</si>
  <si>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</si>
  <si>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</si>
  <si>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</si>
  <si>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</si>
  <si>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</si>
  <si>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</si>
  <si>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</si>
  <si>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</si>
  <si>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</si>
  <si>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</si>
  <si>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</si>
  <si>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</si>
  <si>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</si>
  <si>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</si>
  <si>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</si>
  <si>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</si>
  <si>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</si>
  <si>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</si>
  <si>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</si>
  <si>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</si>
  <si>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</si>
  <si>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</si>
  <si>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</si>
  <si>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</si>
  <si>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</si>
  <si>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</si>
  <si>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</si>
  <si>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</si>
  <si>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</si>
  <si>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</si>
  <si>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</si>
  <si>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</si>
  <si>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</si>
  <si>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</si>
  <si>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</si>
  <si>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</si>
  <si>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</si>
  <si>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</si>
  <si>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</si>
  <si>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</si>
  <si>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</si>
  <si>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</si>
  <si>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</si>
  <si>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</si>
  <si>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</si>
  <si>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</si>
  <si>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</si>
  <si>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</si>
  <si>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</si>
  <si>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</si>
  <si>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</si>
  <si>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</si>
  <si>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</si>
  <si>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</si>
  <si>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</si>
  <si>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</si>
  <si>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</si>
  <si>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</si>
  <si>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</si>
  <si>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</si>
  <si>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</si>
  <si>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</si>
  <si>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</si>
  <si>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</si>
  <si>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</si>
  <si>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</si>
  <si>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</si>
  <si>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</si>
  <si>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</si>
  <si>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</si>
  <si>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</si>
  <si>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</si>
  <si>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</si>
  <si>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</si>
  <si>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</si>
  <si>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</si>
  <si>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</si>
  <si>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</si>
  <si>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</si>
  <si>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</si>
  <si>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</si>
  <si>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</si>
  <si>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</si>
  <si>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</si>
  <si>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</si>
  <si>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</si>
  <si>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</si>
  <si>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</si>
  <si>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</si>
  <si>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</si>
  <si>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</si>
  <si>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</si>
  <si>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</si>
  <si>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</si>
  <si>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</si>
  <si>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</si>
  <si>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</si>
  <si>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</si>
  <si>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</si>
  <si>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</si>
  <si>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</si>
  <si>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</si>
  <si>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</si>
  <si>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</si>
  <si>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</si>
  <si>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</si>
  <si>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</si>
  <si>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</si>
  <si>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</si>
  <si>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</si>
  <si>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</si>
  <si>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</si>
  <si>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</si>
  <si>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</si>
  <si>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</si>
  <si>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</si>
  <si>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</si>
  <si>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</si>
  <si>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</si>
  <si>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</si>
  <si>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</si>
  <si>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</si>
  <si>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</si>
  <si>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</si>
  <si>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</si>
  <si>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</si>
  <si>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</si>
  <si>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</si>
  <si>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</si>
  <si>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</si>
  <si>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</si>
  <si>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</si>
  <si>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</si>
  <si>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</si>
  <si>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</si>
  <si>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</si>
  <si>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</si>
  <si>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</si>
  <si>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</si>
  <si>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</si>
  <si>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</si>
  <si>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</si>
  <si>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</si>
  <si>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</si>
  <si>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</si>
  <si>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</si>
  <si>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</si>
  <si>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</si>
  <si>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</si>
  <si>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</si>
  <si>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</si>
  <si>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</si>
  <si>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</si>
  <si>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</si>
  <si>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</si>
  <si>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</si>
  <si>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</si>
  <si>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</si>
  <si>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</si>
  <si>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</si>
  <si>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</si>
  <si>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</si>
  <si>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</si>
  <si>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</si>
  <si>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</si>
  <si>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</si>
  <si>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</si>
  <si>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</si>
  <si>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</si>
  <si>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</si>
  <si>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</si>
  <si>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</si>
  <si>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</si>
  <si>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</si>
  <si>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</si>
  <si>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</si>
  <si>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</si>
  <si>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</si>
  <si>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</si>
  <si>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</si>
  <si>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</si>
  <si>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</si>
  <si>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</si>
  <si>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</si>
  <si>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</si>
  <si>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</si>
  <si>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</si>
  <si>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</si>
  <si>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</si>
  <si>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</si>
  <si>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</si>
  <si>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</si>
  <si>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</si>
  <si>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</si>
  <si>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</si>
  <si>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</si>
  <si>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</si>
  <si>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</si>
  <si>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</si>
  <si>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</si>
  <si>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</si>
  <si>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</si>
  <si>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</si>
  <si>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</si>
  <si>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</si>
  <si>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</si>
  <si>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</si>
  <si>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</si>
  <si>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</si>
  <si>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</si>
  <si>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</si>
  <si>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</si>
  <si>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</si>
  <si>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</si>
  <si>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</si>
  <si>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</si>
  <si>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</si>
  <si>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</si>
  <si>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</si>
  <si>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</si>
  <si>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</si>
  <si>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</si>
  <si>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</si>
  <si>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</si>
  <si>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</si>
  <si>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</si>
  <si>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</si>
  <si>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</si>
  <si>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</si>
  <si>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</si>
  <si>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</si>
  <si>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</si>
  <si>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</si>
  <si>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</si>
  <si>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</si>
  <si>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</si>
  <si>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</si>
  <si>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</si>
  <si>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</si>
  <si>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</si>
  <si>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</si>
  <si>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</si>
  <si>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</si>
  <si>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</si>
  <si>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</si>
  <si>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</si>
  <si>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</si>
  <si>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</si>
  <si>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</si>
  <si>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</si>
  <si>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</si>
  <si>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</si>
  <si>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</si>
  <si>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</si>
  <si>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</si>
  <si>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</si>
  <si>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</si>
  <si>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</si>
  <si>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</si>
  <si>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</si>
  <si>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</si>
  <si>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</si>
  <si>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</si>
  <si>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</si>
  <si>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</si>
  <si>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</si>
  <si>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</si>
  <si>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</si>
  <si>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</si>
  <si>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</si>
  <si>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</si>
  <si>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</si>
  <si>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</si>
  <si>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</si>
  <si>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</si>
  <si>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</si>
  <si>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</si>
  <si>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</si>
  <si>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</si>
  <si>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</si>
  <si>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</si>
  <si>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</si>
  <si>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</si>
  <si>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</si>
  <si>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</si>
  <si>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</si>
  <si>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</si>
  <si>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</si>
  <si>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</si>
  <si>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</si>
  <si>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</si>
  <si>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</si>
  <si>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</si>
  <si>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</si>
  <si>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</si>
  <si>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</si>
  <si>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</si>
  <si>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</si>
  <si>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</si>
  <si>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</si>
  <si>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</si>
  <si>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</si>
  <si>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</si>
  <si>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</si>
  <si>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</si>
  <si>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</si>
  <si>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</si>
  <si>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</si>
  <si>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</si>
  <si>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</si>
  <si>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</si>
  <si>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</si>
  <si>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</si>
  <si>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</si>
  <si>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</si>
  <si>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</si>
  <si>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</si>
  <si>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</si>
  <si>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</si>
  <si>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</si>
  <si>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</si>
  <si>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</si>
  <si>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</si>
  <si>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</si>
  <si>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</si>
  <si>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</si>
  <si>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</si>
  <si>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</si>
  <si>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</si>
  <si>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</si>
  <si>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</si>
  <si>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</si>
  <si>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</si>
  <si>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</si>
  <si>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</si>
  <si>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</si>
  <si>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</si>
  <si>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</si>
  <si>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</si>
  <si>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</si>
  <si>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</si>
  <si>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</si>
  <si>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</si>
  <si>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</si>
  <si>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</si>
  <si>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</si>
  <si>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</si>
  <si>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</si>
  <si>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</si>
  <si>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</si>
  <si>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</si>
  <si>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</si>
  <si>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</si>
  <si>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</si>
  <si>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</si>
  <si>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</si>
  <si>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</si>
  <si>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</si>
  <si>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</si>
  <si>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</si>
  <si>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</si>
  <si>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</si>
  <si>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</si>
  <si>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</si>
  <si>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</si>
  <si>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</si>
  <si>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</si>
  <si>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</si>
  <si>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</si>
  <si>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</si>
  <si>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</si>
  <si>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</si>
  <si>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</si>
  <si>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</si>
  <si>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</si>
  <si>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</si>
  <si>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</si>
  <si>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</si>
  <si>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</si>
  <si>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</si>
  <si>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</si>
  <si>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</si>
  <si>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</si>
  <si>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</si>
  <si>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</si>
  <si>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</si>
  <si>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</si>
  <si>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</si>
  <si>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</si>
  <si>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</si>
  <si>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</si>
  <si>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</si>
  <si>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</si>
  <si>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</si>
  <si>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</si>
  <si>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</si>
  <si>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</si>
  <si>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</si>
  <si>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</si>
  <si>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</si>
  <si>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</si>
  <si>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</si>
  <si>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</si>
  <si>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</si>
  <si>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</si>
  <si>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</si>
  <si>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</si>
  <si>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</si>
  <si>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</si>
  <si>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</si>
  <si>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</si>
  <si>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</si>
  <si>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</si>
  <si>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</si>
  <si>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</si>
  <si>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</si>
  <si>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</si>
  <si>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</si>
  <si>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</si>
  <si>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</si>
  <si>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</si>
  <si>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</si>
  <si>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</si>
  <si>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</si>
  <si>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</si>
  <si>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</si>
  <si>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</si>
  <si>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</si>
  <si>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</si>
  <si>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</si>
  <si>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</si>
  <si>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</si>
  <si>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</si>
  <si>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</si>
  <si>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</si>
  <si>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</si>
  <si>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</si>
  <si>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</si>
  <si>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</si>
  <si>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</si>
  <si>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</si>
  <si>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</si>
  <si>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</si>
  <si>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</si>
  <si>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</si>
  <si>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</si>
  <si>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</si>
  <si>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</si>
  <si>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</si>
  <si>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</si>
  <si>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</si>
  <si>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</si>
  <si>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</si>
  <si>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</si>
  <si>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</si>
  <si>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</si>
  <si>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</si>
  <si>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</si>
  <si>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</si>
  <si>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</si>
  <si>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</si>
  <si>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</si>
  <si>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</si>
  <si>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</si>
  <si>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</si>
  <si>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</si>
  <si>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</si>
  <si>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</si>
  <si>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</si>
  <si>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</si>
  <si>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</si>
  <si>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</si>
  <si>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</si>
  <si>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</si>
  <si>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</si>
  <si>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</si>
  <si>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</si>
  <si>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</si>
  <si>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</si>
  <si>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</si>
  <si>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</si>
  <si>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</si>
  <si>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</si>
  <si>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</si>
  <si>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</si>
  <si>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</si>
  <si>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</si>
  <si>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</si>
  <si>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</si>
  <si>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</si>
  <si>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</si>
  <si>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</si>
  <si>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</si>
  <si>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</si>
  <si>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</si>
  <si>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</si>
  <si>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</si>
  <si>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</si>
  <si>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</si>
  <si>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</si>
  <si>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</si>
  <si>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</si>
  <si>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</si>
  <si>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</si>
  <si>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</si>
  <si>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小高层板楼</t>
    <phoneticPr fontId="3" type="noConversion"/>
  </si>
  <si>
    <t>高层板楼</t>
  </si>
  <si>
    <t>超高层板楼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</si>
  <si>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</si>
  <si>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</si>
  <si>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</si>
  <si>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</si>
  <si>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</si>
  <si>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</si>
  <si>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</si>
  <si>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</si>
  <si>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</si>
  <si>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</si>
  <si>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</si>
  <si>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</si>
  <si>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</si>
  <si>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</si>
  <si>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</si>
  <si>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</si>
  <si>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</si>
  <si>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</si>
  <si>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</si>
  <si>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</si>
  <si>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</si>
  <si>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</si>
  <si>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</si>
  <si>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</si>
  <si>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</si>
  <si>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</si>
  <si>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</si>
  <si>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</si>
  <si>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</si>
  <si>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</si>
  <si>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</si>
  <si>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</si>
  <si>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工人体育场北路38号楼13层13-2号</t>
    <phoneticPr fontId="13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</si>
  <si>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</si>
  <si>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</si>
  <si>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</si>
  <si>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</si>
  <si>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</si>
  <si>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</si>
  <si>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</si>
  <si>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</si>
  <si>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1室1厅1卫1厨无储</t>
    <phoneticPr fontId="134" type="noConversion"/>
  </si>
  <si>
    <t>北</t>
    <phoneticPr fontId="134" type="noConversion"/>
  </si>
  <si>
    <t>精装修</t>
  </si>
  <si>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</si>
  <si>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</si>
  <si>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</si>
  <si>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</si>
  <si>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</si>
  <si>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</si>
  <si>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</si>
  <si>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</si>
  <si>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</si>
  <si>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</si>
  <si>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</si>
  <si>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</si>
  <si>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</si>
  <si>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</si>
  <si>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</si>
  <si>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</si>
  <si>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</si>
  <si>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</si>
  <si>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</si>
  <si>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</si>
  <si>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</si>
  <si>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</si>
  <si>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</si>
  <si>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</si>
  <si>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</si>
  <si>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</si>
  <si>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</si>
  <si>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</si>
  <si>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</si>
  <si>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</si>
  <si>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</si>
  <si>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</si>
  <si>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</si>
  <si>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</si>
  <si>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</si>
  <si>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</si>
  <si>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</si>
  <si>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</si>
  <si>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</si>
  <si>
    <t>工人体育场北路66号13层03单元1603</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</si>
</sst>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0" fontId="277"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13</xdr:row>
      <xdr:rowOff>53340</xdr:rowOff>
    </xdr:from>
    <xdr:to>
      <xdr:col>14</xdr:col>
      <xdr:colOff>119171</xdr:colOff>
      <xdr:row>37</xdr:row>
      <xdr:rowOff>60050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994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9" t="s">
        <v>2579</v>
      </c>
      <c r="J2" s="3529"/>
      <c r="K2" s="3529"/>
      <c r="L2" s="3529"/>
      <c r="M2" s="3529"/>
      <c r="N2" s="3529"/>
      <c r="O2" s="3529"/>
      <c r="P2" s="3529"/>
      <c r="Q2" s="3529"/>
      <c r="R2" s="3529"/>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38" t="str">
        <f>IF(B10="北京市","北京市",C10)&amp;F10&amp;IF(结果表!G1="在建","出让国有建设用地使用权及在建建筑物",IF(结果表!G1="土地","出让国有建设用地使用权",))&amp;B9&amp;"预评估"</f>
        <v>北京市房地产市场价值预评估</v>
      </c>
      <c r="C1" s="3539"/>
      <c r="D1" s="3539"/>
      <c r="E1" s="3539"/>
      <c r="F1" s="3539"/>
      <c r="G1" s="3539"/>
      <c r="H1" s="3539"/>
      <c r="I1" s="3540"/>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41"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42"/>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48"/>
      <c r="C16" s="3549"/>
      <c r="D16" s="3550"/>
      <c r="E16" s="2410" t="s">
        <v>2194</v>
      </c>
      <c r="F16" s="3551"/>
      <c r="G16" s="3552"/>
      <c r="H16" s="3552"/>
      <c r="I16" s="3553"/>
      <c r="J16" s="2436"/>
      <c r="K16" s="2614"/>
      <c r="L16" s="2448"/>
      <c r="M16" s="2448"/>
      <c r="N16" s="2506"/>
      <c r="O16" s="2448"/>
      <c r="P16" s="2506"/>
      <c r="Q16" s="2436"/>
      <c r="R16" s="2436"/>
    </row>
    <row r="17" spans="1:28">
      <c r="A17" s="313" t="s">
        <v>2195</v>
      </c>
      <c r="B17" s="302" t="s">
        <v>2196</v>
      </c>
      <c r="C17" s="8">
        <f>'数据-汇总表'!E3</f>
        <v>64.67</v>
      </c>
      <c r="D17" s="2319" t="s">
        <v>2197</v>
      </c>
      <c r="E17" s="3554" t="s">
        <v>2198</v>
      </c>
      <c r="F17" s="3555"/>
      <c r="G17" s="3555"/>
      <c r="H17" s="3555"/>
      <c r="I17" s="3556"/>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57" t="s">
        <v>2202</v>
      </c>
      <c r="F18" s="3558"/>
      <c r="G18" s="3558"/>
      <c r="H18" s="3558"/>
      <c r="I18" s="3559"/>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44" t="s">
        <v>2206</v>
      </c>
      <c r="C20" s="3545"/>
      <c r="D20" s="3546" t="s">
        <v>2207</v>
      </c>
      <c r="E20" s="3547"/>
      <c r="F20" s="2644" t="s">
        <v>1056</v>
      </c>
      <c r="G20" s="2661"/>
      <c r="H20" s="2661"/>
      <c r="I20" s="2661"/>
      <c r="J20" s="2436"/>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3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2"/>
      <c r="B30" s="302" t="s">
        <v>2218</v>
      </c>
      <c r="C30" s="3533"/>
      <c r="D30" s="3534"/>
      <c r="E30" s="2661"/>
      <c r="F30" s="2661"/>
      <c r="G30" s="2661"/>
      <c r="H30" s="2661"/>
      <c r="I30" s="2661"/>
      <c r="J30" s="2436"/>
      <c r="K30" s="2613"/>
      <c r="L30" s="2610"/>
      <c r="M30" s="2610"/>
      <c r="N30" s="2436"/>
      <c r="O30" s="2447"/>
      <c r="P30" s="2436"/>
      <c r="Q30" s="2436"/>
      <c r="R30" s="2436"/>
      <c r="S30" s="2436"/>
      <c r="T30" s="2436"/>
      <c r="U30" s="2436"/>
      <c r="V30" s="2436"/>
    </row>
    <row r="31" spans="1:28">
      <c r="A31" s="3535"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36"/>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3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30" t="s">
        <v>2228</v>
      </c>
      <c r="T34" s="2425" t="str">
        <f>NUMBERSTRING(7-K34,1)&amp;"通"</f>
        <v>七通</v>
      </c>
      <c r="U34" s="2436"/>
      <c r="V34" s="2436"/>
    </row>
    <row r="35" spans="1:30">
      <c r="A35" s="2426"/>
      <c r="B35" s="3537" t="s">
        <v>2229</v>
      </c>
      <c r="C35" s="3537"/>
      <c r="D35" s="3537"/>
      <c r="E35" s="353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7" sqref="A47:XFD4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9" t="s">
        <v>1131</v>
      </c>
      <c r="B2" s="3569"/>
      <c r="C2" s="3569"/>
      <c r="D2" s="796" t="s">
        <v>1107</v>
      </c>
      <c r="E2" s="1639" t="s">
        <v>1108</v>
      </c>
      <c r="F2" s="2656"/>
      <c r="G2" s="2647"/>
      <c r="H2" s="2648"/>
      <c r="I2" s="2322" t="s">
        <v>1132</v>
      </c>
      <c r="J2" s="2656"/>
      <c r="K2" s="2656"/>
      <c r="L2" s="2656"/>
      <c r="M2" s="2656"/>
      <c r="N2" s="2658"/>
      <c r="O2" s="2656"/>
      <c r="P2" s="2656"/>
    </row>
    <row r="3" spans="1:16" ht="15" thickBot="1">
      <c r="A3" s="3570" t="s">
        <v>1105</v>
      </c>
      <c r="B3" s="3570"/>
      <c r="C3" s="3570"/>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71"/>
      <c r="B4" s="3572"/>
      <c r="C4" s="3573"/>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74" t="s">
        <v>1110</v>
      </c>
      <c r="C5" s="3574"/>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74" t="s">
        <v>1111</v>
      </c>
      <c r="C6" s="3574"/>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66"/>
      <c r="B7" s="3567"/>
      <c r="C7" s="3568"/>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63" t="s">
        <v>1135</v>
      </c>
      <c r="L16" s="3564"/>
      <c r="M16" s="3564"/>
      <c r="N16" s="3564"/>
      <c r="O16" s="3564"/>
      <c r="P16" s="3565"/>
    </row>
    <row r="17" spans="1:19" ht="14.4">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Z13" sqref="Z1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0.67</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5">
        <v>9000</v>
      </c>
      <c r="V6" s="70">
        <v>2.5000000000000001E-2</v>
      </c>
      <c r="W6" s="70">
        <v>0.05</v>
      </c>
      <c r="X6" s="1040"/>
      <c r="Y6" s="71">
        <f>N6</f>
        <v>0.67</v>
      </c>
      <c r="Z6" s="72"/>
      <c r="AA6" s="66"/>
      <c r="AB6" s="66"/>
      <c r="AC6" s="1040"/>
      <c r="AD6" s="73"/>
      <c r="AE6" s="1041">
        <f ca="1">IF(AN6="",0,SUMIF(INDIRECT("'"&amp;AN6&amp;"'"&amp;"!E:E"),$AE$5,INDIRECT("'"&amp;AN6&amp;"'"&amp;"!F:F")))</f>
        <v>29</v>
      </c>
      <c r="AF6" s="1348"/>
      <c r="AG6" s="138">
        <f>IF(AF6="",0,AE6-AF6)</f>
        <v>0</v>
      </c>
      <c r="AH6" s="74">
        <v>1</v>
      </c>
      <c r="AI6" s="76">
        <v>12</v>
      </c>
      <c r="AJ6" s="77"/>
      <c r="AK6" s="78">
        <v>5.0000000000000001E-3</v>
      </c>
      <c r="AL6" s="79">
        <v>1E-3</v>
      </c>
      <c r="AM6" s="80">
        <v>5.0000000000000001E-3</v>
      </c>
      <c r="AN6" s="1715" t="s">
        <v>3443</v>
      </c>
      <c r="AO6" s="52">
        <f ca="1">SUMIF(INDIRECT("'"&amp;AN6&amp;"'"&amp;"!A:A"),"总价",INDIRECT("'"&amp;AN6&amp;"'"&amp;"!B:B"))</f>
        <v>209.3904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0.67</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0.67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0.02</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75" t="s">
        <v>2286</v>
      </c>
      <c r="B1" s="3576"/>
      <c r="C1" s="3576"/>
      <c r="D1" s="3576"/>
      <c r="E1" s="3576"/>
      <c r="F1" s="3576"/>
      <c r="G1" s="357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457</v>
      </c>
      <c r="C5" s="2509">
        <f ca="1">IF(B5=D14,结果表!H102,ROUND(B5*10000/$B$1,0))</f>
        <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457</v>
      </c>
      <c r="E14" s="2515">
        <f ca="1">ROUND(D14*10000/B14,0)</f>
        <v>70666</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44" sqref="M4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3.2">
      <c r="A3" s="3615" t="s">
        <v>1264</v>
      </c>
      <c r="B3" s="3616"/>
      <c r="C3" s="3616"/>
      <c r="D3" s="3616"/>
      <c r="E3" s="3616"/>
      <c r="F3" s="3616"/>
      <c r="G3" s="3616"/>
      <c r="H3" s="3616"/>
      <c r="I3" s="3616"/>
    </row>
    <row r="4" spans="1:12" ht="14.4">
      <c r="A4" s="1754" t="s">
        <v>1265</v>
      </c>
      <c r="B4" s="1755" t="s">
        <v>1266</v>
      </c>
      <c r="C4" s="1756" t="s">
        <v>3443</v>
      </c>
      <c r="D4" s="1756" t="s">
        <v>3534</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91" t="s">
        <v>1268</v>
      </c>
      <c r="B5" s="3578">
        <v>25</v>
      </c>
      <c r="C5" s="3594">
        <v>2</v>
      </c>
      <c r="D5" s="3614">
        <f>10-C5</f>
        <v>8</v>
      </c>
      <c r="E5" s="131" t="s">
        <v>1269</v>
      </c>
      <c r="F5" s="1757"/>
      <c r="G5" s="1757"/>
      <c r="H5" s="1757"/>
      <c r="I5" s="1373"/>
    </row>
    <row r="6" spans="1:12" ht="13.2">
      <c r="A6" s="3591"/>
      <c r="B6" s="3578"/>
      <c r="C6" s="3595"/>
      <c r="D6" s="3614"/>
      <c r="E6" s="131" t="s">
        <v>1270</v>
      </c>
      <c r="F6" s="1757"/>
      <c r="G6" s="1757"/>
      <c r="H6" s="1757"/>
      <c r="I6" s="1373"/>
    </row>
    <row r="7" spans="1:12" ht="13.2">
      <c r="A7" s="3591"/>
      <c r="B7" s="3578"/>
      <c r="C7" s="3596"/>
      <c r="D7" s="3614"/>
      <c r="E7" s="131" t="s">
        <v>1271</v>
      </c>
      <c r="F7" s="1757"/>
      <c r="G7" s="1757"/>
      <c r="H7" s="1757"/>
      <c r="I7" s="1373"/>
    </row>
    <row r="8" spans="1:12" ht="13.2">
      <c r="A8" s="3591" t="s">
        <v>1272</v>
      </c>
      <c r="B8" s="3578">
        <v>15</v>
      </c>
      <c r="C8" s="3594"/>
      <c r="D8" s="3614"/>
      <c r="E8" s="131" t="s">
        <v>1273</v>
      </c>
      <c r="F8" s="1757"/>
      <c r="G8" s="1757"/>
      <c r="H8" s="1757"/>
      <c r="I8" s="1373"/>
    </row>
    <row r="9" spans="1:12" ht="13.2">
      <c r="A9" s="3591"/>
      <c r="B9" s="3578"/>
      <c r="C9" s="3596"/>
      <c r="D9" s="3614"/>
      <c r="E9" s="131" t="s">
        <v>1274</v>
      </c>
      <c r="F9" s="1757"/>
      <c r="G9" s="1757"/>
      <c r="H9" s="1757"/>
      <c r="I9" s="1373"/>
    </row>
    <row r="10" spans="1:12" ht="13.2">
      <c r="A10" s="3591" t="s">
        <v>1275</v>
      </c>
      <c r="B10" s="3578">
        <v>15</v>
      </c>
      <c r="C10" s="3594"/>
      <c r="D10" s="3614"/>
      <c r="E10" s="131" t="s">
        <v>1276</v>
      </c>
      <c r="F10" s="1757"/>
      <c r="G10" s="1757"/>
      <c r="H10" s="1757"/>
      <c r="I10" s="1373"/>
    </row>
    <row r="11" spans="1:12" ht="13.2">
      <c r="A11" s="3591"/>
      <c r="B11" s="3578"/>
      <c r="C11" s="3596"/>
      <c r="D11" s="3614"/>
      <c r="E11" s="131" t="s">
        <v>1277</v>
      </c>
      <c r="F11" s="1757"/>
      <c r="G11" s="1757"/>
      <c r="H11" s="1757"/>
      <c r="I11" s="1373"/>
    </row>
    <row r="12" spans="1:12" ht="13.2">
      <c r="A12" s="3591" t="s">
        <v>1278</v>
      </c>
      <c r="B12" s="3578">
        <v>15</v>
      </c>
      <c r="C12" s="3594"/>
      <c r="D12" s="3614"/>
      <c r="E12" s="131" t="s">
        <v>1279</v>
      </c>
      <c r="F12" s="1757"/>
      <c r="G12" s="1757"/>
      <c r="H12" s="1757"/>
      <c r="I12" s="1373"/>
    </row>
    <row r="13" spans="1:12" ht="13.2">
      <c r="A13" s="3591"/>
      <c r="B13" s="3578"/>
      <c r="C13" s="3596"/>
      <c r="D13" s="3614"/>
      <c r="E13" s="131" t="s">
        <v>1280</v>
      </c>
      <c r="F13" s="1757"/>
      <c r="G13" s="1757"/>
      <c r="H13" s="1757"/>
      <c r="I13" s="1373"/>
    </row>
    <row r="14" spans="1:12" ht="13.2">
      <c r="A14" s="3591" t="s">
        <v>1281</v>
      </c>
      <c r="B14" s="3578">
        <v>30</v>
      </c>
      <c r="C14" s="3594"/>
      <c r="D14" s="3614"/>
      <c r="E14" s="131" t="s">
        <v>1282</v>
      </c>
      <c r="F14" s="1757"/>
      <c r="G14" s="1757"/>
      <c r="H14" s="1757"/>
      <c r="I14" s="1373"/>
    </row>
    <row r="15" spans="1:12" ht="13.2">
      <c r="A15" s="3591"/>
      <c r="B15" s="3578"/>
      <c r="C15" s="3595"/>
      <c r="D15" s="3614"/>
      <c r="E15" s="131" t="s">
        <v>1283</v>
      </c>
      <c r="F15" s="1757"/>
      <c r="G15" s="1757"/>
      <c r="H15" s="1757"/>
      <c r="I15" s="1373"/>
    </row>
    <row r="16" spans="1:12" ht="13.2">
      <c r="A16" s="3591"/>
      <c r="B16" s="3578"/>
      <c r="C16" s="3596"/>
      <c r="D16" s="3614"/>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01" t="s">
        <v>2131</v>
      </c>
      <c r="F18" s="3602"/>
      <c r="G18" s="3602"/>
      <c r="H18" s="3602"/>
      <c r="I18" s="3602"/>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209.3904</v>
      </c>
      <c r="D19" s="135">
        <f ca="1">SUMIF(INDIRECT("'"&amp;D4&amp;"'"&amp;"!A:A"),结果表!B19,INDIRECT("'"&amp;D4&amp;"'"&amp;"!B:B"))</f>
        <v>519.02200000000005</v>
      </c>
      <c r="E19" s="1761" t="s">
        <v>1292</v>
      </c>
      <c r="F19" s="1762" t="s">
        <v>1291</v>
      </c>
      <c r="G19" s="136">
        <f ca="1">ROUND(C19*$C$18+D19*$D$18,0)</f>
        <v>457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32378</v>
      </c>
      <c r="D20" s="138">
        <f ca="1">SUMIF(INDIRECT("'"&amp;D4&amp;"'"&amp;"!A:A"),结果表!B20,INDIRECT("'"&amp;D4&amp;"'"&amp;"!B:B"))</f>
        <v>80257</v>
      </c>
      <c r="E20" s="1764"/>
      <c r="F20" s="1026" t="s">
        <v>1295</v>
      </c>
      <c r="G20" s="139">
        <f ca="1">ROUND(C20*$C$18+D20*$D$18,0)</f>
        <v>70681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1.4787287287287292</v>
      </c>
      <c r="E22" s="129"/>
      <c r="F22" s="129"/>
      <c r="G22" s="129">
        <f ca="1">G20*'数据-汇总表'!E3</f>
        <v>4570940.2700000005</v>
      </c>
      <c r="H22" s="129"/>
      <c r="I22" s="129"/>
    </row>
    <row r="23" spans="1:36" ht="13.8" thickBot="1">
      <c r="A23" s="1747"/>
      <c r="B23" s="1747"/>
      <c r="C23" s="1747"/>
      <c r="D23" s="1747"/>
      <c r="E23" s="129"/>
      <c r="F23" s="129"/>
      <c r="G23" s="129"/>
      <c r="H23" s="129"/>
      <c r="I23" s="129"/>
    </row>
    <row r="24" spans="1:36" ht="14.4">
      <c r="A24" s="3585" t="s">
        <v>1299</v>
      </c>
      <c r="B24" s="1762" t="s">
        <v>1291</v>
      </c>
      <c r="C24" s="136">
        <f>IF(B30=0,0,D30)</f>
        <v>0</v>
      </c>
      <c r="D24" s="1769"/>
      <c r="E24" s="129"/>
      <c r="F24" s="129"/>
      <c r="G24" s="129"/>
      <c r="H24" s="129"/>
      <c r="I24" s="129"/>
    </row>
    <row r="25" spans="1:36" ht="14.4">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70681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5" t="s">
        <v>1312</v>
      </c>
      <c r="B36" s="1787" t="s">
        <v>1313</v>
      </c>
      <c r="C36" s="145"/>
      <c r="D36" s="1788"/>
      <c r="E36" s="1789"/>
      <c r="F36" s="1790"/>
      <c r="G36" s="129"/>
      <c r="H36" s="129"/>
      <c r="I36" s="129"/>
    </row>
    <row r="37" spans="1:15" ht="15" thickBot="1">
      <c r="A37" s="3606"/>
      <c r="B37" s="1674" t="s">
        <v>1314</v>
      </c>
      <c r="C37" s="147"/>
      <c r="D37" s="1139"/>
      <c r="E37" s="1139"/>
      <c r="F37" s="1790"/>
      <c r="G37" s="129"/>
      <c r="H37" s="129"/>
      <c r="I37" s="129"/>
    </row>
    <row r="38" spans="1:15" ht="15" thickBot="1">
      <c r="A38" s="36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t="e">
        <f ca="1">ROUND(H101*F45,0)</f>
        <v>#REF!</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0">
        <v>1</v>
      </c>
      <c r="K46" s="3641" t="s">
        <v>1331</v>
      </c>
      <c r="L46" s="3641"/>
      <c r="M46" s="3661"/>
      <c r="N46" s="3661"/>
      <c r="O46" s="3661"/>
    </row>
    <row r="47" spans="1:15" ht="12" customHeight="1">
      <c r="A47" s="160" t="s">
        <v>1332</v>
      </c>
      <c r="B47" s="161"/>
      <c r="C47" s="162"/>
      <c r="D47" s="1087" t="s">
        <v>1333</v>
      </c>
      <c r="E47" s="302" t="s">
        <v>1334</v>
      </c>
      <c r="F47" s="163" t="s">
        <v>1335</v>
      </c>
      <c r="G47" s="2543" t="s">
        <v>1336</v>
      </c>
      <c r="H47" s="2544"/>
      <c r="I47" s="159"/>
      <c r="J47" s="2520">
        <v>2</v>
      </c>
      <c r="K47" s="3641" t="s">
        <v>1337</v>
      </c>
      <c r="L47" s="3641"/>
      <c r="M47" s="3662">
        <f>'数据-取费表'!B2</f>
        <v>45699</v>
      </c>
      <c r="N47" s="3662"/>
      <c r="O47" s="3662"/>
    </row>
    <row r="48" spans="1:15" ht="26.4">
      <c r="A48" s="3610" t="s">
        <v>1338</v>
      </c>
      <c r="B48" s="3593"/>
      <c r="C48" s="3593"/>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641" t="s">
        <v>1340</v>
      </c>
      <c r="L48" s="3641"/>
      <c r="M48" s="3663" t="e">
        <f ca="1">H101</f>
        <v>#REF!</v>
      </c>
      <c r="N48" s="3663"/>
      <c r="O48" s="3663"/>
    </row>
    <row r="49" spans="1:35" ht="25.5" customHeight="1">
      <c r="A49" s="2330" t="s">
        <v>1341</v>
      </c>
      <c r="B49" s="3577" t="s">
        <v>1342</v>
      </c>
      <c r="C49" s="3577"/>
      <c r="D49" s="1590">
        <v>0</v>
      </c>
      <c r="E49" s="324" t="s">
        <v>1343</v>
      </c>
      <c r="F49" s="2421" t="s">
        <v>28</v>
      </c>
      <c r="G49" s="3647"/>
      <c r="H49" s="2307" t="s">
        <v>2134</v>
      </c>
      <c r="I49" s="2308"/>
      <c r="J49" s="2520">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48"/>
      <c r="B50" s="3577" t="s">
        <v>1344</v>
      </c>
      <c r="C50" s="3577"/>
      <c r="D50" s="2549"/>
      <c r="E50" s="332"/>
      <c r="F50" s="2421"/>
      <c r="G50" s="3648"/>
      <c r="H50" s="2309" t="s">
        <v>2135</v>
      </c>
      <c r="I50" s="2308"/>
      <c r="J50" s="3660" t="s">
        <v>1345</v>
      </c>
      <c r="K50" s="3660"/>
      <c r="L50" s="3660"/>
      <c r="M50" s="3660"/>
      <c r="N50" s="3660"/>
      <c r="O50" s="3660"/>
    </row>
    <row r="51" spans="1:35" ht="20.399999999999999" customHeight="1">
      <c r="A51" s="2550"/>
      <c r="B51" s="3577" t="s">
        <v>1346</v>
      </c>
      <c r="C51" s="3577"/>
      <c r="D51" s="1087"/>
      <c r="E51" s="327"/>
      <c r="F51" s="2421"/>
      <c r="G51" s="3649"/>
      <c r="H51" s="2309" t="s">
        <v>2136</v>
      </c>
      <c r="I51" s="2308"/>
      <c r="J51" s="2521" t="s">
        <v>1347</v>
      </c>
      <c r="K51" s="3641" t="s">
        <v>1348</v>
      </c>
      <c r="L51" s="3641"/>
      <c r="M51" s="2521" t="s">
        <v>1349</v>
      </c>
      <c r="N51" s="2521" t="s">
        <v>1350</v>
      </c>
      <c r="O51" s="2521" t="s">
        <v>1351</v>
      </c>
    </row>
    <row r="52" spans="1:35" ht="24" customHeight="1">
      <c r="A52" s="2332" t="s">
        <v>1352</v>
      </c>
      <c r="B52" s="3577" t="s">
        <v>1353</v>
      </c>
      <c r="C52" s="3577"/>
      <c r="D52" s="1087" t="e">
        <f ca="1">ROUND(D45*'数据-取费表'!B41/(1+'数据-取费表'!C42),0)</f>
        <v>#REF!</v>
      </c>
      <c r="E52" s="2331" t="s">
        <v>1354</v>
      </c>
      <c r="F52" s="2551">
        <f>'数据-取费表'!B41</f>
        <v>5.6000000000000001E-2</v>
      </c>
      <c r="G52" s="2552"/>
      <c r="H52" s="2541"/>
      <c r="I52" s="1807"/>
      <c r="J52" s="2520">
        <v>1</v>
      </c>
      <c r="K52" s="3642" t="s">
        <v>1355</v>
      </c>
      <c r="L52" s="3642"/>
      <c r="M52" s="2522" t="b">
        <f>D48</f>
        <v>0</v>
      </c>
      <c r="N52" s="2520" t="str">
        <f>E48</f>
        <v>销售额×税（费）率</v>
      </c>
      <c r="O52" s="2523">
        <f>F48</f>
        <v>5.6000000000000001E-2</v>
      </c>
    </row>
    <row r="53" spans="1:35" ht="12" customHeight="1">
      <c r="A53" s="2332" t="s">
        <v>1356</v>
      </c>
      <c r="B53" s="3603" t="s">
        <v>2291</v>
      </c>
      <c r="C53" s="3604"/>
      <c r="D53" s="1087" t="e">
        <f ca="1">ROUND(D45*'数据-取费表'!B41/(1+'数据-取费表'!C42),0)</f>
        <v>#REF!</v>
      </c>
      <c r="E53" s="2331" t="s">
        <v>1354</v>
      </c>
      <c r="F53" s="2551">
        <f>'数据-取费表'!B41</f>
        <v>5.6000000000000001E-2</v>
      </c>
      <c r="G53" s="2552"/>
      <c r="H53" s="2541"/>
      <c r="I53" s="1807"/>
      <c r="J53" s="2520">
        <v>2</v>
      </c>
      <c r="K53" s="3642" t="s">
        <v>1357</v>
      </c>
      <c r="L53" s="3642"/>
      <c r="M53" s="2522" t="e">
        <f t="shared" ref="M53:O54" ca="1" si="0">D55</f>
        <v>#REF!</v>
      </c>
      <c r="N53" s="2520" t="str">
        <f t="shared" si="0"/>
        <v>销售额×税（费）率</v>
      </c>
      <c r="O53" s="2523" t="str">
        <f t="shared" si="0"/>
        <v>免征</v>
      </c>
    </row>
    <row r="54" spans="1:35" ht="12" customHeight="1">
      <c r="A54" s="2332" t="s">
        <v>1358</v>
      </c>
      <c r="B54" s="3603" t="s">
        <v>2292</v>
      </c>
      <c r="C54" s="3604"/>
      <c r="D54" s="1087" t="e">
        <f ca="1">C68</f>
        <v>#REF!</v>
      </c>
      <c r="E54" s="327" t="s">
        <v>1359</v>
      </c>
      <c r="F54" s="2551">
        <f>'数据-取费表'!B41</f>
        <v>5.6000000000000001E-2</v>
      </c>
      <c r="G54" s="2552"/>
      <c r="H54" s="2553"/>
      <c r="I54" s="1807"/>
      <c r="J54" s="2520">
        <v>3</v>
      </c>
      <c r="K54" s="3642" t="s">
        <v>1360</v>
      </c>
      <c r="L54" s="3642"/>
      <c r="M54" s="2522" t="e">
        <f t="shared" ca="1" si="0"/>
        <v>#REF!</v>
      </c>
      <c r="N54" s="2520" t="str">
        <f t="shared" si="0"/>
        <v>增值额×税（费）率</v>
      </c>
      <c r="O54" s="2524" t="str">
        <f t="shared" si="0"/>
        <v>免征</v>
      </c>
    </row>
    <row r="55" spans="1:35" ht="24" customHeight="1">
      <c r="A55" s="3592" t="s">
        <v>1361</v>
      </c>
      <c r="B55" s="3593"/>
      <c r="C55" s="3593"/>
      <c r="D55" s="2321" t="e">
        <f ca="1">IF(H55="个人住宅",0,ROUND(D45*I55,0))</f>
        <v>#REF!</v>
      </c>
      <c r="E55" s="2331" t="s">
        <v>1362</v>
      </c>
      <c r="F55" s="2551" t="str">
        <f>IF(H55="正常",I55,"免征")</f>
        <v>免征</v>
      </c>
      <c r="G55" s="2552"/>
      <c r="H55" s="2547"/>
      <c r="I55" s="165">
        <f>'数据-取费表'!B49</f>
        <v>5.0000000000000001E-4</v>
      </c>
      <c r="J55" s="2520">
        <f>IF(H59="非个人房产","",4)</f>
        <v>4</v>
      </c>
      <c r="K55" s="3642" t="str">
        <f>IF(H59="非个人房产","——","个人所得税")</f>
        <v>个人所得税</v>
      </c>
      <c r="L55" s="3642"/>
      <c r="M55" s="2525" t="e">
        <f ca="1">D59</f>
        <v>#REF!</v>
      </c>
      <c r="N55" s="2037" t="str">
        <f>E59</f>
        <v>差额计税</v>
      </c>
      <c r="O55" s="2526">
        <f>F59</f>
        <v>0.01</v>
      </c>
    </row>
    <row r="56" spans="1:35" ht="25.2">
      <c r="A56" s="3592" t="s">
        <v>1363</v>
      </c>
      <c r="B56" s="3593"/>
      <c r="C56" s="3593"/>
      <c r="D56" s="2321" t="e">
        <f ca="1">IF(H56="个人住宅",D57,D58)</f>
        <v>#REF!</v>
      </c>
      <c r="E56" s="2331" t="s">
        <v>1364</v>
      </c>
      <c r="F56" s="2551" t="str">
        <f>IF(H56="正常",F58,"免征")</f>
        <v>免征</v>
      </c>
      <c r="G56" s="2554" t="s">
        <v>1365</v>
      </c>
      <c r="H56" s="2555"/>
      <c r="I56" s="1808"/>
      <c r="J56" s="2520" t="str">
        <f>IF(项目基本情况!K6="上海银行",IF(J55="",4,J55+1),"")</f>
        <v/>
      </c>
      <c r="K56" s="3665" t="str">
        <f>IF(项目基本情况!K6="上海银行","其他处置费用","")</f>
        <v/>
      </c>
      <c r="L56" s="3666"/>
      <c r="M56" s="2522" t="str">
        <f>IF(项目基本情况!K6="上海银行",M69,"")</f>
        <v/>
      </c>
      <c r="N56" s="3665" t="str">
        <f>IF(项目基本情况!K6="上海银行","包含处置中涉及的律师、诉讼、拍卖、评估等费用","")</f>
        <v/>
      </c>
      <c r="O56" s="3668"/>
    </row>
    <row r="57" spans="1:35" ht="13.2">
      <c r="A57" s="2332" t="s">
        <v>1341</v>
      </c>
      <c r="B57" s="3603" t="s">
        <v>1366</v>
      </c>
      <c r="C57" s="3604"/>
      <c r="D57" s="1590">
        <v>0</v>
      </c>
      <c r="E57" s="324" t="s">
        <v>1343</v>
      </c>
      <c r="F57" s="302"/>
      <c r="G57" s="2552"/>
      <c r="H57" s="2556"/>
      <c r="I57" s="1808"/>
      <c r="J57" s="3642">
        <f>IF(AND(J55="",J56=""),4,IF(项目基本情况!K6="上海银行",结果表!J56+1,结果表!J55+1))</f>
        <v>5</v>
      </c>
      <c r="K57" s="3642" t="s">
        <v>1367</v>
      </c>
      <c r="L57" s="2527" t="s">
        <v>1368</v>
      </c>
      <c r="M57" s="2528"/>
      <c r="N57" s="2529">
        <f ca="1">SUMIF(M52:M56,"&lt;9e307")</f>
        <v>0</v>
      </c>
      <c r="O57" s="2530"/>
      <c r="P57" s="2687" t="e">
        <f ca="1">N57/M49</f>
        <v>#VALUE!</v>
      </c>
    </row>
    <row r="58" spans="1:35" ht="25.2">
      <c r="A58" s="2332" t="s">
        <v>1352</v>
      </c>
      <c r="B58" s="3603" t="s">
        <v>1369</v>
      </c>
      <c r="C58" s="3577"/>
      <c r="D58" s="2321" t="e">
        <f ca="1">IF(H58="转让取得",C81,C97)</f>
        <v>#REF!</v>
      </c>
      <c r="E58" s="2331" t="s">
        <v>1364</v>
      </c>
      <c r="F58" s="302" t="s">
        <v>28</v>
      </c>
      <c r="G58" s="2552"/>
      <c r="H58" s="2555"/>
      <c r="I58" s="1808"/>
      <c r="J58" s="3642"/>
      <c r="K58" s="3642"/>
      <c r="L58" s="2527" t="s">
        <v>1370</v>
      </c>
      <c r="M58" s="2531"/>
      <c r="N58" s="2532" t="str">
        <f ca="1">NUMBERSTRING(INT(N57*10000),2)&amp;"元整"</f>
        <v>零元整</v>
      </c>
      <c r="O58" s="2533"/>
    </row>
    <row r="59" spans="1:35" ht="24.6" thickBot="1">
      <c r="A59" s="3645" t="s">
        <v>1371</v>
      </c>
      <c r="B59" s="3646"/>
      <c r="C59" s="364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43">
        <f>J57+1</f>
        <v>6</v>
      </c>
      <c r="K59" s="3642" t="s">
        <v>1372</v>
      </c>
      <c r="L59" s="2520" t="s">
        <v>1368</v>
      </c>
      <c r="M59" s="2534"/>
      <c r="N59" s="2535" t="e">
        <f ca="1">M49-N57</f>
        <v>#VALUE!</v>
      </c>
      <c r="O59" s="2536"/>
    </row>
    <row r="60" spans="1:35" ht="12" customHeight="1">
      <c r="A60" s="1809"/>
      <c r="B60" s="1747"/>
      <c r="C60" s="1747"/>
      <c r="D60" s="1747"/>
      <c r="E60" s="1578"/>
      <c r="F60" s="1808"/>
      <c r="G60" s="1808"/>
      <c r="H60" s="1810"/>
      <c r="I60" s="129"/>
      <c r="J60" s="3644"/>
      <c r="K60" s="3642"/>
      <c r="L60" s="2527" t="s">
        <v>1370</v>
      </c>
      <c r="M60" s="2531"/>
      <c r="N60" s="2532" t="e">
        <f ca="1">NUMBERSTRING(INT(N59*10000),2)&amp;"元整"</f>
        <v>#VALUE!</v>
      </c>
      <c r="O60" s="2533"/>
    </row>
    <row r="61" spans="1:35" ht="13.8" thickBot="1">
      <c r="A61" s="3590" t="s">
        <v>1373</v>
      </c>
      <c r="B61" s="3590"/>
      <c r="C61" s="3590"/>
      <c r="D61" s="3590"/>
      <c r="E61" s="3590"/>
      <c r="F61" s="1808"/>
      <c r="G61" s="1808"/>
      <c r="H61" s="1810"/>
      <c r="I61" s="129"/>
      <c r="J61" s="2520">
        <f>J59+1</f>
        <v>7</v>
      </c>
      <c r="K61" s="3642" t="s">
        <v>1374</v>
      </c>
      <c r="L61" s="3642"/>
      <c r="M61" s="2537"/>
      <c r="N61" s="2538" t="e">
        <f ca="1">ROUND(N59*10000/'数据-汇总表'!E3,0)</f>
        <v>#VALUE!</v>
      </c>
      <c r="O61" s="2539"/>
    </row>
    <row r="62" spans="1:35" ht="13.2">
      <c r="A62" s="3608" t="s">
        <v>1375</v>
      </c>
      <c r="B62" s="3609"/>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667"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6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67"/>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67"/>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67"/>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67"/>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1394</v>
      </c>
      <c r="B70" s="3630"/>
      <c r="C70" s="3630"/>
      <c r="D70" s="3630"/>
      <c r="E70" s="3630"/>
      <c r="F70" s="3630"/>
      <c r="G70" s="3630"/>
      <c r="H70" s="363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8" t="s">
        <v>1375</v>
      </c>
      <c r="B71" s="3609"/>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8" t="s">
        <v>1375</v>
      </c>
      <c r="B84" s="3609"/>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669" t="s">
        <v>2129</v>
      </c>
      <c r="H90" s="3670"/>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7" t="s">
        <v>1422</v>
      </c>
      <c r="F92" s="3588"/>
      <c r="G92" s="3588"/>
      <c r="H92" s="3597"/>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2" t="str">
        <f>C4</f>
        <v>收益法 (元)</v>
      </c>
      <c r="D101" s="2583" t="str">
        <f>D4</f>
        <v>比较法-住宅</v>
      </c>
      <c r="E101" s="3664" t="s">
        <v>1431</v>
      </c>
      <c r="F101" s="3621"/>
      <c r="G101" s="1827" t="s">
        <v>1432</v>
      </c>
      <c r="H101" s="2592" t="e">
        <f ca="1">H118</f>
        <v>#REF!</v>
      </c>
      <c r="I101" s="129"/>
    </row>
    <row r="102" spans="1:35" ht="18.75" customHeight="1">
      <c r="A102" s="3623" t="s">
        <v>1433</v>
      </c>
      <c r="B102" s="2581" t="s">
        <v>1432</v>
      </c>
      <c r="C102" s="2582">
        <f ca="1">IF(D32="楼面单价",ROUND(C19,0),C19)</f>
        <v>209.3904</v>
      </c>
      <c r="D102" s="2583">
        <f ca="1">IF(D32="楼面单价",ROUND(D19,0),D19)</f>
        <v>519.02200000000005</v>
      </c>
      <c r="E102" s="3664"/>
      <c r="F102" s="3621"/>
      <c r="G102" s="1827" t="s">
        <v>1434</v>
      </c>
      <c r="H102" s="2552" t="e">
        <f ca="1">I118</f>
        <v>#REF!</v>
      </c>
      <c r="I102" s="129"/>
    </row>
    <row r="103" spans="1:35" ht="42.75" customHeight="1">
      <c r="A103" s="3623"/>
      <c r="B103" s="2581" t="s">
        <v>1434</v>
      </c>
      <c r="C103" s="2584">
        <f ca="1">C20</f>
        <v>32378</v>
      </c>
      <c r="D103" s="2585">
        <f ca="1">D20</f>
        <v>80257</v>
      </c>
      <c r="E103" s="3658" t="s">
        <v>1435</v>
      </c>
      <c r="F103" s="3659"/>
      <c r="G103" s="1828" t="s">
        <v>1436</v>
      </c>
      <c r="H103" s="2592">
        <f>IF(D36="正常操作",H104+H105+H106,H105+H106)</f>
        <v>0</v>
      </c>
      <c r="I103" s="129"/>
    </row>
    <row r="104" spans="1:35" ht="18.75" customHeight="1">
      <c r="A104" s="3623"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24"/>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20" t="str">
        <f>IF(项目基本情况!E8="已注销","——","3.房地产抵押价值")</f>
        <v>3.房地产抵押价值</v>
      </c>
      <c r="F107" s="3621"/>
      <c r="G107" s="1827" t="s">
        <v>1432</v>
      </c>
      <c r="H107" s="2592" t="e">
        <f ca="1">IF(E107="——","——",H101-H103)</f>
        <v>#REF!</v>
      </c>
      <c r="I107" s="129"/>
    </row>
    <row r="108" spans="1:35" ht="18.75" customHeight="1">
      <c r="A108" s="129"/>
      <c r="B108" s="129"/>
      <c r="C108" s="129"/>
      <c r="D108" s="129"/>
      <c r="E108" s="3620"/>
      <c r="F108" s="3621"/>
      <c r="G108" s="1827" t="s">
        <v>1434</v>
      </c>
      <c r="H108" s="2552">
        <f ca="1">IF(H107=H101,H102,ROUND(H107*10000/'数据-汇总表'!E3,0))</f>
        <v>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5" t="str">
        <f>IF(E109="——","——",H101-H105-H106)</f>
        <v>——</v>
      </c>
      <c r="I109" s="129"/>
    </row>
    <row r="110" spans="1:35" ht="18.75" customHeight="1">
      <c r="A110" s="129"/>
      <c r="B110" s="129"/>
      <c r="C110" s="129"/>
      <c r="D110" s="129"/>
      <c r="E110" s="3620"/>
      <c r="F110" s="3621"/>
      <c r="G110" s="1827" t="s">
        <v>1434</v>
      </c>
      <c r="H110" s="2552"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2" t="str">
        <f>IF(E111="——","——",N59)</f>
        <v>——</v>
      </c>
      <c r="I111" s="129"/>
    </row>
    <row r="112" spans="1:35" ht="18.75" customHeight="1" thickBot="1">
      <c r="A112" s="129"/>
      <c r="B112" s="129"/>
      <c r="C112" s="129"/>
      <c r="D112" s="129"/>
      <c r="E112" s="3653"/>
      <c r="F112" s="3654"/>
      <c r="G112" s="1830" t="s">
        <v>1434</v>
      </c>
      <c r="H112" s="2596"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1" t="s">
        <v>1452</v>
      </c>
      <c r="B119" s="3591"/>
      <c r="C119" s="3591"/>
      <c r="D119" s="3631" t="e">
        <f ca="1">NUMBERSTRING(INT(D118*10000),2)&amp;"元整"</f>
        <v>#REF!</v>
      </c>
      <c r="E119" s="3633"/>
      <c r="F119" s="3631" t="e">
        <f ca="1">NUMBERSTRING(INT(F118*10000),2)&amp;"元整"</f>
        <v>#REF!</v>
      </c>
      <c r="G119" s="3633"/>
      <c r="H119" s="3631" t="e">
        <f ca="1">NUMBERSTRING(INT(H118*10000),2)&amp;"元整"</f>
        <v>#REF!</v>
      </c>
      <c r="I119" s="3633"/>
    </row>
    <row r="120" spans="1:27" ht="18.75" customHeight="1">
      <c r="A120" s="3655" t="str">
        <f>IF(项目基本情况!B9="房地产市场价值","",MID(E103,3,LEN(E103)-2))</f>
        <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
      </c>
      <c r="B122" s="3622"/>
      <c r="C122" s="3622"/>
      <c r="D122" s="3655" t="e">
        <f ca="1">H107</f>
        <v>#REF!</v>
      </c>
      <c r="E122" s="3656"/>
      <c r="F122" s="3656"/>
      <c r="G122" s="3656"/>
      <c r="H122" s="3656"/>
      <c r="I122" s="3657"/>
      <c r="AA122" s="725"/>
    </row>
    <row r="123" spans="1:27" ht="18.75" customHeight="1">
      <c r="A123" s="3591" t="s">
        <v>1452</v>
      </c>
      <c r="B123" s="3591"/>
      <c r="C123" s="3591"/>
      <c r="D123" s="3631" t="e">
        <f ca="1">NUMBERSTRING(INT(D122*10000),2)&amp;"元整"</f>
        <v>#REF!</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4175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1.4E-3</v>
      </c>
      <c r="D44" s="238"/>
      <c r="E44" s="238"/>
      <c r="F44" s="239"/>
      <c r="G44" s="3673"/>
    </row>
    <row r="45" spans="1:7" s="214" customFormat="1" ht="13.5" customHeight="1">
      <c r="A45" s="255" t="s">
        <v>1547</v>
      </c>
      <c r="B45" s="244" t="s">
        <v>1513</v>
      </c>
      <c r="C45" s="245">
        <f ca="1">C46</f>
        <v>8</v>
      </c>
      <c r="D45" s="235">
        <f ca="1">C47</f>
        <v>8.9999999999999993E-3</v>
      </c>
      <c r="E45" s="236" t="s">
        <v>1539</v>
      </c>
      <c r="F45" s="246">
        <f ca="1">F27</f>
        <v>0.3</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26</v>
      </c>
      <c r="D51" s="232"/>
      <c r="E51" s="232"/>
      <c r="F51" s="264"/>
      <c r="G51" s="234" t="s">
        <v>1560</v>
      </c>
    </row>
    <row r="52" spans="1:7" s="208" customFormat="1" ht="16.8" thickBot="1">
      <c r="A52" s="265" t="s">
        <v>1561</v>
      </c>
      <c r="B52" s="266"/>
      <c r="C52" s="267">
        <f ca="1">C31+C51</f>
        <v>27</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北京市房地产市场价值预评估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29.1541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4508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466</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2286</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7124</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ROUND((C5+C19+C20)*F27,0)</f>
        <v>7124</v>
      </c>
      <c r="D28" s="235"/>
      <c r="E28" s="236"/>
      <c r="F28" s="246"/>
      <c r="G28" s="247"/>
    </row>
    <row r="29" spans="1:7" s="214" customFormat="1" ht="13.5" customHeight="1">
      <c r="A29" s="780" t="s">
        <v>347</v>
      </c>
      <c r="B29" s="248" t="s">
        <v>1517</v>
      </c>
      <c r="C29" s="238">
        <f ca="1">ROUND(C21*F27,4)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36585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250919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20694</v>
      </c>
      <c r="D36" s="220"/>
      <c r="E36" s="220"/>
      <c r="F36" s="259">
        <f>'数据-取费表'!B34</f>
        <v>0.1</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5018</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12157</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11919</v>
      </c>
      <c r="D42" s="238"/>
      <c r="E42" s="238"/>
      <c r="F42" s="239"/>
      <c r="G42" s="3671" t="s">
        <v>1591</v>
      </c>
    </row>
    <row r="43" spans="1:7" ht="13.5" customHeight="1">
      <c r="A43" s="780" t="s">
        <v>347</v>
      </c>
      <c r="B43" s="215" t="s">
        <v>1545</v>
      </c>
      <c r="C43" s="238">
        <f ca="1">ROUND(IF('数据-取费表'!B22&lt;=1,C39*F22*'数据-取费表'!B20/2,C39*(POWER((1+F22),'数据-取费表'!B20/2)-1)),0)</f>
        <v>238</v>
      </c>
      <c r="D43" s="238"/>
      <c r="E43" s="238"/>
      <c r="F43" s="239"/>
      <c r="G43" s="3672"/>
    </row>
    <row r="44" spans="1:7" ht="13.5" customHeight="1">
      <c r="A44" s="780" t="s">
        <v>348</v>
      </c>
      <c r="B44" s="215" t="s">
        <v>1546</v>
      </c>
      <c r="C44" s="238">
        <f ca="1">ROUND(IF('数据-取费表'!B22&lt;=1,C40*F22*'数据-取费表'!B20/2,C40*(POWER((1+F22),'数据-取费表'!B20/2)-1)),4)</f>
        <v>1.4E-3</v>
      </c>
      <c r="D44" s="238"/>
      <c r="E44" s="238"/>
      <c r="F44" s="239"/>
      <c r="G44" s="3673"/>
    </row>
    <row r="45" spans="1:7" s="214" customFormat="1" ht="13.5" customHeight="1">
      <c r="A45" s="255" t="s">
        <v>1547</v>
      </c>
      <c r="B45" s="244" t="s">
        <v>1513</v>
      </c>
      <c r="C45" s="245">
        <f ca="1">C46</f>
        <v>76781</v>
      </c>
      <c r="D45" s="235">
        <f ca="1">C47</f>
        <v>8.9999999999999993E-3</v>
      </c>
      <c r="E45" s="236" t="s">
        <v>1539</v>
      </c>
      <c r="F45" s="246">
        <f ca="1">F27</f>
        <v>0.3</v>
      </c>
      <c r="G45" s="247" t="s">
        <v>1548</v>
      </c>
    </row>
    <row r="46" spans="1:7" s="214" customFormat="1" ht="13.5" customHeight="1">
      <c r="A46" s="780" t="s">
        <v>346</v>
      </c>
      <c r="B46" s="248" t="s">
        <v>1549</v>
      </c>
      <c r="C46" s="249">
        <f ca="1">ROUND((C33+C39)*F27,0)</f>
        <v>76781</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380531</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254956</v>
      </c>
      <c r="D51" s="232"/>
      <c r="E51" s="232"/>
      <c r="F51" s="264"/>
      <c r="G51" s="234" t="s">
        <v>1560</v>
      </c>
    </row>
    <row r="52" spans="1:7" s="208" customFormat="1" ht="16.8" thickBot="1">
      <c r="A52" s="265" t="s">
        <v>1561</v>
      </c>
      <c r="B52" s="266"/>
      <c r="C52" s="267">
        <f ca="1">C31+C51</f>
        <v>291541</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16" sqref="K1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209.3904</v>
      </c>
      <c r="C2" s="1387" t="s">
        <v>879</v>
      </c>
      <c r="D2" s="1471">
        <f ca="1">C40+J29+L46</f>
        <v>2093904</v>
      </c>
      <c r="E2" s="1388" t="s">
        <v>880</v>
      </c>
      <c r="F2" s="1389"/>
      <c r="G2" s="2703"/>
      <c r="H2" s="2692"/>
      <c r="I2" s="2692"/>
      <c r="J2" s="2692"/>
      <c r="K2" s="2693"/>
      <c r="L2" s="2692"/>
      <c r="M2" s="2692"/>
    </row>
    <row r="3" spans="1:37" ht="18" customHeight="1" thickBot="1">
      <c r="A3" s="1390" t="s">
        <v>881</v>
      </c>
      <c r="B3" s="1391">
        <f ca="1">IF(ISERROR(D2/F43),0,ROUND(D2/F43,0))</f>
        <v>32378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102728</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102600</v>
      </c>
      <c r="D6" s="155" t="s">
        <v>2106</v>
      </c>
      <c r="E6" s="302" t="s">
        <v>696</v>
      </c>
      <c r="F6" s="303">
        <f ca="1">INDIRECT("'数据-取费表'!u"&amp;$G$1)</f>
        <v>9000</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1</v>
      </c>
      <c r="G7" s="1384"/>
      <c r="H7" s="304"/>
      <c r="I7" s="3677"/>
      <c r="J7" s="306"/>
      <c r="K7" s="307"/>
      <c r="L7" s="302" t="s">
        <v>697</v>
      </c>
      <c r="M7" s="303">
        <f ca="1">F7</f>
        <v>1</v>
      </c>
    </row>
    <row r="8" spans="1:37" ht="18" customHeight="1">
      <c r="A8" s="304"/>
      <c r="B8" s="3677"/>
      <c r="C8" s="306"/>
      <c r="D8" s="307"/>
      <c r="E8" s="302" t="s">
        <v>698</v>
      </c>
      <c r="F8" s="303">
        <f ca="1">INDIRECT("'数据-取费表'!ai"&amp;$G$1)</f>
        <v>12</v>
      </c>
      <c r="G8" s="1384"/>
      <c r="H8" s="304"/>
      <c r="I8" s="3677"/>
      <c r="J8" s="306"/>
      <c r="K8" s="307"/>
      <c r="L8" s="302" t="s">
        <v>698</v>
      </c>
      <c r="M8" s="303">
        <f ca="1">INDIRECT("'数据-取费表'!ai"&amp;$G$1)</f>
        <v>12</v>
      </c>
    </row>
    <row r="9" spans="1:37" ht="18" customHeight="1">
      <c r="A9" s="304"/>
      <c r="B9" s="3678"/>
      <c r="C9" s="306"/>
      <c r="D9" s="307"/>
      <c r="E9" s="302" t="s">
        <v>699</v>
      </c>
      <c r="F9" s="312">
        <f ca="1">INDIRECT("'数据-取费表'!w"&amp;$G$1)</f>
        <v>0.05</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128</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254956</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380531</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20694</v>
      </c>
      <c r="D16" s="302" t="s">
        <v>711</v>
      </c>
      <c r="E16" s="302" t="s">
        <v>712</v>
      </c>
      <c r="F16" s="322">
        <f ca="1">IF(INDIRECT("'数据-取费表'!c"&amp;$G$1)="住宅",'数据-取费表'!B34,0)</f>
        <v>0.1</v>
      </c>
      <c r="G16" s="1384"/>
      <c r="H16" s="1079" t="s">
        <v>393</v>
      </c>
      <c r="I16" s="1080" t="s">
        <v>714</v>
      </c>
      <c r="J16" s="310">
        <f ca="1">ROUND(J17+J22+J23+J24,0)</f>
        <v>1903</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250919</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5018</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12157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-1903</v>
      </c>
      <c r="K25" s="1095" t="s">
        <v>753</v>
      </c>
      <c r="L25" s="1096"/>
      <c r="M25" s="1097"/>
    </row>
    <row r="26" spans="1:37" ht="18" customHeight="1">
      <c r="A26" s="982" t="s">
        <v>397</v>
      </c>
      <c r="B26" s="302" t="s">
        <v>754</v>
      </c>
      <c r="C26" s="21">
        <f ca="1">ROUND((C19+C20)*F26,0)</f>
        <v>76781</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8.9999999999999993E-3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380531</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5115</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2443</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1903</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ROUND(C13*F37,0)</f>
        <v>255</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514</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97613</v>
      </c>
      <c r="D39" s="1095" t="s">
        <v>773</v>
      </c>
      <c r="E39" s="1096"/>
      <c r="F39" s="1097"/>
      <c r="G39" s="1384"/>
      <c r="H39" s="2697"/>
      <c r="I39" s="1398"/>
      <c r="J39" s="1399"/>
      <c r="K39" s="2701"/>
      <c r="L39" s="2697"/>
      <c r="M39" s="2697"/>
    </row>
    <row r="40" spans="1:18" ht="18" customHeight="1">
      <c r="A40" s="299" t="s">
        <v>395</v>
      </c>
      <c r="B40" s="300" t="s">
        <v>774</v>
      </c>
      <c r="C40" s="301">
        <f ca="1">ROUND(C39*(1-((1+F42)/(1+F40))^F41)/(F40-F42),0)</f>
        <v>2093904</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32378</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-212.84790000000001</v>
      </c>
      <c r="D45" s="3429" t="s">
        <v>3352</v>
      </c>
      <c r="E45" s="1400"/>
      <c r="F45" s="1400"/>
      <c r="O45" s="1403" t="s">
        <v>808</v>
      </c>
      <c r="P45" s="1461"/>
      <c r="Q45" s="1461"/>
      <c r="R45" s="1461"/>
    </row>
    <row r="46" spans="1:18" s="1384" customFormat="1" ht="13.8" thickBot="1">
      <c r="A46" s="1404" t="s">
        <v>809</v>
      </c>
      <c r="C46" s="1405">
        <f ca="1">ROUND(C45,0)</f>
        <v>-213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2093904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380531</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1154819</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74" t="s">
        <v>837</v>
      </c>
      <c r="L53" s="3675"/>
      <c r="O53" s="1418" t="s">
        <v>409</v>
      </c>
      <c r="P53" s="1419" t="s">
        <v>838</v>
      </c>
      <c r="Q53" s="1420">
        <f ca="1">Q47+Q48</f>
        <v>2093904</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254956</v>
      </c>
      <c r="D56" s="1447"/>
      <c r="E56" s="1448"/>
      <c r="F56" s="1440"/>
      <c r="I56" s="1449" t="s">
        <v>842</v>
      </c>
      <c r="J56" s="1450" t="s">
        <v>3448</v>
      </c>
      <c r="K56" s="1421" t="s">
        <v>843</v>
      </c>
      <c r="L56" s="1424">
        <f ca="1">IF(L48&lt;J51,"——",L48-J51)</f>
        <v>8</v>
      </c>
      <c r="O56" s="1418" t="s">
        <v>403</v>
      </c>
      <c r="P56" s="1419" t="s">
        <v>817</v>
      </c>
      <c r="Q56" s="1420">
        <f ca="1">C40+J29</f>
        <v>2093904</v>
      </c>
      <c r="R56" s="1420" t="s">
        <v>818</v>
      </c>
    </row>
    <row r="57" spans="1:18" s="1384" customFormat="1" ht="24.6" thickBot="1">
      <c r="A57" s="1451"/>
      <c r="B57" s="950" t="s">
        <v>767</v>
      </c>
      <c r="C57" s="238">
        <f ca="1">C29</f>
        <v>380531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2158</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2093904</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1903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2093904</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-2158</v>
      </c>
      <c r="D67" s="963" t="s">
        <v>753</v>
      </c>
      <c r="E67" s="968"/>
      <c r="F67" s="969"/>
      <c r="O67" s="1428" t="s">
        <v>405</v>
      </c>
      <c r="P67" s="1419" t="s">
        <v>850</v>
      </c>
      <c r="Q67" s="1466">
        <f ca="1">L51</f>
        <v>1154819</v>
      </c>
      <c r="R67" s="1420" t="s">
        <v>870</v>
      </c>
    </row>
    <row r="68" spans="1:18" s="1384" customFormat="1" ht="16.2" thickBot="1">
      <c r="A68" s="947" t="s">
        <v>395</v>
      </c>
      <c r="B68" s="948" t="s">
        <v>774</v>
      </c>
      <c r="C68" s="301">
        <f ca="1">ROUND(C67*(1-((1+F70)/(1+F68))^F69)/(F68-F70),0)</f>
        <v>-34575</v>
      </c>
      <c r="D68" s="965" t="s">
        <v>758</v>
      </c>
      <c r="E68" s="950" t="s">
        <v>759</v>
      </c>
      <c r="F68" s="312">
        <f ca="1">F40</f>
        <v>4.4999999999999998E-2</v>
      </c>
      <c r="O68" s="1428" t="s">
        <v>406</v>
      </c>
      <c r="P68" s="1467" t="s">
        <v>871</v>
      </c>
      <c r="Q68" s="1420">
        <f ca="1">ROUND(Q69-Q70*Q71,0)</f>
        <v>82316</v>
      </c>
      <c r="R68" s="1420" t="s">
        <v>414</v>
      </c>
    </row>
    <row r="69" spans="1:18" s="1384" customFormat="1" ht="13.8" thickBot="1">
      <c r="A69" s="951"/>
      <c r="B69" s="952"/>
      <c r="C69" s="306"/>
      <c r="D69" s="970" t="s">
        <v>762</v>
      </c>
      <c r="E69" s="950" t="s">
        <v>763</v>
      </c>
      <c r="F69" s="333">
        <f ca="1">F41</f>
        <v>29</v>
      </c>
      <c r="O69" s="1428" t="s">
        <v>411</v>
      </c>
      <c r="P69" s="1467" t="s">
        <v>872</v>
      </c>
      <c r="Q69" s="1420">
        <f ca="1">C39</f>
        <v>97613</v>
      </c>
      <c r="R69" s="1420" t="s">
        <v>818</v>
      </c>
    </row>
    <row r="70" spans="1:18" s="1384" customFormat="1" ht="13.8" thickBot="1">
      <c r="A70" s="954"/>
      <c r="B70" s="955"/>
      <c r="C70" s="310"/>
      <c r="D70" s="966"/>
      <c r="E70" s="950" t="s">
        <v>766</v>
      </c>
      <c r="F70" s="1054"/>
      <c r="O70" s="1428" t="s">
        <v>412</v>
      </c>
      <c r="P70" s="1467" t="s">
        <v>873</v>
      </c>
      <c r="Q70" s="1420">
        <f ca="1">C13</f>
        <v>254956</v>
      </c>
      <c r="R70" s="1420" t="s">
        <v>818</v>
      </c>
    </row>
    <row r="71" spans="1:18" s="1384" customFormat="1" ht="13.8" thickBot="1">
      <c r="A71" s="971" t="s">
        <v>396</v>
      </c>
      <c r="B71" s="972" t="s">
        <v>776</v>
      </c>
      <c r="C71" s="336">
        <f ca="1">ROUND(C68/F71,0)</f>
        <v>-535</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15297</v>
      </c>
      <c r="D75" s="1384"/>
      <c r="E75" s="1384"/>
      <c r="F75" s="1384"/>
      <c r="K75" s="1402"/>
      <c r="L75" s="1384"/>
      <c r="O75" s="1418" t="s">
        <v>409</v>
      </c>
      <c r="P75" s="1419" t="s">
        <v>838</v>
      </c>
      <c r="Q75" s="1420">
        <f ca="1">Q65+Q66</f>
        <v>2093904</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685" t="s">
        <v>2316</v>
      </c>
      <c r="K2" s="3686"/>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87" t="s">
        <v>2326</v>
      </c>
      <c r="K3" s="3688"/>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87" t="s">
        <v>2328</v>
      </c>
      <c r="K4" s="3688"/>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693" t="s">
        <v>2332</v>
      </c>
      <c r="B6" s="3694"/>
      <c r="C6" s="3695"/>
      <c r="D6" s="2867"/>
      <c r="E6" s="2868"/>
      <c r="F6" s="2869"/>
      <c r="G6" s="2870"/>
      <c r="H6" s="2845"/>
      <c r="I6" s="2846"/>
      <c r="J6" s="3679">
        <v>1</v>
      </c>
      <c r="K6" s="3680"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79"/>
      <c r="K7" s="3681"/>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696" t="s">
        <v>2346</v>
      </c>
      <c r="C8" s="3697"/>
      <c r="D8" s="2886" t="s">
        <v>2347</v>
      </c>
      <c r="E8" s="2887" t="s">
        <v>2348</v>
      </c>
      <c r="F8" s="2888" t="s">
        <v>2349</v>
      </c>
      <c r="G8" s="2889"/>
      <c r="H8" s="2845"/>
      <c r="I8" s="2846"/>
      <c r="J8" s="3679"/>
      <c r="K8" s="3681"/>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696" t="s">
        <v>2352</v>
      </c>
      <c r="C9" s="3697"/>
      <c r="D9" s="2886">
        <f>ROUND(D6*E9,0)</f>
        <v>0</v>
      </c>
      <c r="E9" s="2890"/>
      <c r="F9" s="2891" t="s">
        <v>2353</v>
      </c>
      <c r="G9" s="2870"/>
      <c r="H9" s="2845"/>
      <c r="I9" s="2846"/>
      <c r="J9" s="3679"/>
      <c r="K9" s="3681"/>
      <c r="L9" s="2880" t="s">
        <v>2354</v>
      </c>
      <c r="M9" s="2881"/>
      <c r="N9" s="2857"/>
      <c r="O9" s="2882"/>
      <c r="P9" s="2882"/>
      <c r="Q9" s="2883">
        <v>365</v>
      </c>
      <c r="R9" s="2884">
        <f t="shared" si="0"/>
        <v>0</v>
      </c>
      <c r="S9" s="2838"/>
      <c r="T9" s="2838"/>
      <c r="U9" s="2838"/>
      <c r="V9" s="2846"/>
    </row>
    <row r="10" spans="1:22" s="2850" customFormat="1" ht="13.2" customHeight="1">
      <c r="A10" s="2885">
        <v>2</v>
      </c>
      <c r="B10" s="3696" t="s">
        <v>2355</v>
      </c>
      <c r="C10" s="3697"/>
      <c r="D10" s="2886">
        <f>ROUND(D6*E10,0)</f>
        <v>0</v>
      </c>
      <c r="E10" s="2890"/>
      <c r="F10" s="2891" t="s">
        <v>2356</v>
      </c>
      <c r="G10" s="2870"/>
      <c r="H10" s="2845"/>
      <c r="I10" s="2846"/>
      <c r="J10" s="3679"/>
      <c r="K10" s="3681"/>
      <c r="L10" s="2880" t="s">
        <v>2357</v>
      </c>
      <c r="M10" s="2881"/>
      <c r="N10" s="2857"/>
      <c r="O10" s="2882"/>
      <c r="P10" s="2882"/>
      <c r="Q10" s="2883">
        <v>365</v>
      </c>
      <c r="R10" s="2884">
        <f t="shared" si="0"/>
        <v>0</v>
      </c>
      <c r="S10" s="2838"/>
      <c r="T10" s="2838"/>
      <c r="U10" s="2838"/>
      <c r="V10" s="2846"/>
    </row>
    <row r="11" spans="1:22" s="2850" customFormat="1" ht="13.2" customHeight="1">
      <c r="A11" s="2885">
        <v>3</v>
      </c>
      <c r="B11" s="3696" t="s">
        <v>2358</v>
      </c>
      <c r="C11" s="3697"/>
      <c r="D11" s="2886">
        <f>D12+D14+D15+D16</f>
        <v>0</v>
      </c>
      <c r="E11" s="2892" t="e">
        <f>D11/D6</f>
        <v>#DIV/0!</v>
      </c>
      <c r="F11" s="2888"/>
      <c r="G11" s="2889"/>
      <c r="H11" s="2845"/>
      <c r="I11" s="2846"/>
      <c r="J11" s="3679"/>
      <c r="K11" s="3681"/>
      <c r="L11" s="2880" t="s">
        <v>2359</v>
      </c>
      <c r="M11" s="2881"/>
      <c r="N11" s="2857"/>
      <c r="O11" s="2882"/>
      <c r="P11" s="2882"/>
      <c r="Q11" s="2883">
        <v>365</v>
      </c>
      <c r="R11" s="2884">
        <f t="shared" si="0"/>
        <v>0</v>
      </c>
      <c r="S11" s="2838"/>
      <c r="T11" s="2838"/>
      <c r="U11" s="2838"/>
      <c r="V11" s="2846"/>
    </row>
    <row r="12" spans="1:22" s="2850" customFormat="1" ht="13.2" customHeight="1">
      <c r="A12" s="2893" t="s">
        <v>2360</v>
      </c>
      <c r="B12" s="3689" t="s">
        <v>2361</v>
      </c>
      <c r="C12" s="3690"/>
      <c r="D12" s="2894">
        <f>ROUND(D13*1.2%*(1-30%),0)</f>
        <v>0</v>
      </c>
      <c r="E12" s="2895">
        <v>1.2E-2</v>
      </c>
      <c r="F12" s="2888" t="s">
        <v>2362</v>
      </c>
      <c r="G12" s="2889"/>
      <c r="H12" s="2845"/>
      <c r="I12" s="2846"/>
      <c r="J12" s="3679"/>
      <c r="K12" s="3681"/>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79"/>
      <c r="K13" s="3681"/>
      <c r="L13" s="2880" t="s">
        <v>2365</v>
      </c>
      <c r="M13" s="2881"/>
      <c r="N13" s="2857"/>
      <c r="O13" s="2882"/>
      <c r="P13" s="2882"/>
      <c r="Q13" s="2883">
        <v>365</v>
      </c>
      <c r="R13" s="2884">
        <f t="shared" si="0"/>
        <v>0</v>
      </c>
      <c r="S13" s="2838"/>
      <c r="T13" s="2838"/>
      <c r="U13" s="2838"/>
      <c r="V13" s="2846"/>
    </row>
    <row r="14" spans="1:22" s="2850" customFormat="1" ht="13.2" customHeight="1">
      <c r="A14" s="2893" t="s">
        <v>2366</v>
      </c>
      <c r="B14" s="3689" t="s">
        <v>2367</v>
      </c>
      <c r="C14" s="3690"/>
      <c r="D14" s="2894">
        <f>ROUND(E14*B5/10000,0)</f>
        <v>0</v>
      </c>
      <c r="E14" s="2883"/>
      <c r="F14" s="2888" t="s">
        <v>2368</v>
      </c>
      <c r="G14" s="2889"/>
      <c r="H14" s="2845"/>
      <c r="I14" s="2846"/>
      <c r="J14" s="3679"/>
      <c r="K14" s="3682"/>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689" t="s">
        <v>2371</v>
      </c>
      <c r="C15" s="3690"/>
      <c r="D15" s="2894">
        <f>ROUND(D6*E15,0)</f>
        <v>0</v>
      </c>
      <c r="E15" s="2895">
        <v>5.5E-2</v>
      </c>
      <c r="F15" s="2888" t="s">
        <v>2372</v>
      </c>
      <c r="G15" s="2870"/>
      <c r="H15" s="2845"/>
      <c r="I15" s="2846"/>
      <c r="J15" s="3679">
        <v>2</v>
      </c>
      <c r="K15" s="3680"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689" t="s">
        <v>2380</v>
      </c>
      <c r="C16" s="3690"/>
      <c r="D16" s="2905">
        <f>D6*E16</f>
        <v>0</v>
      </c>
      <c r="E16" s="2906"/>
      <c r="F16" s="2891" t="s">
        <v>2381</v>
      </c>
      <c r="G16" s="2870"/>
      <c r="H16" s="2845"/>
      <c r="I16" s="2846"/>
      <c r="J16" s="3679"/>
      <c r="K16" s="3681"/>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691" t="s">
        <v>2383</v>
      </c>
      <c r="C17" s="3692"/>
      <c r="D17" s="2908">
        <f>ROUND(D6*E17,0)</f>
        <v>0</v>
      </c>
      <c r="E17" s="2909"/>
      <c r="F17" s="2910" t="s">
        <v>2384</v>
      </c>
      <c r="G17" s="2870"/>
      <c r="H17" s="2845"/>
      <c r="I17" s="2846"/>
      <c r="J17" s="3679"/>
      <c r="K17" s="3681"/>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79"/>
      <c r="K18" s="3681"/>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79"/>
      <c r="K19" s="3682"/>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79">
        <v>3</v>
      </c>
      <c r="K20" s="3680"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79"/>
      <c r="K21" s="3681"/>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79"/>
      <c r="K22" s="3681"/>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79"/>
      <c r="K23" s="3681"/>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79"/>
      <c r="K24" s="3682"/>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68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684"/>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85" t="s">
        <v>2316</v>
      </c>
      <c r="K32" s="3686"/>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87" t="s">
        <v>2326</v>
      </c>
      <c r="K33" s="3688"/>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87" t="s">
        <v>2328</v>
      </c>
      <c r="K34" s="3688"/>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79">
        <v>1</v>
      </c>
      <c r="K36" s="3680"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79"/>
      <c r="K37" s="3681"/>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79"/>
      <c r="K38" s="3681"/>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79"/>
      <c r="K39" s="3681"/>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79"/>
      <c r="K40" s="3682"/>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683">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684"/>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209.3904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32378</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698" t="s">
        <v>1654</v>
      </c>
      <c r="C5" s="3699"/>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209.3904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
  <sheetViews>
    <sheetView workbookViewId="0">
      <selection activeCell="O65" sqref="O65"/>
    </sheetView>
  </sheetViews>
  <sheetFormatPr defaultRowHeight="14.4"/>
  <sheetData>
    <row r="36" ht="11.4" customHeight="1"/>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90" zoomScaleNormal="60" zoomScaleSheetLayoutView="90" workbookViewId="0">
      <selection activeCell="H100" sqref="H10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3531</v>
      </c>
      <c r="F1" s="1879" t="s">
        <v>3532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519.02200000000005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80257</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18" t="s">
        <v>1667</v>
      </c>
      <c r="D4" s="3719"/>
      <c r="E4" s="3720" t="s">
        <v>1668</v>
      </c>
      <c r="F4" s="3721"/>
      <c r="G4" s="3718" t="s">
        <v>1669</v>
      </c>
      <c r="H4" s="3719"/>
      <c r="I4" s="3718" t="s">
        <v>1670</v>
      </c>
      <c r="J4" s="3719"/>
      <c r="K4" s="1889" t="s">
        <v>1671</v>
      </c>
      <c r="L4" s="2712"/>
      <c r="M4" s="2713"/>
      <c r="N4" s="2713"/>
      <c r="O4" s="2713"/>
      <c r="P4" s="3722" t="s">
        <v>1672</v>
      </c>
      <c r="Q4" s="3723"/>
      <c r="R4" s="3728" t="s">
        <v>1668</v>
      </c>
      <c r="S4" s="3729"/>
      <c r="T4" s="3728" t="s">
        <v>1669</v>
      </c>
      <c r="U4" s="3729"/>
      <c r="V4" s="3734" t="s">
        <v>1670</v>
      </c>
      <c r="W4" s="3734"/>
      <c r="X4" s="1355"/>
      <c r="Y4" s="3728" t="s">
        <v>1672</v>
      </c>
      <c r="Z4" s="3729"/>
      <c r="AA4" s="3715" t="s">
        <v>1668</v>
      </c>
      <c r="AB4" s="3715" t="s">
        <v>1669</v>
      </c>
      <c r="AC4" s="3715" t="s">
        <v>1670</v>
      </c>
    </row>
    <row r="5" spans="1:29">
      <c r="A5" s="358"/>
      <c r="B5" s="359"/>
      <c r="C5" s="3737" t="s">
        <v>1673</v>
      </c>
      <c r="D5" s="3738"/>
      <c r="E5" s="3744" t="str">
        <f>售价!C2</f>
        <v>工人体育场北路</v>
      </c>
      <c r="F5" s="3745"/>
      <c r="G5" s="3737" t="str">
        <f>售价!C3</f>
        <v>工人体育场北路</v>
      </c>
      <c r="H5" s="3738"/>
      <c r="I5" s="3737" t="str">
        <f>售价!C5</f>
        <v>瑞士公寓</v>
      </c>
      <c r="J5" s="3738"/>
      <c r="K5" s="1890"/>
      <c r="L5" s="2712"/>
      <c r="M5" s="2713"/>
      <c r="N5" s="2713"/>
      <c r="O5" s="2713"/>
      <c r="P5" s="3724"/>
      <c r="Q5" s="3725"/>
      <c r="R5" s="3730"/>
      <c r="S5" s="3731"/>
      <c r="T5" s="3730"/>
      <c r="U5" s="3731"/>
      <c r="V5" s="3734"/>
      <c r="W5" s="3734"/>
      <c r="X5" s="1355"/>
      <c r="Y5" s="3730"/>
      <c r="Z5" s="3731"/>
      <c r="AA5" s="3716"/>
      <c r="AB5" s="3716"/>
      <c r="AC5" s="3716"/>
    </row>
    <row r="6" spans="1:29" ht="15" thickBot="1">
      <c r="A6" s="360"/>
      <c r="B6" s="361"/>
      <c r="C6" s="3735" t="s">
        <v>1677</v>
      </c>
      <c r="D6" s="3736"/>
      <c r="E6" s="3742" t="str">
        <f>售价!B2</f>
        <v>工人体育场北路38号楼13层13-2号</v>
      </c>
      <c r="F6" s="3743"/>
      <c r="G6" s="3735" t="str">
        <f>售价!B3</f>
        <v>工人体育场北路38号楼10-1号</v>
      </c>
      <c r="H6" s="3736"/>
      <c r="I6" s="3735" t="str">
        <f>售价!B5</f>
        <v>工人体育场北路66号13层03单元1603</v>
      </c>
      <c r="J6" s="3736"/>
      <c r="K6" s="1890" t="s">
        <v>1678</v>
      </c>
      <c r="L6" s="2712"/>
      <c r="M6" s="2713"/>
      <c r="N6" s="2713"/>
      <c r="O6" s="2713"/>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45699</v>
      </c>
      <c r="D7" s="365">
        <v>100</v>
      </c>
      <c r="E7" s="366">
        <f>售价!Q2</f>
        <v>45407</v>
      </c>
      <c r="F7" s="367">
        <f>SUMIF(58:58,YEAR(E7)&amp;"-"&amp;MONTH(E7),59:59)</f>
        <v>101.5</v>
      </c>
      <c r="G7" s="366">
        <f>售价!Q3</f>
        <v>45374</v>
      </c>
      <c r="H7" s="365">
        <f>SUMIF(58:58,YEAR(G7)&amp;"-"&amp;MONTH(G7),59:59)</f>
        <v>102</v>
      </c>
      <c r="I7" s="366">
        <f>售价!Q5</f>
        <v>45645</v>
      </c>
      <c r="J7" s="365">
        <f>SUMIF(58:58,YEAR(I7)&amp;"-"&amp;MONTH(I7),59:59)</f>
        <v>100.5</v>
      </c>
      <c r="K7" s="1891"/>
      <c r="L7" s="2714"/>
      <c r="M7" s="2715"/>
      <c r="N7" s="2715"/>
      <c r="O7" s="2715"/>
      <c r="P7" s="3739" t="s">
        <v>1680</v>
      </c>
      <c r="Q7" s="3741"/>
      <c r="R7" s="701" t="s">
        <v>20</v>
      </c>
      <c r="S7" s="702">
        <f t="shared" ref="S7:S15" si="0">F7</f>
        <v>101.5</v>
      </c>
      <c r="T7" s="701" t="s">
        <v>20</v>
      </c>
      <c r="U7" s="702">
        <f t="shared" ref="U7:U15" si="1">H7</f>
        <v>102</v>
      </c>
      <c r="V7" s="701" t="s">
        <v>20</v>
      </c>
      <c r="W7" s="702">
        <f t="shared" ref="W7:W15" si="2">J7</f>
        <v>100.5</v>
      </c>
      <c r="X7" s="703"/>
      <c r="Y7" s="3739" t="s">
        <v>1680</v>
      </c>
      <c r="Z7" s="3740"/>
      <c r="AA7" s="704">
        <f>D7/F7</f>
        <v>0.98522167487684731</v>
      </c>
      <c r="AB7" s="704">
        <f>D7/H7</f>
        <v>0.98039215686274506</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39" t="s">
        <v>1683</v>
      </c>
      <c r="Q8" s="3740"/>
      <c r="R8" s="701" t="s">
        <v>20</v>
      </c>
      <c r="S8" s="702">
        <f t="shared" si="0"/>
        <v>100</v>
      </c>
      <c r="T8" s="701" t="s">
        <v>20</v>
      </c>
      <c r="U8" s="702">
        <f t="shared" si="1"/>
        <v>100</v>
      </c>
      <c r="V8" s="701" t="s">
        <v>20</v>
      </c>
      <c r="W8" s="702">
        <f t="shared" si="2"/>
        <v>100</v>
      </c>
      <c r="X8" s="703"/>
      <c r="Y8" s="3739" t="s">
        <v>1683</v>
      </c>
      <c r="Z8" s="3740"/>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3435</v>
      </c>
      <c r="J9" s="126">
        <f>SUMIF(63:63,I9,64:64)-SUMIF(63:63,C9,64:64)+100</f>
        <v>100</v>
      </c>
      <c r="K9" s="1891"/>
      <c r="L9" s="2714"/>
      <c r="M9" s="2715"/>
      <c r="N9" s="2715"/>
      <c r="O9" s="2715"/>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14"/>
      <c r="Q11" s="1343" t="str">
        <f t="shared" si="6"/>
        <v>容积率</v>
      </c>
      <c r="R11" s="701" t="s">
        <v>18</v>
      </c>
      <c r="S11" s="702">
        <f t="shared" si="0"/>
        <v>100</v>
      </c>
      <c r="T11" s="701" t="s">
        <v>18</v>
      </c>
      <c r="U11" s="702">
        <f t="shared" si="1"/>
        <v>100</v>
      </c>
      <c r="V11" s="701" t="s">
        <v>18</v>
      </c>
      <c r="W11" s="702">
        <f t="shared" si="2"/>
        <v>100</v>
      </c>
      <c r="X11" s="703"/>
      <c r="Y11" s="3578"/>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4"/>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4"/>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4"/>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t="s">
        <v>3498</v>
      </c>
      <c r="D16" s="399"/>
      <c r="E16" s="398" t="s">
        <v>3498</v>
      </c>
      <c r="F16" s="399"/>
      <c r="G16" s="398" t="s">
        <v>3498</v>
      </c>
      <c r="H16" s="401"/>
      <c r="I16" s="398" t="s">
        <v>3498</v>
      </c>
      <c r="J16" s="399"/>
      <c r="K16" s="1898"/>
      <c r="L16" s="2719"/>
      <c r="M16" s="2713"/>
      <c r="N16" s="2713"/>
      <c r="O16" s="2713"/>
      <c r="P16" s="3713"/>
      <c r="Q16" s="1352"/>
      <c r="R16" s="705"/>
      <c r="S16" s="706"/>
      <c r="T16" s="705"/>
      <c r="U16" s="706"/>
      <c r="V16" s="705"/>
      <c r="W16" s="706"/>
      <c r="X16" s="1355"/>
      <c r="Y16" s="370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398" t="s">
        <v>3498</v>
      </c>
      <c r="D18" s="401"/>
      <c r="E18" s="398" t="s">
        <v>3498</v>
      </c>
      <c r="F18" s="401"/>
      <c r="G18" s="398" t="s">
        <v>3498</v>
      </c>
      <c r="H18" s="399"/>
      <c r="I18" s="398" t="s">
        <v>3498</v>
      </c>
      <c r="J18" s="399"/>
      <c r="K18" s="1898"/>
      <c r="L18" s="2719"/>
      <c r="M18" s="2713"/>
      <c r="N18" s="2713"/>
      <c r="O18" s="2713"/>
      <c r="P18" s="3713"/>
      <c r="Q18" s="1352"/>
      <c r="R18" s="705"/>
      <c r="S18" s="706"/>
      <c r="T18" s="705"/>
      <c r="U18" s="706"/>
      <c r="V18" s="705"/>
      <c r="W18" s="706"/>
      <c r="X18" s="1355"/>
      <c r="Y18" s="3706"/>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t="s">
        <v>3498</v>
      </c>
      <c r="D20" s="399"/>
      <c r="E20" s="398" t="s">
        <v>3498</v>
      </c>
      <c r="F20" s="399"/>
      <c r="G20" s="398" t="s">
        <v>3498</v>
      </c>
      <c r="H20" s="399"/>
      <c r="I20" s="398" t="s">
        <v>3498</v>
      </c>
      <c r="J20" s="399"/>
      <c r="K20" s="1898"/>
      <c r="L20" s="2719"/>
      <c r="M20" s="2713"/>
      <c r="N20" s="2713"/>
      <c r="O20" s="2713"/>
      <c r="P20" s="3713"/>
      <c r="Q20" s="1352"/>
      <c r="R20" s="705"/>
      <c r="S20" s="706"/>
      <c r="T20" s="705"/>
      <c r="U20" s="706"/>
      <c r="V20" s="705"/>
      <c r="W20" s="706"/>
      <c r="X20" s="1355"/>
      <c r="Y20" s="3706"/>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398" t="s">
        <v>3498</v>
      </c>
      <c r="D22" s="399"/>
      <c r="E22" s="398" t="s">
        <v>3498</v>
      </c>
      <c r="F22" s="399"/>
      <c r="G22" s="398" t="s">
        <v>3498</v>
      </c>
      <c r="H22" s="399"/>
      <c r="I22" s="398" t="s">
        <v>3498</v>
      </c>
      <c r="J22" s="399"/>
      <c r="K22" s="1904"/>
      <c r="L22" s="2719"/>
      <c r="M22" s="2713"/>
      <c r="N22" s="2713"/>
      <c r="O22" s="2713"/>
      <c r="P22" s="3713"/>
      <c r="Q22" s="1352"/>
      <c r="R22" s="705"/>
      <c r="S22" s="706"/>
      <c r="T22" s="705"/>
      <c r="U22" s="706"/>
      <c r="V22" s="705"/>
      <c r="W22" s="706"/>
      <c r="X22" s="1355"/>
      <c r="Y22" s="3706"/>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t="s">
        <v>3498</v>
      </c>
      <c r="D24" s="399"/>
      <c r="E24" s="398" t="s">
        <v>3498</v>
      </c>
      <c r="F24" s="399"/>
      <c r="G24" s="398" t="s">
        <v>3498</v>
      </c>
      <c r="H24" s="399"/>
      <c r="I24" s="398" t="s">
        <v>3498</v>
      </c>
      <c r="J24" s="399"/>
      <c r="K24" s="1898"/>
      <c r="L24" s="2719"/>
      <c r="M24" s="2713"/>
      <c r="N24" s="2713"/>
      <c r="O24" s="2713"/>
      <c r="P24" s="3713"/>
      <c r="Q24" s="1352"/>
      <c r="R24" s="705"/>
      <c r="S24" s="706"/>
      <c r="T24" s="705"/>
      <c r="U24" s="706"/>
      <c r="V24" s="705"/>
      <c r="W24" s="706"/>
      <c r="X24" s="1355"/>
      <c r="Y24" s="3706"/>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3499</v>
      </c>
      <c r="D26" s="386">
        <v>100</v>
      </c>
      <c r="E26" s="1905" t="s">
        <v>3505</v>
      </c>
      <c r="F26" s="386">
        <f>SUMIF(88:88,E26,89:89)-SUMIF(88:88,C26,89:89)+100</f>
        <v>100.5</v>
      </c>
      <c r="G26" s="1906" t="s">
        <v>3499</v>
      </c>
      <c r="H26" s="386">
        <f>SUMIF(88:88,G26,89:89)-SUMIF(88:88,C26,89:89)+100</f>
        <v>100</v>
      </c>
      <c r="I26" s="1906" t="s">
        <v>3499</v>
      </c>
      <c r="J26" s="386">
        <f>SUMIF(88:88,I26,89:89)-SUMIF(88:88,C26,89:89)+100</f>
        <v>100</v>
      </c>
      <c r="K26" s="377">
        <v>0.5</v>
      </c>
      <c r="L26" s="2719"/>
      <c r="M26" s="2713"/>
      <c r="N26" s="2713"/>
      <c r="O26" s="2713"/>
      <c r="P26" s="3713"/>
      <c r="Q26" s="1352" t="str">
        <f t="shared" si="11"/>
        <v>朝向</v>
      </c>
      <c r="R26" s="705" t="s">
        <v>18</v>
      </c>
      <c r="S26" s="706">
        <f t="shared" si="12"/>
        <v>100.5</v>
      </c>
      <c r="T26" s="705" t="s">
        <v>18</v>
      </c>
      <c r="U26" s="706">
        <f t="shared" si="13"/>
        <v>100</v>
      </c>
      <c r="V26" s="705" t="s">
        <v>18</v>
      </c>
      <c r="W26" s="706">
        <f t="shared" si="14"/>
        <v>100</v>
      </c>
      <c r="X26" s="1355"/>
      <c r="Y26" s="3706"/>
      <c r="Z26" s="1356" t="str">
        <f>Q26</f>
        <v>朝向</v>
      </c>
      <c r="AA26" s="1353">
        <f t="shared" si="15"/>
        <v>0.99502487562189057</v>
      </c>
      <c r="AB26" s="1353">
        <f t="shared" si="16"/>
        <v>1</v>
      </c>
      <c r="AC26" s="1353">
        <f t="shared" si="17"/>
        <v>1</v>
      </c>
    </row>
    <row r="27" spans="1:29" s="108" customFormat="1" ht="15">
      <c r="A27" s="382"/>
      <c r="B27" s="3471" t="s">
        <v>3466</v>
      </c>
      <c r="C27" s="416" t="s">
        <v>3525</v>
      </c>
      <c r="D27" s="413">
        <v>100</v>
      </c>
      <c r="E27" s="416" t="s">
        <v>3524</v>
      </c>
      <c r="F27" s="413">
        <f>SUMIF(90:90,E27,91:91)-SUMIF(90:90,C27,91:91)+100</f>
        <v>102</v>
      </c>
      <c r="G27" s="416" t="s">
        <v>3533</v>
      </c>
      <c r="H27" s="413">
        <f>SUMIF(90:90,G27,91:91)-SUMIF(90:90,C27,91:91)+100</f>
        <v>101</v>
      </c>
      <c r="I27" s="416" t="s">
        <v>3524</v>
      </c>
      <c r="J27" s="413">
        <f>SUMIF(90:90,I27,91:91)-SUMIF(90:90,C27,91:91)+100</f>
        <v>102</v>
      </c>
      <c r="K27" s="1893"/>
      <c r="L27" s="2714"/>
      <c r="M27" s="2715"/>
      <c r="N27" s="2715"/>
      <c r="O27" s="2715"/>
      <c r="P27" s="3713"/>
      <c r="Q27" s="1343" t="str">
        <f t="shared" si="11"/>
        <v>楼层</v>
      </c>
      <c r="R27" s="701" t="s">
        <v>18</v>
      </c>
      <c r="S27" s="702">
        <f t="shared" si="12"/>
        <v>102</v>
      </c>
      <c r="T27" s="701" t="s">
        <v>18</v>
      </c>
      <c r="U27" s="702">
        <f t="shared" si="13"/>
        <v>101</v>
      </c>
      <c r="V27" s="701" t="s">
        <v>18</v>
      </c>
      <c r="W27" s="702">
        <f t="shared" si="14"/>
        <v>102</v>
      </c>
      <c r="X27" s="703"/>
      <c r="Y27" s="3706"/>
      <c r="Z27" s="52" t="str">
        <f>Q27</f>
        <v>楼层</v>
      </c>
      <c r="AA27" s="1353">
        <f t="shared" si="15"/>
        <v>0.98039215686274506</v>
      </c>
      <c r="AB27" s="1353">
        <f t="shared" si="16"/>
        <v>0.99009900990099009</v>
      </c>
      <c r="AC27" s="1353">
        <f t="shared" si="17"/>
        <v>0.98039215686274506</v>
      </c>
    </row>
    <row r="28" spans="1:29" ht="18.600000000000001" customHeight="1" thickBot="1">
      <c r="A28" s="379"/>
      <c r="B28" s="3471" t="s">
        <v>3467</v>
      </c>
      <c r="C28" s="3480" t="s">
        <v>3501</v>
      </c>
      <c r="D28" s="386">
        <v>100</v>
      </c>
      <c r="E28" s="3480" t="s">
        <v>3502</v>
      </c>
      <c r="F28" s="386">
        <f>SUMIF(92:92,E28,93:93)-SUMIF(92:92,C28,93:93)+100</f>
        <v>100</v>
      </c>
      <c r="G28" s="3481" t="s">
        <v>3503</v>
      </c>
      <c r="H28" s="386">
        <f>SUMIF(92:92,G28,93:93)-SUMIF(92:92,C28,93:93)+100</f>
        <v>100</v>
      </c>
      <c r="I28" s="3481" t="s">
        <v>3503</v>
      </c>
      <c r="J28" s="386">
        <f>SUMIF(92:92,I28,93:93)-SUMIF(92:92,C28,93:93)+100</f>
        <v>100</v>
      </c>
      <c r="K28" s="1893"/>
      <c r="L28" s="2719"/>
      <c r="M28" s="2713"/>
      <c r="N28" s="2713"/>
      <c r="O28" s="2713"/>
      <c r="P28" s="3713"/>
      <c r="Q28" s="1352" t="str">
        <f t="shared" si="11"/>
        <v>道路</v>
      </c>
      <c r="R28" s="705" t="s">
        <v>18</v>
      </c>
      <c r="S28" s="706">
        <f t="shared" si="12"/>
        <v>100</v>
      </c>
      <c r="T28" s="705" t="s">
        <v>18</v>
      </c>
      <c r="U28" s="706">
        <f t="shared" si="13"/>
        <v>100</v>
      </c>
      <c r="V28" s="705" t="s">
        <v>18</v>
      </c>
      <c r="W28" s="706">
        <f t="shared" si="14"/>
        <v>100</v>
      </c>
      <c r="X28" s="1355"/>
      <c r="Y28" s="370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09" t="s">
        <v>3473</v>
      </c>
      <c r="D32" s="418">
        <v>100</v>
      </c>
      <c r="E32" s="1909" t="s">
        <v>3473</v>
      </c>
      <c r="F32" s="412">
        <f>SUMIF(100:100,E32,101:101)-SUMIF(100:100,C32,101:101)+100</f>
        <v>100</v>
      </c>
      <c r="G32" s="1909" t="s">
        <v>3473</v>
      </c>
      <c r="H32" s="418">
        <f>SUMIF(100:100,G32,101:101)-SUMIF(100:100,C32,101:101)+100</f>
        <v>100</v>
      </c>
      <c r="I32" s="1909" t="s">
        <v>3470</v>
      </c>
      <c r="J32" s="386">
        <f>SUMIF(100:100,I32,101:101)-SUMIF(100:100,C32,101:101)+100</f>
        <v>101.5</v>
      </c>
      <c r="K32" s="377">
        <v>0.5</v>
      </c>
      <c r="L32" s="2719"/>
      <c r="M32" s="2713"/>
      <c r="N32" s="2713"/>
      <c r="O32" s="2713"/>
      <c r="P32" s="3707" t="s">
        <v>1696</v>
      </c>
      <c r="Q32" s="1352" t="str">
        <f t="shared" si="11"/>
        <v>建筑类型</v>
      </c>
      <c r="R32" s="705" t="s">
        <v>18</v>
      </c>
      <c r="S32" s="706">
        <f t="shared" si="12"/>
        <v>100</v>
      </c>
      <c r="T32" s="705" t="s">
        <v>18</v>
      </c>
      <c r="U32" s="706">
        <f t="shared" si="13"/>
        <v>100</v>
      </c>
      <c r="V32" s="705" t="s">
        <v>18</v>
      </c>
      <c r="W32" s="706">
        <f t="shared" si="14"/>
        <v>101.5</v>
      </c>
      <c r="X32" s="1355"/>
      <c r="Y32" s="3710" t="s">
        <v>1696</v>
      </c>
      <c r="Z32" s="1356" t="str">
        <f t="shared" si="18"/>
        <v>建筑类型</v>
      </c>
      <c r="AA32" s="1353">
        <f t="shared" si="15"/>
        <v>1</v>
      </c>
      <c r="AB32" s="1353">
        <f t="shared" si="16"/>
        <v>1</v>
      </c>
      <c r="AC32" s="1353">
        <f t="shared" si="17"/>
        <v>0.98522167487684731</v>
      </c>
    </row>
    <row r="33" spans="1:29" s="422" customFormat="1" ht="15">
      <c r="A33" s="419"/>
      <c r="B33" s="375" t="s">
        <v>1697</v>
      </c>
      <c r="C33" s="420">
        <f>'数据-汇总表'!E19</f>
        <v>64.67</v>
      </c>
      <c r="D33" s="127">
        <v>100</v>
      </c>
      <c r="E33" s="381">
        <f>售价!F2</f>
        <v>78.42</v>
      </c>
      <c r="F33" s="376">
        <f>LOOKUP(E33,103:103,104:104)-LOOKUP(C33,103:103,104:104)+100</f>
        <v>97</v>
      </c>
      <c r="G33" s="380">
        <f>售价!F3</f>
        <v>64.67</v>
      </c>
      <c r="H33" s="127">
        <f>LOOKUP(G33,103:103,104:104)-LOOKUP(C33,103:103,104:104)+100</f>
        <v>100</v>
      </c>
      <c r="I33" s="381">
        <f>售价!F5</f>
        <v>81.93</v>
      </c>
      <c r="J33" s="127">
        <f>LOOKUP(I33,103:103,104:104)-LOOKUP(C33,103:103,104:104)+100</f>
        <v>97</v>
      </c>
      <c r="K33" s="1893"/>
      <c r="L33" s="2718"/>
      <c r="M33" s="2720"/>
      <c r="N33" s="2720"/>
      <c r="O33" s="2720"/>
      <c r="P33" s="3708"/>
      <c r="Q33" s="707" t="str">
        <f t="shared" si="11"/>
        <v>项目建筑规模</v>
      </c>
      <c r="R33" s="708" t="s">
        <v>18</v>
      </c>
      <c r="S33" s="709">
        <f t="shared" si="12"/>
        <v>97</v>
      </c>
      <c r="T33" s="708" t="s">
        <v>18</v>
      </c>
      <c r="U33" s="709">
        <f t="shared" si="13"/>
        <v>100</v>
      </c>
      <c r="V33" s="708" t="s">
        <v>18</v>
      </c>
      <c r="W33" s="709">
        <f t="shared" si="14"/>
        <v>97</v>
      </c>
      <c r="X33" s="710"/>
      <c r="Y33" s="3710"/>
      <c r="Z33" s="711" t="str">
        <f t="shared" si="18"/>
        <v>项目建筑规模</v>
      </c>
      <c r="AA33" s="1353">
        <f t="shared" si="15"/>
        <v>1.0309278350515463</v>
      </c>
      <c r="AB33" s="1353">
        <f t="shared" si="16"/>
        <v>1</v>
      </c>
      <c r="AC33" s="1353">
        <f t="shared" si="17"/>
        <v>1.0309278350515463</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3446</v>
      </c>
      <c r="J34" s="386">
        <f>SUMIF(105:105,I34,106:106)-SUMIF(105:105,C34,106:106)+100</f>
        <v>100</v>
      </c>
      <c r="K34" s="377">
        <v>2</v>
      </c>
      <c r="L34" s="2719"/>
      <c r="M34" s="2713"/>
      <c r="N34" s="2713"/>
      <c r="O34" s="2713"/>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5" t="s">
        <v>3527</v>
      </c>
      <c r="D35" s="386">
        <v>100</v>
      </c>
      <c r="E35" s="1905" t="s">
        <v>3527</v>
      </c>
      <c r="F35" s="412">
        <f>SUMIF(107:107,E35,108:108)-SUMIF(107:107,C35,108:108)+100</f>
        <v>100</v>
      </c>
      <c r="G35" s="1905" t="s">
        <v>3527</v>
      </c>
      <c r="H35" s="386">
        <f>SUMIF(107:107,G35,108:108)-SUMIF(107:107,C35,108:108)+100</f>
        <v>100</v>
      </c>
      <c r="I35" s="1905" t="s">
        <v>3527</v>
      </c>
      <c r="J35" s="386">
        <f>SUMIF(107:107,I35,108:108)-SUMIF(107:107,C35,108:108)+100</f>
        <v>100</v>
      </c>
      <c r="K35" s="377">
        <v>2</v>
      </c>
      <c r="L35" s="2719"/>
      <c r="M35" s="2713"/>
      <c r="N35" s="2713"/>
      <c r="O35" s="2713"/>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5" t="s">
        <v>3528</v>
      </c>
      <c r="D36" s="386">
        <v>100</v>
      </c>
      <c r="E36" s="1906" t="s">
        <v>3528</v>
      </c>
      <c r="F36" s="412">
        <f>SUMIF(109:109,E36,110:110)-SUMIF(109:109,C36,110:110)+100</f>
        <v>100</v>
      </c>
      <c r="G36" s="1905" t="s">
        <v>3528</v>
      </c>
      <c r="H36" s="386">
        <f>SUMIF(109:109,G36,110:110)-SUMIF(109:109,C36,110:110)+100</f>
        <v>100</v>
      </c>
      <c r="I36" s="1906" t="s">
        <v>3515</v>
      </c>
      <c r="J36" s="386">
        <f>SUMIF(109:109,I36,110:110)-SUMIF(109:109,C36,110:110)+100</f>
        <v>101.5</v>
      </c>
      <c r="K36" s="377">
        <v>0.5</v>
      </c>
      <c r="L36" s="2719"/>
      <c r="M36" s="2713"/>
      <c r="N36" s="2713"/>
      <c r="O36" s="2713"/>
      <c r="P36" s="3708"/>
      <c r="Q36" s="1352" t="str">
        <f t="shared" si="11"/>
        <v>公共部分装修</v>
      </c>
      <c r="R36" s="705" t="s">
        <v>18</v>
      </c>
      <c r="S36" s="706">
        <f t="shared" si="12"/>
        <v>100</v>
      </c>
      <c r="T36" s="705" t="s">
        <v>18</v>
      </c>
      <c r="U36" s="706">
        <f t="shared" si="13"/>
        <v>100</v>
      </c>
      <c r="V36" s="705" t="s">
        <v>18</v>
      </c>
      <c r="W36" s="706">
        <f t="shared" si="14"/>
        <v>101.5</v>
      </c>
      <c r="X36" s="1355"/>
      <c r="Y36" s="3710"/>
      <c r="Z36" s="1356" t="str">
        <f t="shared" si="18"/>
        <v>公共部分装修</v>
      </c>
      <c r="AA36" s="1353">
        <f t="shared" si="15"/>
        <v>1</v>
      </c>
      <c r="AB36" s="1353">
        <f t="shared" si="16"/>
        <v>1</v>
      </c>
      <c r="AC36" s="1353">
        <f t="shared" si="17"/>
        <v>0.98522167487684731</v>
      </c>
    </row>
    <row r="37" spans="1:29" s="108" customFormat="1" ht="15">
      <c r="A37" s="424"/>
      <c r="B37" s="375" t="s">
        <v>1701</v>
      </c>
      <c r="C37" s="425">
        <f>'数据-取费表'!N6</f>
        <v>0.67</v>
      </c>
      <c r="D37" s="127">
        <v>100</v>
      </c>
      <c r="E37" s="425">
        <f>C37</f>
        <v>0.67</v>
      </c>
      <c r="F37" s="376">
        <f>LOOKUP(E37,112:112,113:113)-LOOKUP(C37,112:112,113:113)+100</f>
        <v>100</v>
      </c>
      <c r="G37" s="427">
        <f>C37</f>
        <v>0.67</v>
      </c>
      <c r="H37" s="127">
        <f>LOOKUP(G37,112:112,113:113)-LOOKUP(C37,112:112,113:113)+100</f>
        <v>100</v>
      </c>
      <c r="I37" s="426">
        <v>0.75</v>
      </c>
      <c r="J37" s="127">
        <f>LOOKUP(I37,112:112,113:113)-LOOKUP(C37,112:112,113:113)+100</f>
        <v>101</v>
      </c>
      <c r="K37" s="377">
        <v>1</v>
      </c>
      <c r="L37" s="2714"/>
      <c r="M37" s="2715"/>
      <c r="N37" s="2715"/>
      <c r="O37" s="2715"/>
      <c r="P37" s="3708"/>
      <c r="Q37" s="1343" t="str">
        <f t="shared" si="11"/>
        <v>成新度</v>
      </c>
      <c r="R37" s="701" t="s">
        <v>18</v>
      </c>
      <c r="S37" s="702">
        <f t="shared" si="12"/>
        <v>100</v>
      </c>
      <c r="T37" s="701" t="s">
        <v>18</v>
      </c>
      <c r="U37" s="702">
        <f t="shared" si="13"/>
        <v>100</v>
      </c>
      <c r="V37" s="701" t="s">
        <v>18</v>
      </c>
      <c r="W37" s="702">
        <f t="shared" si="14"/>
        <v>101</v>
      </c>
      <c r="X37" s="703"/>
      <c r="Y37" s="3710"/>
      <c r="Z37" s="52" t="str">
        <f t="shared" si="18"/>
        <v>成新度</v>
      </c>
      <c r="AA37" s="704">
        <f t="shared" si="15"/>
        <v>1</v>
      </c>
      <c r="AB37" s="704">
        <f t="shared" si="16"/>
        <v>1</v>
      </c>
      <c r="AC37" s="704">
        <f t="shared" si="17"/>
        <v>0.99009900990099009</v>
      </c>
    </row>
    <row r="38" spans="1:29" ht="15">
      <c r="A38" s="423"/>
      <c r="B38" s="375" t="s">
        <v>1702</v>
      </c>
      <c r="C38" s="1905" t="s">
        <v>3483</v>
      </c>
      <c r="D38" s="386">
        <v>100</v>
      </c>
      <c r="E38" s="1905" t="s">
        <v>3483</v>
      </c>
      <c r="F38" s="412">
        <f>SUMIF(114:114,E38,115:115)-SUMIF(114:114,C38,115:115)+100</f>
        <v>100</v>
      </c>
      <c r="G38" s="1905" t="s">
        <v>3483</v>
      </c>
      <c r="H38" s="386">
        <f>SUMIF(114:114,G38,115:115)-SUMIF(114:114,C38,115:115)+100</f>
        <v>100</v>
      </c>
      <c r="I38" s="1905" t="s">
        <v>3483</v>
      </c>
      <c r="J38" s="386">
        <f>SUMIF(114:114,I38,115:115)-SUMIF(114:114,C38,115:115)+100</f>
        <v>100</v>
      </c>
      <c r="K38" s="377">
        <v>1</v>
      </c>
      <c r="L38" s="2719"/>
      <c r="M38" s="2713"/>
      <c r="N38" s="2713"/>
      <c r="O38" s="2713"/>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5" t="s">
        <v>3488</v>
      </c>
      <c r="D39" s="386">
        <v>100</v>
      </c>
      <c r="E39" s="1905" t="s">
        <v>3488</v>
      </c>
      <c r="F39" s="412">
        <f>SUMIF(116:116,E39,117:117)-SUMIF(116:116,C39,117:117)+100</f>
        <v>100</v>
      </c>
      <c r="G39" s="1905" t="s">
        <v>3488</v>
      </c>
      <c r="H39" s="386">
        <f>SUMIF(116:116,G39,117:117)-SUMIF(116:116,C39,117:117)+100</f>
        <v>100</v>
      </c>
      <c r="I39" s="1906" t="s">
        <v>3489</v>
      </c>
      <c r="J39" s="386">
        <f>SUMIF(116:116,I39,117:117)-SUMIF(116:116,C39,117:117)+100</f>
        <v>97</v>
      </c>
      <c r="K39" s="377">
        <v>3</v>
      </c>
      <c r="L39" s="2719"/>
      <c r="M39" s="2713"/>
      <c r="N39" s="2713"/>
      <c r="O39" s="2713"/>
      <c r="P39" s="3708"/>
      <c r="Q39" s="1352" t="str">
        <f t="shared" si="11"/>
        <v>市政基础设施</v>
      </c>
      <c r="R39" s="705" t="s">
        <v>18</v>
      </c>
      <c r="S39" s="706">
        <f t="shared" si="12"/>
        <v>100</v>
      </c>
      <c r="T39" s="705" t="s">
        <v>18</v>
      </c>
      <c r="U39" s="706">
        <f t="shared" si="13"/>
        <v>100</v>
      </c>
      <c r="V39" s="705" t="s">
        <v>18</v>
      </c>
      <c r="W39" s="706">
        <f t="shared" si="14"/>
        <v>97</v>
      </c>
      <c r="X39" s="1355"/>
      <c r="Y39" s="3710"/>
      <c r="Z39" s="1356" t="str">
        <f t="shared" si="18"/>
        <v>市政基础设施</v>
      </c>
      <c r="AA39" s="1353">
        <f t="shared" si="15"/>
        <v>1</v>
      </c>
      <c r="AB39" s="1353">
        <f t="shared" si="16"/>
        <v>1</v>
      </c>
      <c r="AC39" s="1353">
        <f t="shared" si="17"/>
        <v>1.0309278350515463</v>
      </c>
    </row>
    <row r="40" spans="1:29" ht="15">
      <c r="A40" s="423"/>
      <c r="B40" s="375" t="s">
        <v>1704</v>
      </c>
      <c r="C40" s="1905" t="s">
        <v>3529</v>
      </c>
      <c r="D40" s="386">
        <v>100</v>
      </c>
      <c r="E40" s="1905" t="s">
        <v>3529</v>
      </c>
      <c r="F40" s="412">
        <f>SUMIF(118:118,E40,119:119)-SUMIF(118:118,C40,119:119)+100</f>
        <v>100</v>
      </c>
      <c r="G40" s="1905" t="s">
        <v>3529</v>
      </c>
      <c r="H40" s="386">
        <f>SUMIF(118:118,G40,119:119)-SUMIF(118:118,C40,119:119)+100</f>
        <v>100</v>
      </c>
      <c r="I40" s="1905" t="s">
        <v>3529</v>
      </c>
      <c r="J40" s="386">
        <f>SUMIF(118:118,I40,119:119)-SUMIF(118:118,C40,119:119)+100</f>
        <v>100</v>
      </c>
      <c r="K40" s="377">
        <v>1</v>
      </c>
      <c r="L40" s="2719"/>
      <c r="M40" s="2713"/>
      <c r="N40" s="2713"/>
      <c r="O40" s="2713"/>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5" t="s">
        <v>3507</v>
      </c>
      <c r="D42" s="386">
        <v>100</v>
      </c>
      <c r="E42" s="1905" t="s">
        <v>3507</v>
      </c>
      <c r="F42" s="412">
        <f>SUMIF(122:122,E42,123:123)-SUMIF(122:122,C42,123:123)+100</f>
        <v>100</v>
      </c>
      <c r="G42" s="1905" t="s">
        <v>3507</v>
      </c>
      <c r="H42" s="386">
        <f>SUMIF(122:122,G42,123:123)-SUMIF(122:122,C42,123:123)+100</f>
        <v>100</v>
      </c>
      <c r="I42" s="1905" t="s">
        <v>3515</v>
      </c>
      <c r="J42" s="386">
        <f>SUMIF(122:122,I42,123:123)-SUMIF(122:122,C42,123:123)+100</f>
        <v>101</v>
      </c>
      <c r="K42" s="377">
        <v>1</v>
      </c>
      <c r="L42" s="2719"/>
      <c r="M42" s="2713"/>
      <c r="N42" s="2713"/>
      <c r="O42" s="2713"/>
      <c r="P42" s="3708"/>
      <c r="Q42" s="1352" t="str">
        <f t="shared" si="11"/>
        <v>内部装修</v>
      </c>
      <c r="R42" s="705" t="s">
        <v>18</v>
      </c>
      <c r="S42" s="706">
        <f t="shared" si="12"/>
        <v>100</v>
      </c>
      <c r="T42" s="705" t="s">
        <v>18</v>
      </c>
      <c r="U42" s="706">
        <f t="shared" si="13"/>
        <v>100</v>
      </c>
      <c r="V42" s="705" t="s">
        <v>18</v>
      </c>
      <c r="W42" s="706">
        <f t="shared" si="14"/>
        <v>101</v>
      </c>
      <c r="X42" s="1355"/>
      <c r="Y42" s="3710"/>
      <c r="Z42" s="1356" t="str">
        <f t="shared" si="18"/>
        <v>内部装修</v>
      </c>
      <c r="AA42" s="1353">
        <f t="shared" si="15"/>
        <v>1</v>
      </c>
      <c r="AB42" s="1353">
        <f t="shared" si="16"/>
        <v>1</v>
      </c>
      <c r="AC42" s="1353">
        <f t="shared" si="17"/>
        <v>0.99009900990099009</v>
      </c>
    </row>
    <row r="43" spans="1:29" ht="28.8">
      <c r="A43" s="423"/>
      <c r="B43" s="375" t="s">
        <v>1707</v>
      </c>
      <c r="C43" s="1905" t="s">
        <v>3527</v>
      </c>
      <c r="D43" s="386">
        <v>100</v>
      </c>
      <c r="E43" s="1905" t="s">
        <v>3530</v>
      </c>
      <c r="F43" s="412">
        <f>SUMIF(124:124,E43,125:125)-SUMIF(124:124,C43,125:125)+100</f>
        <v>97</v>
      </c>
      <c r="G43" s="1905" t="s">
        <v>3530</v>
      </c>
      <c r="H43" s="386">
        <f>SUMIF(124:124,G43,125:125)-SUMIF(124:124,C43,125:125)+100</f>
        <v>97</v>
      </c>
      <c r="I43" s="1906" t="s">
        <v>3527</v>
      </c>
      <c r="J43" s="386">
        <f>SUMIF(124:124,I43,125:125)-SUMIF(124:124,C43,125:125)+100</f>
        <v>100</v>
      </c>
      <c r="K43" s="377">
        <v>3</v>
      </c>
      <c r="L43" s="2719"/>
      <c r="M43" s="2713"/>
      <c r="N43" s="2713"/>
      <c r="O43" s="2713"/>
      <c r="P43" s="3708"/>
      <c r="Q43" s="1352" t="str">
        <f t="shared" si="11"/>
        <v>内部装修维护情况</v>
      </c>
      <c r="R43" s="705" t="s">
        <v>18</v>
      </c>
      <c r="S43" s="706">
        <f t="shared" si="12"/>
        <v>97</v>
      </c>
      <c r="T43" s="705" t="s">
        <v>18</v>
      </c>
      <c r="U43" s="706">
        <f t="shared" si="13"/>
        <v>97</v>
      </c>
      <c r="V43" s="705" t="s">
        <v>18</v>
      </c>
      <c r="W43" s="706">
        <f t="shared" si="14"/>
        <v>100</v>
      </c>
      <c r="X43" s="1355"/>
      <c r="Y43" s="3710"/>
      <c r="Z43" s="1356" t="str">
        <f t="shared" si="18"/>
        <v>内部装修维护情况</v>
      </c>
      <c r="AA43" s="1353">
        <f t="shared" si="15"/>
        <v>1.0309278350515463</v>
      </c>
      <c r="AB43" s="1353">
        <f t="shared" si="16"/>
        <v>1.0309278350515463</v>
      </c>
      <c r="AC43" s="1353">
        <f t="shared" si="17"/>
        <v>1</v>
      </c>
    </row>
    <row r="44" spans="1:29" s="108" customFormat="1" ht="15">
      <c r="A44" s="424"/>
      <c r="B44" s="3471"/>
      <c r="C44" s="3486"/>
      <c r="D44" s="127">
        <v>100</v>
      </c>
      <c r="E44" s="3486"/>
      <c r="F44" s="376">
        <f>SUMIF(126:126,E44,127:127)-SUMIF(126:126,C44,127:127)+100</f>
        <v>100</v>
      </c>
      <c r="G44" s="3486"/>
      <c r="H44" s="127">
        <f>SUMIF(126:126,G44,127:127)-SUMIF(126:126,C44,127:127)+100</f>
        <v>100</v>
      </c>
      <c r="I44" s="3486"/>
      <c r="J44" s="127">
        <f>SUMIF(126:126,I44,127:127)-SUMIF(126:126,C44,127:127)+100</f>
        <v>100</v>
      </c>
      <c r="K44" s="1893"/>
      <c r="L44" s="2714"/>
      <c r="M44" s="2715"/>
      <c r="N44" s="2715"/>
      <c r="O44" s="2715"/>
      <c r="P44" s="3708"/>
      <c r="Q44" s="1343">
        <f t="shared" si="11"/>
        <v>0</v>
      </c>
      <c r="R44" s="701" t="s">
        <v>18</v>
      </c>
      <c r="S44" s="702">
        <f t="shared" si="12"/>
        <v>100</v>
      </c>
      <c r="T44" s="701" t="s">
        <v>18</v>
      </c>
      <c r="U44" s="702">
        <f t="shared" si="13"/>
        <v>100</v>
      </c>
      <c r="V44" s="701" t="s">
        <v>18</v>
      </c>
      <c r="W44" s="702">
        <f t="shared" si="14"/>
        <v>100</v>
      </c>
      <c r="X44" s="703"/>
      <c r="Y44" s="3710"/>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售价!N5</f>
        <v>78115</v>
      </c>
      <c r="J47" s="1159"/>
      <c r="K47" s="1911"/>
      <c r="L47" s="2721"/>
      <c r="M47" s="2722"/>
      <c r="N47" s="2713"/>
      <c r="O47" s="2722"/>
      <c r="P47" s="3703" t="str">
        <f>A47</f>
        <v>成交单价（元/平方米）</v>
      </c>
      <c r="Q47" s="3703"/>
      <c r="R47" s="3704">
        <f>E47</f>
        <v>82249</v>
      </c>
      <c r="S47" s="3704"/>
      <c r="T47" s="3704">
        <f>G47</f>
        <v>79635</v>
      </c>
      <c r="U47" s="3704"/>
      <c r="V47" s="3704">
        <f>I47</f>
        <v>78115</v>
      </c>
      <c r="W47" s="3704"/>
      <c r="X47" s="690"/>
      <c r="Y47" s="712"/>
      <c r="Z47" s="690"/>
      <c r="AA47" s="690"/>
      <c r="AB47" s="690"/>
      <c r="AC47" s="690"/>
    </row>
    <row r="48" spans="1:29" ht="15" thickBot="1">
      <c r="A48" s="437" t="s">
        <v>1709</v>
      </c>
      <c r="B48" s="438"/>
      <c r="C48" s="1160">
        <f>R49</f>
        <v>80257</v>
      </c>
      <c r="D48" s="2314" t="s">
        <v>2138</v>
      </c>
      <c r="E48" s="1161">
        <f>R48</f>
        <v>84015</v>
      </c>
      <c r="F48" s="2315"/>
      <c r="G48" s="1160">
        <f>T48</f>
        <v>79691</v>
      </c>
      <c r="H48" s="2315"/>
      <c r="I48" s="1161">
        <f>V48</f>
        <v>77064</v>
      </c>
      <c r="J48" s="2315"/>
      <c r="K48" s="2316">
        <f>F48+H48+J48</f>
        <v>0</v>
      </c>
      <c r="L48" s="2721"/>
      <c r="M48" s="2722"/>
      <c r="N48" s="2722"/>
      <c r="O48" s="2722"/>
      <c r="P48" s="3703" t="str">
        <f>A48</f>
        <v>比较价值（元/平方米）</v>
      </c>
      <c r="Q48" s="3703"/>
      <c r="R48" s="3704">
        <f>IF(F1="售价",ROUND(PRODUCT(R47,AA7:AA46),0),ROUND(PRODUCT(R47,AA7:AA46),1))</f>
        <v>84015</v>
      </c>
      <c r="S48" s="3704"/>
      <c r="T48" s="3704">
        <f>IF(F1="售价",ROUND(PRODUCT(T47,AB7:AB46),0),ROUND(PRODUCT(T47,AB7:AB46),1))</f>
        <v>79691</v>
      </c>
      <c r="U48" s="3704"/>
      <c r="V48" s="3704">
        <f>IF(F1="售价",ROUND(PRODUCT(V47,AC7:AC46),0),ROUND(PRODUCT(V47,AC7:AC46),1))</f>
        <v>77064</v>
      </c>
      <c r="W48" s="3704"/>
      <c r="X48" s="690"/>
      <c r="Y48" s="690"/>
      <c r="Z48" s="690"/>
      <c r="AA48" s="690"/>
      <c r="AB48" s="690"/>
      <c r="AC48" s="690"/>
    </row>
    <row r="49" spans="1:29" ht="15" thickBot="1">
      <c r="A49" s="441" t="s">
        <v>1710</v>
      </c>
      <c r="B49" s="442"/>
      <c r="C49" s="1162">
        <f>R49</f>
        <v>80257</v>
      </c>
      <c r="D49" s="1163"/>
      <c r="E49" s="1163"/>
      <c r="F49" s="1163"/>
      <c r="G49" s="1163"/>
      <c r="H49" s="1163"/>
      <c r="I49" s="1163"/>
      <c r="J49" s="1163"/>
      <c r="K49" s="1912"/>
      <c r="L49" s="2721"/>
      <c r="M49" s="2722"/>
      <c r="N49" s="2722"/>
      <c r="O49" s="2722"/>
      <c r="P49" s="3700" t="str">
        <f>A49</f>
        <v>估价对象XX用房的比较价值（楼面单价，元/平方米）</v>
      </c>
      <c r="Q49" s="3701"/>
      <c r="R49" s="3702">
        <f>IF(F1="售价",ROUND(IF(D48="简单平均",AVERAGE(R48:V48),R48*F48+T48*H48+V48*J48),0),ROUND(IF(D48="简单平均",AVERAGE(R48:V48),R48*F48+T48*H48+V48*J48),1))</f>
        <v>80257</v>
      </c>
      <c r="S49" s="3702"/>
      <c r="T49" s="3702"/>
      <c r="U49" s="3702"/>
      <c r="V49" s="3702"/>
      <c r="W49" s="37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2.1471385670342569E-2</v>
      </c>
      <c r="F52" s="449" t="str">
        <f>IF(OR(E52&gt;=0.3,E52&lt;=-0.3),"超过30%","")</f>
        <v/>
      </c>
      <c r="G52" s="448">
        <f>IF(G47&lt;G48,G48/G47-1,G47/G48-1)</f>
        <v>7.0320838827142573E-4</v>
      </c>
      <c r="H52" s="449" t="str">
        <f>IF(OR(G52&gt;=0.3,G52&lt;=-0.3),"超过30%","")</f>
        <v/>
      </c>
      <c r="I52" s="448">
        <f>IF(I47&lt;I48,I48/I47-1,I47/I48-1)</f>
        <v>1.3638015156233863E-2</v>
      </c>
      <c r="J52" s="449" t="str">
        <f>IF(OR(I52&gt;=0.3,I52&lt;=-0.3),"超过30%","")</f>
        <v/>
      </c>
      <c r="K52" s="2727"/>
      <c r="L52" s="2723"/>
      <c r="M52" s="2722"/>
      <c r="N52" s="2722"/>
      <c r="O52" s="2722"/>
    </row>
    <row r="53" spans="1:29" ht="13.5" customHeight="1">
      <c r="A53" s="2722"/>
      <c r="B53" s="2722"/>
      <c r="C53" s="446" t="s">
        <v>1712</v>
      </c>
      <c r="D53" s="450"/>
      <c r="E53" s="448">
        <f>IF(E48&lt;G48,G48/E48-1,E48/G48-1)</f>
        <v>5.4259577618551713E-2</v>
      </c>
      <c r="F53" s="449" t="str">
        <f>IF(OR(E53&gt;=0.2,E53&lt;=-0.2),"超过20%","")</f>
        <v/>
      </c>
      <c r="G53" s="448">
        <f>IF(G48&lt;I48,I48/G48-1,G48/I48-1)</f>
        <v>3.4088549776808863E-2</v>
      </c>
      <c r="H53" s="449" t="str">
        <f>IF(OR(G53&gt;=0.2,G53&lt;=-0.2),"超过20%","")</f>
        <v/>
      </c>
      <c r="I53" s="448">
        <f>IF(I48&lt;E48,E48/I48-1,I48/E48-1)</f>
        <v>9.0197757707879189E-2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1.9458490686807828E-2</v>
      </c>
      <c r="H54" s="449" t="str">
        <f>IF(OR(G54&gt;=0.3,G54&lt;=-0.3),"超过30%","")</f>
        <v/>
      </c>
      <c r="I54" s="448">
        <f>IF(I47&lt;E47,E47/I47-1,I47/E47-1)</f>
        <v>5.2921974012673623E-2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101</v>
      </c>
      <c r="I59" s="461">
        <v>101</v>
      </c>
      <c r="J59" s="461">
        <v>101</v>
      </c>
      <c r="K59" s="461">
        <v>101.5</v>
      </c>
      <c r="L59" s="461">
        <v>101.5</v>
      </c>
      <c r="M59" s="462">
        <v>101.5</v>
      </c>
      <c r="N59" s="461">
        <v>102</v>
      </c>
      <c r="O59" s="462">
        <v>102</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2" t="s">
        <v>3526</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3525</v>
      </c>
      <c r="D90" s="416" t="s">
        <v>3524</v>
      </c>
      <c r="E90" s="416" t="s">
        <v>3533</v>
      </c>
      <c r="F90" s="503"/>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3500</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5" t="s">
        <v>3471</v>
      </c>
      <c r="G100" s="3476" t="s">
        <v>3472</v>
      </c>
      <c r="H100" s="3476" t="s">
        <v>3473</v>
      </c>
      <c r="I100" s="479"/>
      <c r="J100" s="479"/>
      <c r="K100" s="480"/>
      <c r="L100" s="481"/>
      <c r="M100" s="482"/>
      <c r="N100" s="933"/>
      <c r="O100" s="933"/>
      <c r="P100" s="1919"/>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7">
        <v>97</v>
      </c>
      <c r="E104" s="3477">
        <v>94</v>
      </c>
      <c r="F104" s="3477">
        <v>91</v>
      </c>
      <c r="G104" s="3477">
        <v>88</v>
      </c>
      <c r="H104" s="485"/>
      <c r="I104" s="485"/>
      <c r="J104" s="485"/>
      <c r="K104" s="485"/>
      <c r="L104" s="485"/>
      <c r="M104" s="485"/>
      <c r="N104" s="934"/>
      <c r="O104" s="934"/>
      <c r="P104" s="1920"/>
      <c r="Q104" s="508"/>
    </row>
    <row r="105" spans="1:17" ht="15" thickTop="1">
      <c r="A105" s="548"/>
      <c r="B105" s="487" t="s">
        <v>1738</v>
      </c>
      <c r="C105" s="3469" t="s">
        <v>3474</v>
      </c>
      <c r="D105" s="3469" t="s">
        <v>3446</v>
      </c>
      <c r="E105" s="3478" t="s">
        <v>3475</v>
      </c>
      <c r="F105" s="3478" t="s">
        <v>3476</v>
      </c>
      <c r="G105" s="3467" t="s">
        <v>3477</v>
      </c>
      <c r="H105" s="532"/>
      <c r="I105" s="532"/>
      <c r="J105" s="532"/>
      <c r="K105" s="533"/>
      <c r="L105" s="534"/>
      <c r="M105" s="535"/>
      <c r="N105" s="933"/>
      <c r="O105" s="933"/>
      <c r="P105" s="1919"/>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3467" t="s">
        <v>3478</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9" t="s">
        <v>3479</v>
      </c>
      <c r="D109" s="3479" t="s">
        <v>3480</v>
      </c>
      <c r="E109" s="3479" t="s">
        <v>3481</v>
      </c>
      <c r="F109" s="3467" t="s">
        <v>3482</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99.5</v>
      </c>
      <c r="E110" s="493">
        <f t="shared" si="29"/>
        <v>99</v>
      </c>
      <c r="F110" s="493">
        <f t="shared" si="29"/>
        <v>98.5</v>
      </c>
      <c r="G110" s="493">
        <f t="shared" si="29"/>
        <v>98</v>
      </c>
      <c r="H110" s="493">
        <f t="shared" si="29"/>
        <v>97.5</v>
      </c>
      <c r="I110" s="493">
        <f t="shared" si="29"/>
        <v>97</v>
      </c>
      <c r="J110" s="493">
        <f t="shared" si="29"/>
        <v>96.5</v>
      </c>
      <c r="K110" s="493">
        <f t="shared" si="29"/>
        <v>96</v>
      </c>
      <c r="L110" s="493">
        <f t="shared" si="29"/>
        <v>95.5</v>
      </c>
      <c r="M110" s="493">
        <f t="shared" si="29"/>
        <v>95</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3469" t="s">
        <v>3483</v>
      </c>
      <c r="D114" s="3469" t="s">
        <v>3484</v>
      </c>
      <c r="E114" s="3467" t="s">
        <v>3485</v>
      </c>
      <c r="F114" s="3467" t="s">
        <v>3486</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3487</v>
      </c>
      <c r="D116" s="3469" t="s">
        <v>3488</v>
      </c>
      <c r="E116" s="3469" t="s">
        <v>3489</v>
      </c>
      <c r="F116" s="3469" t="s">
        <v>3490</v>
      </c>
      <c r="G116" s="3469" t="s">
        <v>3491</v>
      </c>
      <c r="H116" s="532"/>
      <c r="I116" s="532"/>
      <c r="J116" s="532"/>
      <c r="K116" s="533"/>
      <c r="L116" s="534"/>
      <c r="M116" s="535"/>
      <c r="N116" s="933"/>
      <c r="O116" s="933"/>
      <c r="P116" s="1919"/>
      <c r="Q116" s="453"/>
    </row>
    <row r="117" spans="1:17" ht="14.4" thickBot="1">
      <c r="A117" s="483"/>
      <c r="B117" s="492"/>
      <c r="C117" s="493">
        <v>100</v>
      </c>
      <c r="D117" s="493">
        <f>C117-$K39</f>
        <v>97</v>
      </c>
      <c r="E117" s="493">
        <f>D117-$K39</f>
        <v>94</v>
      </c>
      <c r="F117" s="493">
        <f>E117-$K39</f>
        <v>91</v>
      </c>
      <c r="G117" s="493">
        <f>F117-$K39</f>
        <v>88</v>
      </c>
      <c r="H117" s="493"/>
      <c r="I117" s="493"/>
      <c r="J117" s="493"/>
      <c r="K117" s="493"/>
      <c r="L117" s="493"/>
      <c r="M117" s="494"/>
      <c r="N117" s="934"/>
      <c r="O117" s="934"/>
      <c r="P117" s="1919"/>
      <c r="Q117" s="453"/>
    </row>
    <row r="118" spans="1:17" ht="15" thickTop="1">
      <c r="A118" s="548"/>
      <c r="B118" s="487" t="s">
        <v>1743</v>
      </c>
      <c r="C118" s="3467" t="s">
        <v>3492</v>
      </c>
      <c r="D118" s="3467" t="s">
        <v>3493</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9" t="s">
        <v>3494</v>
      </c>
      <c r="D122" s="3479" t="s">
        <v>3495</v>
      </c>
      <c r="E122" s="3479" t="s">
        <v>3496</v>
      </c>
      <c r="F122" s="3467" t="s">
        <v>3497</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19"/>
      <c r="Q125" s="453"/>
    </row>
    <row r="126" spans="1:17" s="422" customFormat="1" ht="15" thickTop="1">
      <c r="A126" s="542"/>
      <c r="B126" s="487">
        <f>B44</f>
        <v>0</v>
      </c>
      <c r="C126" s="3487" t="s">
        <v>3552</v>
      </c>
      <c r="D126" s="3487" t="s">
        <v>3553</v>
      </c>
      <c r="E126" s="3487" t="s">
        <v>3554</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tabSelected="1" workbookViewId="0">
      <selection activeCell="B5" sqref="B5"/>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3504</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3506</v>
      </c>
      <c r="S2" s="3464" t="s">
        <v>3508</v>
      </c>
      <c r="T2" s="3464" t="s">
        <v>3509</v>
      </c>
      <c r="V2" s="3464" t="s">
        <v>3519</v>
      </c>
      <c r="W2" s="3464" t="s">
        <v>3522</v>
      </c>
      <c r="X2" s="3464" t="s">
        <v>3523</v>
      </c>
    </row>
    <row r="3" spans="1:24" s="3464" customFormat="1" ht="34.799999999999997" thickBot="1">
      <c r="A3" s="3462" t="s">
        <v>3425</v>
      </c>
      <c r="B3" s="3462" t="s">
        <v>3510</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3511</v>
      </c>
      <c r="S3" s="3464" t="s">
        <v>3508</v>
      </c>
      <c r="T3" s="3464" t="s">
        <v>3512</v>
      </c>
      <c r="V3" s="3464" t="s">
        <v>3518</v>
      </c>
      <c r="W3" s="3464" t="s">
        <v>3522</v>
      </c>
      <c r="X3" s="3464" t="s">
        <v>3523</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3555</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3514</v>
      </c>
      <c r="S5" s="3464" t="s">
        <v>3516</v>
      </c>
      <c r="T5" s="3464" t="s">
        <v>3513</v>
      </c>
      <c r="V5" s="3464" t="s">
        <v>3517</v>
      </c>
      <c r="W5" s="3464" t="s">
        <v>3520</v>
      </c>
      <c r="X5" s="3464" t="s">
        <v>3521</v>
      </c>
    </row>
    <row r="6" spans="1:24">
      <c r="K6">
        <f>2025-2008</f>
        <v>17</v>
      </c>
    </row>
    <row r="7" spans="1:24">
      <c r="K7">
        <f>1-K6/60</f>
        <v>0.71666666666666667</v>
      </c>
      <c r="L7">
        <f>(K7+K8)/2</f>
        <v>0.7583333333333333</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25" workbookViewId="0">
      <selection activeCell="F49" sqref="F49"/>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3" t="s">
        <v>3536</v>
      </c>
      <c r="B1" s="3483" t="s">
        <v>3535</v>
      </c>
    </row>
    <row r="2" spans="1:7">
      <c r="A2" s="3483" t="s">
        <v>3546</v>
      </c>
      <c r="B2" s="3483" t="s">
        <v>3537</v>
      </c>
      <c r="C2" s="3483" t="s">
        <v>3538</v>
      </c>
      <c r="D2" s="3483" t="s">
        <v>3539</v>
      </c>
      <c r="E2" s="3483" t="s">
        <v>3540</v>
      </c>
      <c r="F2" s="3483" t="s">
        <v>3541</v>
      </c>
      <c r="G2" s="3483" t="s">
        <v>3542</v>
      </c>
    </row>
    <row r="3" spans="1:7">
      <c r="B3">
        <v>193.49</v>
      </c>
      <c r="C3">
        <v>11329400</v>
      </c>
      <c r="D3">
        <f>ROUND(C3/B3,0)</f>
        <v>58553</v>
      </c>
      <c r="E3">
        <v>11183520</v>
      </c>
      <c r="F3">
        <f>ROUND(E3/B3,0)</f>
        <v>57799</v>
      </c>
      <c r="G3" s="3484">
        <v>45608</v>
      </c>
    </row>
    <row r="4" spans="1:7">
      <c r="A4" s="3485" t="s">
        <v>3543</v>
      </c>
    </row>
    <row r="26" spans="1:7">
      <c r="A26" s="3483" t="s">
        <v>3545</v>
      </c>
      <c r="B26" s="3483" t="s">
        <v>3544</v>
      </c>
    </row>
    <row r="27" spans="1:7">
      <c r="A27" s="3483" t="s">
        <v>3547</v>
      </c>
      <c r="B27" s="3483" t="s">
        <v>3537</v>
      </c>
      <c r="C27" s="3483" t="s">
        <v>3538</v>
      </c>
      <c r="D27" s="3483" t="s">
        <v>3539</v>
      </c>
      <c r="E27" s="3483" t="s">
        <v>3540</v>
      </c>
      <c r="F27" s="3483" t="s">
        <v>3541</v>
      </c>
      <c r="G27" s="3483" t="s">
        <v>3542</v>
      </c>
    </row>
    <row r="28" spans="1:7">
      <c r="B28">
        <v>79.900000000000006</v>
      </c>
      <c r="C28">
        <v>6729180</v>
      </c>
      <c r="D28">
        <f>ROUND(C28/B28,0)</f>
        <v>84220</v>
      </c>
      <c r="E28">
        <v>4306675</v>
      </c>
      <c r="F28">
        <f>ROUND(E28/B28,0)</f>
        <v>53901</v>
      </c>
      <c r="G28" s="3484">
        <v>45556</v>
      </c>
    </row>
    <row r="29" spans="1:7">
      <c r="A29" s="3485" t="s">
        <v>3548</v>
      </c>
    </row>
    <row r="49" spans="1:7">
      <c r="A49" s="3483" t="s">
        <v>3550</v>
      </c>
      <c r="B49" s="3483" t="s">
        <v>3549</v>
      </c>
    </row>
    <row r="50" spans="1:7">
      <c r="A50" s="3483" t="s">
        <v>3546</v>
      </c>
      <c r="B50" s="3483" t="s">
        <v>3537</v>
      </c>
      <c r="C50" s="3483" t="s">
        <v>3538</v>
      </c>
      <c r="D50" s="3483" t="s">
        <v>3539</v>
      </c>
      <c r="E50" s="3483" t="s">
        <v>3540</v>
      </c>
      <c r="F50" s="3483" t="s">
        <v>3541</v>
      </c>
      <c r="G50" s="3483" t="s">
        <v>3542</v>
      </c>
    </row>
    <row r="51" spans="1:7">
      <c r="B51">
        <v>127.43</v>
      </c>
      <c r="C51">
        <v>12376044.33</v>
      </c>
      <c r="D51">
        <f>ROUND(C51/B51,0)</f>
        <v>97120</v>
      </c>
      <c r="E51">
        <v>7920668.3799999999</v>
      </c>
      <c r="F51">
        <f>ROUND(E51/B51,0)</f>
        <v>62157</v>
      </c>
      <c r="G51" s="3484">
        <v>45556</v>
      </c>
    </row>
    <row r="52" spans="1:7">
      <c r="B52" s="3485" t="s">
        <v>3551</v>
      </c>
    </row>
  </sheetData>
  <phoneticPr fontId="134" type="noConversion"/>
  <hyperlinks>
    <hyperlink ref="A4" r:id="rId1"/>
    <hyperlink ref="A29" r:id="rId2"/>
    <hyperlink ref="B52"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5"/>
      <c r="Y4" s="3728" t="s">
        <v>1775</v>
      </c>
      <c r="Z4" s="3729"/>
      <c r="AA4" s="3715" t="s">
        <v>1771</v>
      </c>
      <c r="AB4" s="3734" t="s">
        <v>1772</v>
      </c>
      <c r="AC4" s="3715" t="s">
        <v>1773</v>
      </c>
    </row>
    <row r="5" spans="1:29">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5"/>
      <c r="Y5" s="3730"/>
      <c r="Z5" s="3731"/>
      <c r="AA5" s="3716"/>
      <c r="AB5" s="3734"/>
      <c r="AC5" s="3716"/>
    </row>
    <row r="6" spans="1:29" ht="1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5"/>
      <c r="Y6" s="3732"/>
      <c r="Z6" s="3733"/>
      <c r="AA6" s="3717"/>
      <c r="AB6" s="3734"/>
      <c r="AC6" s="3717"/>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39" t="s">
        <v>1683</v>
      </c>
      <c r="Q8" s="3740"/>
      <c r="R8" s="701" t="s">
        <v>14</v>
      </c>
      <c r="S8" s="702">
        <f t="shared" si="0"/>
        <v>100</v>
      </c>
      <c r="T8" s="701" t="s">
        <v>14</v>
      </c>
      <c r="U8" s="702">
        <f t="shared" si="1"/>
        <v>100</v>
      </c>
      <c r="V8" s="701" t="s">
        <v>14</v>
      </c>
      <c r="W8" s="702">
        <f t="shared" si="2"/>
        <v>100</v>
      </c>
      <c r="X8" s="703"/>
      <c r="Y8" s="3739" t="s">
        <v>1683</v>
      </c>
      <c r="Z8" s="374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4"/>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3"/>
      <c r="Q16" s="1352"/>
      <c r="R16" s="705"/>
      <c r="S16" s="706"/>
      <c r="T16" s="705"/>
      <c r="U16" s="706"/>
      <c r="V16" s="705"/>
      <c r="W16" s="706"/>
      <c r="X16" s="1355"/>
      <c r="Y16" s="370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13"/>
      <c r="Q18" s="1352"/>
      <c r="R18" s="705"/>
      <c r="S18" s="706"/>
      <c r="T18" s="705"/>
      <c r="U18" s="706"/>
      <c r="V18" s="705"/>
      <c r="W18" s="706"/>
      <c r="X18" s="1355"/>
      <c r="Y18" s="3706"/>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13"/>
      <c r="Q20" s="1352"/>
      <c r="R20" s="705"/>
      <c r="S20" s="706"/>
      <c r="T20" s="705"/>
      <c r="U20" s="706"/>
      <c r="V20" s="705"/>
      <c r="W20" s="706"/>
      <c r="X20" s="1355"/>
      <c r="Y20" s="3706"/>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13"/>
      <c r="Q22" s="1352"/>
      <c r="R22" s="705"/>
      <c r="S22" s="706"/>
      <c r="T22" s="705"/>
      <c r="U22" s="706"/>
      <c r="V22" s="705"/>
      <c r="W22" s="706"/>
      <c r="X22" s="1355"/>
      <c r="Y22" s="3706"/>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13"/>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03" t="str">
        <f>A47</f>
        <v>成交单价（元/平方米）</v>
      </c>
      <c r="Q47" s="3703"/>
      <c r="R47" s="3734">
        <f>E47</f>
        <v>0</v>
      </c>
      <c r="S47" s="3734"/>
      <c r="T47" s="3734">
        <f>G47</f>
        <v>0</v>
      </c>
      <c r="U47" s="3734"/>
      <c r="V47" s="3734">
        <f>I47</f>
        <v>0</v>
      </c>
      <c r="W47" s="3734"/>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52" t="s">
        <v>1775</v>
      </c>
      <c r="Q4" s="3753"/>
      <c r="R4" s="3756" t="s">
        <v>1771</v>
      </c>
      <c r="S4" s="3757"/>
      <c r="T4" s="3756" t="s">
        <v>1772</v>
      </c>
      <c r="U4" s="3757"/>
      <c r="V4" s="3758" t="s">
        <v>1773</v>
      </c>
      <c r="W4" s="3758"/>
      <c r="X4" s="1955"/>
      <c r="Y4" s="3756" t="s">
        <v>1775</v>
      </c>
      <c r="Z4" s="3757"/>
      <c r="AA4" s="3760" t="s">
        <v>1771</v>
      </c>
      <c r="AB4" s="3760" t="s">
        <v>1772</v>
      </c>
      <c r="AC4" s="3749" t="s">
        <v>1773</v>
      </c>
    </row>
    <row r="5" spans="1:29">
      <c r="A5" s="358"/>
      <c r="B5" s="359"/>
      <c r="C5" s="3737" t="s">
        <v>1673</v>
      </c>
      <c r="D5" s="3738"/>
      <c r="E5" s="3744" t="s">
        <v>1674</v>
      </c>
      <c r="F5" s="3745"/>
      <c r="G5" s="3737" t="s">
        <v>1675</v>
      </c>
      <c r="H5" s="3738"/>
      <c r="I5" s="3737" t="s">
        <v>1676</v>
      </c>
      <c r="J5" s="3738"/>
      <c r="K5" s="559"/>
      <c r="L5" s="2712"/>
      <c r="M5" s="2713"/>
      <c r="N5" s="2713"/>
      <c r="O5" s="2713"/>
      <c r="P5" s="3754"/>
      <c r="Q5" s="3725"/>
      <c r="R5" s="3730"/>
      <c r="S5" s="3731"/>
      <c r="T5" s="3730"/>
      <c r="U5" s="3731"/>
      <c r="V5" s="3734"/>
      <c r="W5" s="3734"/>
      <c r="X5" s="1355"/>
      <c r="Y5" s="3730"/>
      <c r="Z5" s="3731"/>
      <c r="AA5" s="3716"/>
      <c r="AB5" s="3716"/>
      <c r="AC5" s="3750"/>
    </row>
    <row r="6" spans="1:29" ht="15" thickBot="1">
      <c r="A6" s="360"/>
      <c r="B6" s="361"/>
      <c r="C6" s="3735" t="s">
        <v>1677</v>
      </c>
      <c r="D6" s="3736"/>
      <c r="E6" s="3742" t="s">
        <v>1677</v>
      </c>
      <c r="F6" s="3743"/>
      <c r="G6" s="3735" t="s">
        <v>1677</v>
      </c>
      <c r="H6" s="3736"/>
      <c r="I6" s="3735" t="s">
        <v>1677</v>
      </c>
      <c r="J6" s="3736"/>
      <c r="K6" s="559" t="s">
        <v>1678</v>
      </c>
      <c r="L6" s="2712"/>
      <c r="M6" s="2713"/>
      <c r="N6" s="2713"/>
      <c r="O6" s="2713"/>
      <c r="P6" s="3755"/>
      <c r="Q6" s="3727"/>
      <c r="R6" s="3730"/>
      <c r="S6" s="3731"/>
      <c r="T6" s="3732"/>
      <c r="U6" s="3733"/>
      <c r="V6" s="3734"/>
      <c r="W6" s="3734"/>
      <c r="X6" s="1355"/>
      <c r="Y6" s="3732"/>
      <c r="Z6" s="3733"/>
      <c r="AA6" s="3717"/>
      <c r="AB6" s="3717"/>
      <c r="AC6" s="3751"/>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9" t="s">
        <v>1683</v>
      </c>
      <c r="Q8" s="3740"/>
      <c r="R8" s="701" t="s">
        <v>14</v>
      </c>
      <c r="S8" s="702">
        <f t="shared" si="0"/>
        <v>100</v>
      </c>
      <c r="T8" s="701" t="s">
        <v>14</v>
      </c>
      <c r="U8" s="702">
        <f t="shared" si="1"/>
        <v>100</v>
      </c>
      <c r="V8" s="701" t="s">
        <v>14</v>
      </c>
      <c r="W8" s="702">
        <f t="shared" si="2"/>
        <v>100</v>
      </c>
      <c r="X8" s="703"/>
      <c r="Y8" s="3739" t="s">
        <v>1683</v>
      </c>
      <c r="Z8" s="3740"/>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4"/>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13"/>
      <c r="Q16" s="1352"/>
      <c r="R16" s="705"/>
      <c r="S16" s="706"/>
      <c r="T16" s="705"/>
      <c r="U16" s="706"/>
      <c r="V16" s="705"/>
      <c r="W16" s="706"/>
      <c r="X16" s="1355"/>
      <c r="Y16" s="3706"/>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13"/>
      <c r="Q18" s="1352"/>
      <c r="R18" s="705"/>
      <c r="S18" s="706"/>
      <c r="T18" s="705"/>
      <c r="U18" s="706"/>
      <c r="V18" s="705"/>
      <c r="W18" s="706"/>
      <c r="X18" s="1355"/>
      <c r="Y18" s="3706"/>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13"/>
      <c r="Q20" s="1352"/>
      <c r="R20" s="705"/>
      <c r="S20" s="706"/>
      <c r="T20" s="705"/>
      <c r="U20" s="706"/>
      <c r="V20" s="705"/>
      <c r="W20" s="706"/>
      <c r="X20" s="1355"/>
      <c r="Y20" s="3706"/>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13"/>
      <c r="Q22" s="1352"/>
      <c r="R22" s="705"/>
      <c r="S22" s="706"/>
      <c r="T22" s="705"/>
      <c r="U22" s="706"/>
      <c r="V22" s="705"/>
      <c r="W22" s="706"/>
      <c r="X22" s="1355"/>
      <c r="Y22" s="3706"/>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13"/>
      <c r="Q24" s="1352"/>
      <c r="R24" s="705"/>
      <c r="S24" s="706"/>
      <c r="T24" s="705"/>
      <c r="U24" s="706"/>
      <c r="V24" s="705"/>
      <c r="W24" s="706"/>
      <c r="X24" s="1355"/>
      <c r="Y24" s="3706"/>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13"/>
      <c r="Q26" s="1352"/>
      <c r="R26" s="705"/>
      <c r="S26" s="706"/>
      <c r="T26" s="705"/>
      <c r="U26" s="706"/>
      <c r="V26" s="705"/>
      <c r="W26" s="706"/>
      <c r="X26" s="1355"/>
      <c r="Y26" s="3706"/>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14" t="str">
        <f>A48</f>
        <v>成交单价（元/平方米）</v>
      </c>
      <c r="Q48" s="3703"/>
      <c r="R48" s="3704">
        <f>E48</f>
        <v>0</v>
      </c>
      <c r="S48" s="3704"/>
      <c r="T48" s="3704">
        <f>G48</f>
        <v>0</v>
      </c>
      <c r="U48" s="3704"/>
      <c r="V48" s="3704">
        <f>I48</f>
        <v>0</v>
      </c>
      <c r="W48" s="3704"/>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c r="A5" s="358"/>
      <c r="B5" s="359"/>
      <c r="C5" s="3737" t="s">
        <v>1673</v>
      </c>
      <c r="D5" s="3738"/>
      <c r="E5" s="3744" t="s">
        <v>1674</v>
      </c>
      <c r="F5" s="3745"/>
      <c r="G5" s="3737" t="s">
        <v>1675</v>
      </c>
      <c r="H5" s="3738"/>
      <c r="I5" s="3737" t="s">
        <v>1676</v>
      </c>
      <c r="J5" s="3738"/>
      <c r="K5" s="559"/>
      <c r="L5" s="913"/>
      <c r="M5" s="914"/>
      <c r="N5" s="914"/>
      <c r="O5" s="914"/>
      <c r="P5" s="3724"/>
      <c r="Q5" s="3725"/>
      <c r="R5" s="3730"/>
      <c r="S5" s="3731"/>
      <c r="T5" s="3730"/>
      <c r="U5" s="3731"/>
      <c r="V5" s="3734"/>
      <c r="W5" s="3734"/>
      <c r="X5" s="1355"/>
      <c r="Y5" s="3730"/>
      <c r="Z5" s="3731"/>
      <c r="AA5" s="3716"/>
      <c r="AB5" s="3716"/>
      <c r="AC5" s="3716"/>
    </row>
    <row r="6" spans="1:29" ht="15" thickBot="1">
      <c r="A6" s="360"/>
      <c r="B6" s="361"/>
      <c r="C6" s="3735" t="s">
        <v>1677</v>
      </c>
      <c r="D6" s="3736"/>
      <c r="E6" s="3742" t="s">
        <v>1677</v>
      </c>
      <c r="F6" s="3743"/>
      <c r="G6" s="3735" t="s">
        <v>1677</v>
      </c>
      <c r="H6" s="3736"/>
      <c r="I6" s="3735" t="s">
        <v>1677</v>
      </c>
      <c r="J6" s="3736"/>
      <c r="K6" s="559" t="s">
        <v>1678</v>
      </c>
      <c r="L6" s="913"/>
      <c r="M6" s="914"/>
      <c r="N6" s="914"/>
      <c r="O6" s="914"/>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9" t="s">
        <v>1683</v>
      </c>
      <c r="Q8" s="3740"/>
      <c r="R8" s="701" t="s">
        <v>14</v>
      </c>
      <c r="S8" s="702">
        <f t="shared" si="0"/>
        <v>100</v>
      </c>
      <c r="T8" s="701" t="s">
        <v>14</v>
      </c>
      <c r="U8" s="702">
        <f t="shared" si="1"/>
        <v>100</v>
      </c>
      <c r="V8" s="701" t="s">
        <v>14</v>
      </c>
      <c r="W8" s="702">
        <f t="shared" si="2"/>
        <v>100</v>
      </c>
      <c r="X8" s="703"/>
      <c r="Y8" s="3739" t="s">
        <v>1683</v>
      </c>
      <c r="Z8" s="374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5"/>
      <c r="Y5" s="3730"/>
      <c r="Z5" s="3731"/>
      <c r="AA5" s="3716"/>
      <c r="AB5" s="3716"/>
      <c r="AC5" s="3716"/>
    </row>
    <row r="6" spans="1:29" ht="1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9" t="s">
        <v>1683</v>
      </c>
      <c r="Q8" s="3740"/>
      <c r="R8" s="701" t="s">
        <v>14</v>
      </c>
      <c r="S8" s="702">
        <f t="shared" si="0"/>
        <v>100</v>
      </c>
      <c r="T8" s="701" t="s">
        <v>14</v>
      </c>
      <c r="U8" s="702">
        <f t="shared" si="1"/>
        <v>100</v>
      </c>
      <c r="V8" s="701" t="s">
        <v>14</v>
      </c>
      <c r="W8" s="702">
        <f t="shared" si="2"/>
        <v>100</v>
      </c>
      <c r="X8" s="703"/>
      <c r="Y8" s="3739" t="s">
        <v>1683</v>
      </c>
      <c r="Z8" s="374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6"/>
      <c r="Q15" s="1352"/>
      <c r="R15" s="705"/>
      <c r="S15" s="706"/>
      <c r="T15" s="705"/>
      <c r="U15" s="706"/>
      <c r="V15" s="705"/>
      <c r="W15" s="706"/>
      <c r="X15" s="1355"/>
      <c r="Y15" s="3706"/>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06"/>
      <c r="Q17" s="1352"/>
      <c r="R17" s="705"/>
      <c r="S17" s="706"/>
      <c r="T17" s="705"/>
      <c r="U17" s="706"/>
      <c r="V17" s="705"/>
      <c r="W17" s="706"/>
      <c r="X17" s="1355"/>
      <c r="Y17" s="3706"/>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06"/>
      <c r="Q19" s="1352"/>
      <c r="R19" s="705"/>
      <c r="S19" s="706"/>
      <c r="T19" s="705"/>
      <c r="U19" s="706"/>
      <c r="V19" s="705"/>
      <c r="W19" s="706"/>
      <c r="X19" s="1355"/>
      <c r="Y19" s="3706"/>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03" t="str">
        <f>A37</f>
        <v>成交单价</v>
      </c>
      <c r="Q37" s="3703"/>
      <c r="R37" s="3704">
        <f>E37</f>
        <v>0</v>
      </c>
      <c r="S37" s="3704"/>
      <c r="T37" s="3704">
        <f>G37</f>
        <v>0</v>
      </c>
      <c r="U37" s="3704"/>
      <c r="V37" s="3704">
        <f>I37</f>
        <v>0</v>
      </c>
      <c r="W37" s="3704"/>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00" t="str">
        <f>A39</f>
        <v>估价对象XX用房的比较价值（楼面单价，元/平方米）</v>
      </c>
      <c r="Q39" s="3701"/>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5"/>
      <c r="Y5" s="3730"/>
      <c r="Z5" s="3731"/>
      <c r="AA5" s="3716"/>
      <c r="AB5" s="3716"/>
      <c r="AC5" s="3716"/>
    </row>
    <row r="6" spans="1:29" ht="1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9" t="s">
        <v>1683</v>
      </c>
      <c r="Q8" s="3740"/>
      <c r="R8" s="701" t="s">
        <v>14</v>
      </c>
      <c r="S8" s="702">
        <f t="shared" si="0"/>
        <v>100</v>
      </c>
      <c r="T8" s="701" t="s">
        <v>14</v>
      </c>
      <c r="U8" s="702">
        <f t="shared" si="1"/>
        <v>100</v>
      </c>
      <c r="V8" s="701" t="s">
        <v>14</v>
      </c>
      <c r="W8" s="702">
        <f t="shared" si="2"/>
        <v>100</v>
      </c>
      <c r="X8" s="703"/>
      <c r="Y8" s="3739" t="s">
        <v>1683</v>
      </c>
      <c r="Z8" s="374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6"/>
      <c r="Q15" s="1352"/>
      <c r="R15" s="705"/>
      <c r="S15" s="706"/>
      <c r="T15" s="705"/>
      <c r="U15" s="706"/>
      <c r="V15" s="705"/>
      <c r="W15" s="706"/>
      <c r="X15" s="1355"/>
      <c r="Y15" s="3706"/>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06"/>
      <c r="Q17" s="1352"/>
      <c r="R17" s="705"/>
      <c r="S17" s="706"/>
      <c r="T17" s="705"/>
      <c r="U17" s="706"/>
      <c r="V17" s="705"/>
      <c r="W17" s="706"/>
      <c r="X17" s="1355"/>
      <c r="Y17" s="3706"/>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06"/>
      <c r="Q19" s="1352"/>
      <c r="R19" s="705"/>
      <c r="S19" s="706"/>
      <c r="T19" s="705"/>
      <c r="U19" s="706"/>
      <c r="V19" s="705"/>
      <c r="W19" s="706"/>
      <c r="X19" s="1355"/>
      <c r="Y19" s="3706"/>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00" t="str">
        <f>A37</f>
        <v>估价对象XX用房的比较价值（楼面单价，元/平方米）</v>
      </c>
      <c r="Q37" s="3701"/>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30">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5"/>
      <c r="Y5" s="3730"/>
      <c r="Z5" s="3731"/>
      <c r="AA5" s="3716"/>
      <c r="AB5" s="3716"/>
      <c r="AC5" s="3716"/>
    </row>
    <row r="6" spans="1:30" ht="1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5"/>
      <c r="Y6" s="3732"/>
      <c r="Z6" s="3733"/>
      <c r="AA6" s="3717"/>
      <c r="AB6" s="3717"/>
      <c r="AC6" s="3717"/>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9" t="s">
        <v>1683</v>
      </c>
      <c r="Q8" s="3740"/>
      <c r="R8" s="701" t="s">
        <v>14</v>
      </c>
      <c r="S8" s="702">
        <f t="shared" si="0"/>
        <v>0</v>
      </c>
      <c r="T8" s="701" t="s">
        <v>14</v>
      </c>
      <c r="U8" s="702">
        <f t="shared" si="1"/>
        <v>0</v>
      </c>
      <c r="V8" s="701" t="s">
        <v>14</v>
      </c>
      <c r="W8" s="702">
        <f t="shared" si="2"/>
        <v>0</v>
      </c>
      <c r="X8" s="703"/>
      <c r="Y8" s="3739" t="s">
        <v>1683</v>
      </c>
      <c r="Z8" s="3740"/>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03"/>
      <c r="Q10" s="1343" t="str">
        <f t="shared" si="6"/>
        <v>土地使用年限（年）</v>
      </c>
      <c r="R10" s="701" t="s">
        <v>14</v>
      </c>
      <c r="S10" s="702">
        <f t="shared" si="0"/>
        <v>138</v>
      </c>
      <c r="T10" s="701" t="s">
        <v>14</v>
      </c>
      <c r="U10" s="702">
        <f t="shared" si="1"/>
        <v>138</v>
      </c>
      <c r="V10" s="701" t="s">
        <v>14</v>
      </c>
      <c r="W10" s="702">
        <f t="shared" si="2"/>
        <v>138</v>
      </c>
      <c r="X10" s="703"/>
      <c r="Y10" s="357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06"/>
      <c r="Q16" s="1352"/>
      <c r="R16" s="705"/>
      <c r="S16" s="706"/>
      <c r="T16" s="705"/>
      <c r="U16" s="706"/>
      <c r="V16" s="705"/>
      <c r="W16" s="706"/>
      <c r="X16" s="1355"/>
      <c r="Y16" s="3706"/>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06"/>
      <c r="Q18" s="1352"/>
      <c r="R18" s="705"/>
      <c r="S18" s="706"/>
      <c r="T18" s="705"/>
      <c r="U18" s="706"/>
      <c r="V18" s="705"/>
      <c r="W18" s="706"/>
      <c r="X18" s="1355"/>
      <c r="Y18" s="3706"/>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06"/>
      <c r="Q20" s="1352"/>
      <c r="R20" s="705"/>
      <c r="S20" s="706"/>
      <c r="T20" s="705"/>
      <c r="U20" s="706"/>
      <c r="V20" s="705"/>
      <c r="W20" s="706"/>
      <c r="X20" s="1355"/>
      <c r="Y20" s="3706"/>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06"/>
      <c r="Q22" s="1352"/>
      <c r="R22" s="705"/>
      <c r="S22" s="706"/>
      <c r="T22" s="705"/>
      <c r="U22" s="706"/>
      <c r="V22" s="705"/>
      <c r="W22" s="706"/>
      <c r="X22" s="1355"/>
      <c r="Y22" s="370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06"/>
      <c r="Q24" s="1352"/>
      <c r="R24" s="705"/>
      <c r="S24" s="706"/>
      <c r="T24" s="705"/>
      <c r="U24" s="706"/>
      <c r="V24" s="705"/>
      <c r="W24" s="706"/>
      <c r="X24" s="1355"/>
      <c r="Y24" s="3706"/>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06"/>
      <c r="Q26" s="1352"/>
      <c r="R26" s="705"/>
      <c r="S26" s="706"/>
      <c r="T26" s="705"/>
      <c r="U26" s="706"/>
      <c r="V26" s="705"/>
      <c r="W26" s="706"/>
      <c r="X26" s="1355"/>
      <c r="Y26" s="3706"/>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06"/>
      <c r="Q28" s="1343"/>
      <c r="R28" s="701"/>
      <c r="S28" s="702"/>
      <c r="T28" s="701"/>
      <c r="U28" s="702"/>
      <c r="V28" s="701"/>
      <c r="W28" s="702"/>
      <c r="X28" s="703"/>
      <c r="Y28" s="3706"/>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1"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03" t="str">
        <f>A46</f>
        <v>成交单价</v>
      </c>
      <c r="Q46" s="3703"/>
      <c r="R46" s="3734">
        <f>E46</f>
        <v>0</v>
      </c>
      <c r="S46" s="3734"/>
      <c r="T46" s="3734">
        <f>G46</f>
        <v>0</v>
      </c>
      <c r="U46" s="3734"/>
      <c r="V46" s="3734">
        <f>I46</f>
        <v>0</v>
      </c>
      <c r="W46" s="3734"/>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03" t="str">
        <f>A47</f>
        <v>比较价值（元/平方米）</v>
      </c>
      <c r="Q47" s="3703"/>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00" t="str">
        <f>A48</f>
        <v>估价对象XX用房的比较价值（楼面单价，元/平方米）</v>
      </c>
      <c r="Q48" s="3701"/>
      <c r="R48" s="3764" t="e">
        <f>ROUND(IF(D47="简单平均",AVERAGE(R47:W47),R47*F47+T47*H47+V47*J47),0)</f>
        <v>#DIV/0!</v>
      </c>
      <c r="S48" s="3764"/>
      <c r="T48" s="3764"/>
      <c r="U48" s="3764"/>
      <c r="V48" s="3764"/>
      <c r="W48" s="376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18" t="s">
        <v>1887</v>
      </c>
      <c r="H55" s="3765"/>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14"/>
      <c r="H56" s="370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5"/>
      <c r="Y5" s="3730"/>
      <c r="Z5" s="3731"/>
      <c r="AA5" s="3716"/>
      <c r="AB5" s="3716"/>
      <c r="AC5" s="3716"/>
    </row>
    <row r="6" spans="1:29" ht="15" thickBot="1">
      <c r="A6" s="360"/>
      <c r="B6" s="361"/>
      <c r="C6" s="3766" t="s">
        <v>1919</v>
      </c>
      <c r="D6" s="3767"/>
      <c r="E6" s="3768" t="s">
        <v>1919</v>
      </c>
      <c r="F6" s="3769"/>
      <c r="G6" s="3766" t="s">
        <v>1919</v>
      </c>
      <c r="H6" s="3767"/>
      <c r="I6" s="3766" t="s">
        <v>1919</v>
      </c>
      <c r="J6" s="3767"/>
      <c r="K6" s="559" t="s">
        <v>1678</v>
      </c>
      <c r="L6" s="2712"/>
      <c r="M6" s="2713"/>
      <c r="N6" s="2713"/>
      <c r="O6" s="2713"/>
      <c r="P6" s="3726"/>
      <c r="Q6" s="3727"/>
      <c r="R6" s="3730"/>
      <c r="S6" s="3731"/>
      <c r="T6" s="3732"/>
      <c r="U6" s="3733"/>
      <c r="V6" s="3734"/>
      <c r="W6" s="3734"/>
      <c r="X6" s="1355"/>
      <c r="Y6" s="3732"/>
      <c r="Z6" s="3733"/>
      <c r="AA6" s="3717"/>
      <c r="AB6" s="3717"/>
      <c r="AC6" s="3717"/>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9" t="s">
        <v>1683</v>
      </c>
      <c r="Q8" s="3740"/>
      <c r="R8" s="701" t="s">
        <v>14</v>
      </c>
      <c r="S8" s="702">
        <f t="shared" si="0"/>
        <v>0</v>
      </c>
      <c r="T8" s="701" t="s">
        <v>14</v>
      </c>
      <c r="U8" s="702">
        <f t="shared" si="1"/>
        <v>0</v>
      </c>
      <c r="V8" s="701" t="s">
        <v>14</v>
      </c>
      <c r="W8" s="702">
        <f t="shared" si="2"/>
        <v>0</v>
      </c>
      <c r="X8" s="703"/>
      <c r="Y8" s="3739" t="s">
        <v>1683</v>
      </c>
      <c r="Z8" s="3740"/>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03"/>
      <c r="Q10" s="1343" t="str">
        <f t="shared" si="6"/>
        <v>土地使用年限（年）</v>
      </c>
      <c r="R10" s="701" t="s">
        <v>14</v>
      </c>
      <c r="S10" s="702">
        <f t="shared" si="0"/>
        <v>138</v>
      </c>
      <c r="T10" s="701" t="s">
        <v>14</v>
      </c>
      <c r="U10" s="702">
        <f t="shared" si="1"/>
        <v>138</v>
      </c>
      <c r="V10" s="701" t="s">
        <v>14</v>
      </c>
      <c r="W10" s="702">
        <f t="shared" si="2"/>
        <v>138</v>
      </c>
      <c r="X10" s="703"/>
      <c r="Y10" s="357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06"/>
      <c r="Q16" s="1352"/>
      <c r="R16" s="705"/>
      <c r="S16" s="706"/>
      <c r="T16" s="705"/>
      <c r="U16" s="706"/>
      <c r="V16" s="705"/>
      <c r="W16" s="706"/>
      <c r="X16" s="1355"/>
      <c r="Y16" s="3706"/>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06"/>
      <c r="Q18" s="1352"/>
      <c r="R18" s="705"/>
      <c r="S18" s="706"/>
      <c r="T18" s="705"/>
      <c r="U18" s="706"/>
      <c r="V18" s="705"/>
      <c r="W18" s="706"/>
      <c r="X18" s="1355"/>
      <c r="Y18" s="3706"/>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06"/>
      <c r="Q20" s="1352"/>
      <c r="R20" s="705"/>
      <c r="S20" s="706"/>
      <c r="T20" s="705"/>
      <c r="U20" s="706"/>
      <c r="V20" s="705"/>
      <c r="W20" s="706"/>
      <c r="X20" s="1355"/>
      <c r="Y20" s="3706"/>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06"/>
      <c r="Q22" s="1352"/>
      <c r="R22" s="705"/>
      <c r="S22" s="706"/>
      <c r="T22" s="705"/>
      <c r="U22" s="706"/>
      <c r="V22" s="705"/>
      <c r="W22" s="706"/>
      <c r="X22" s="1355"/>
      <c r="Y22" s="3706"/>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06"/>
      <c r="Q24" s="1343"/>
      <c r="R24" s="701"/>
      <c r="S24" s="702"/>
      <c r="T24" s="701"/>
      <c r="U24" s="702"/>
      <c r="V24" s="701"/>
      <c r="W24" s="702"/>
      <c r="X24" s="703"/>
      <c r="Y24" s="3706"/>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1"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03" t="str">
        <f>A41</f>
        <v>成交单价</v>
      </c>
      <c r="Q41" s="3703"/>
      <c r="R41" s="3734">
        <f>E41</f>
        <v>0</v>
      </c>
      <c r="S41" s="3734"/>
      <c r="T41" s="3734">
        <f>G41</f>
        <v>0</v>
      </c>
      <c r="U41" s="3734"/>
      <c r="V41" s="3734">
        <f>I41</f>
        <v>0</v>
      </c>
      <c r="W41" s="3734"/>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03" t="str">
        <f>A42</f>
        <v>比较价值（元/平方米）</v>
      </c>
      <c r="Q42" s="3703"/>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00" t="str">
        <f>A43</f>
        <v>估价对象XX用房的比较价值（楼面单价，元/平方米）</v>
      </c>
      <c r="Q43" s="3701"/>
      <c r="R43" s="3764" t="e">
        <f>ROUND(IF(D42="简单平均",AVERAGE(R42:W42),R42*F42+T42*H42+V42*J42),0)</f>
        <v>#DIV/0!</v>
      </c>
      <c r="S43" s="3764"/>
      <c r="T43" s="3764"/>
      <c r="U43" s="3764"/>
      <c r="V43" s="3764"/>
      <c r="W43" s="376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18" t="s">
        <v>1887</v>
      </c>
      <c r="H50" s="3765"/>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14"/>
      <c r="H51" s="370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783"/>
      <c r="B4" s="3784"/>
      <c r="C4" s="3784"/>
      <c r="D4" s="3785"/>
      <c r="E4" s="3785"/>
      <c r="F4" s="3785"/>
      <c r="G4" s="3785"/>
      <c r="H4" s="3785"/>
      <c r="I4" s="3785"/>
      <c r="J4" s="3786"/>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82"/>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787" t="s">
        <v>3253</v>
      </c>
      <c r="B20" s="167" t="s">
        <v>1994</v>
      </c>
      <c r="C20" s="3322" t="e">
        <f>ROUND(IF(F21="与级别开发程度一致",0,(G21-E21)/C21),0)</f>
        <v>#DIV/0!</v>
      </c>
      <c r="D20" s="3338" t="s">
        <v>1998</v>
      </c>
      <c r="E20" s="3339"/>
      <c r="F20" s="3793" t="s">
        <v>1995</v>
      </c>
      <c r="G20" s="3794"/>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788"/>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791"/>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92"/>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92"/>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9" t="s">
        <v>3293</v>
      </c>
      <c r="B103" s="3789"/>
      <c r="C103" s="3789"/>
      <c r="D103" s="3789"/>
      <c r="E103" s="3789"/>
      <c r="F103" s="3789"/>
      <c r="G103" s="3789"/>
      <c r="H103" s="3789"/>
      <c r="I103" s="3789"/>
      <c r="J103" s="3789"/>
      <c r="K103" s="3387"/>
      <c r="L103" s="3387"/>
      <c r="M103" s="3387"/>
      <c r="N103" s="3387"/>
    </row>
    <row r="104" spans="1:14">
      <c r="A104" s="3790" t="s">
        <v>3294</v>
      </c>
      <c r="B104" s="3790" t="s">
        <v>3295</v>
      </c>
      <c r="C104" s="3388" t="s">
        <v>3296</v>
      </c>
      <c r="D104" s="3389"/>
      <c r="E104" s="3389"/>
      <c r="F104" s="3389"/>
      <c r="G104" s="3389"/>
      <c r="H104" s="3389"/>
      <c r="I104" s="3389"/>
      <c r="J104" s="3390"/>
      <c r="K104" s="3391"/>
      <c r="L104" s="3391"/>
      <c r="M104" s="3391"/>
      <c r="N104" s="3391"/>
    </row>
    <row r="105" spans="1:14">
      <c r="A105" s="3790"/>
      <c r="B105" s="3790"/>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76"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7"/>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9" t="s">
        <v>3310</v>
      </c>
      <c r="B113" s="3779"/>
      <c r="C113" s="3779"/>
      <c r="D113" s="3779"/>
      <c r="E113" s="3779"/>
      <c r="F113" s="3779"/>
      <c r="G113" s="3779"/>
      <c r="H113" s="3779"/>
      <c r="I113" s="3779"/>
      <c r="J113" s="37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估价结果一览表（市场价值不需“结果表-1”）</v>
      </c>
      <c r="B3" s="3494"/>
      <c r="C3" s="3494"/>
      <c r="D3" s="3494"/>
      <c r="E3" s="3494"/>
    </row>
    <row r="4" spans="1:5" ht="18" thickBot="1">
      <c r="A4" s="1493"/>
      <c r="B4" s="3492" t="s">
        <v>917</v>
      </c>
      <c r="C4" s="3492"/>
      <c r="D4" s="3492"/>
      <c r="E4" s="1493"/>
    </row>
    <row r="5" spans="1:5" ht="16.2" thickTop="1">
      <c r="A5" s="1491"/>
      <c r="B5" s="3490" t="s">
        <v>909</v>
      </c>
      <c r="C5" s="1494" t="s">
        <v>910</v>
      </c>
      <c r="D5" s="850" t="e">
        <f ca="1">结果表!H101</f>
        <v>#REF!</v>
      </c>
      <c r="E5" s="1491"/>
    </row>
    <row r="6" spans="1:5" ht="15.6">
      <c r="A6" s="1491"/>
      <c r="B6" s="3490"/>
      <c r="C6" s="1494" t="s">
        <v>911</v>
      </c>
      <c r="D6" s="850" t="e">
        <f ca="1">NUMBERSTRING(INT(D5*10000),2)&amp;"元整"</f>
        <v>#REF!</v>
      </c>
      <c r="E6" s="1491"/>
    </row>
    <row r="7" spans="1:5" ht="15.6">
      <c r="A7" s="1491"/>
      <c r="B7" s="3495"/>
      <c r="C7" s="1495" t="s">
        <v>912</v>
      </c>
      <c r="D7" s="851" t="e">
        <f ca="1">结果表!H102</f>
        <v>#REF!</v>
      </c>
      <c r="E7" s="1491"/>
    </row>
    <row r="8" spans="1:5" ht="15.6">
      <c r="A8" s="1491"/>
      <c r="B8" s="3496" t="str">
        <f>结果表!E103</f>
        <v>2.估价师知悉的法定优先受偿款</v>
      </c>
      <c r="C8" s="1496" t="s">
        <v>913</v>
      </c>
      <c r="D8" s="851">
        <f>结果表!H103</f>
        <v>0</v>
      </c>
      <c r="E8" s="1491"/>
    </row>
    <row r="9" spans="1:5" ht="15.6">
      <c r="A9" s="1491"/>
      <c r="B9" s="34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9" t="str">
        <f>结果表!E107</f>
        <v>3.房地产抵押价值</v>
      </c>
      <c r="C13" s="1499" t="s">
        <v>910</v>
      </c>
      <c r="D13" s="853" t="e">
        <f ca="1">结果表!H107</f>
        <v>#REF!</v>
      </c>
      <c r="E13" s="1491"/>
    </row>
    <row r="14" spans="1:5" ht="15.6">
      <c r="A14" s="1491"/>
      <c r="B14" s="3490"/>
      <c r="C14" s="1494" t="s">
        <v>911</v>
      </c>
      <c r="D14" s="850" t="e">
        <f ca="1">NUMBERSTRING(INT(D13*10000),2)&amp;"元整"</f>
        <v>#REF!</v>
      </c>
      <c r="E14" s="1491"/>
    </row>
    <row r="15" spans="1:5" ht="15.6">
      <c r="A15" s="1491"/>
      <c r="B15" s="3495"/>
      <c r="C15" s="1495" t="s">
        <v>921</v>
      </c>
      <c r="D15" s="859" t="e">
        <f ca="1">结果表!H108</f>
        <v>#REF!</v>
      </c>
      <c r="E15" s="1491"/>
    </row>
    <row r="16" spans="1:5" ht="15.6">
      <c r="A16" s="1491"/>
      <c r="B16" s="3496" t="str">
        <f>结果表!E109</f>
        <v>——</v>
      </c>
      <c r="C16" s="1499" t="s">
        <v>922</v>
      </c>
      <c r="D16" s="1500" t="str">
        <f>结果表!H109</f>
        <v>——</v>
      </c>
      <c r="E16" s="1491"/>
    </row>
    <row r="17" spans="1:5" ht="15.6">
      <c r="A17" s="1491"/>
      <c r="B17" s="3497"/>
      <c r="C17" s="1494" t="s">
        <v>923</v>
      </c>
      <c r="D17" s="850" t="e">
        <f>NUMBERSTRING(INT(D16*10000),2)&amp;"元整"</f>
        <v>#VALUE!</v>
      </c>
      <c r="E17" s="1491"/>
    </row>
    <row r="18" spans="1:5" ht="15.6">
      <c r="A18" s="1491"/>
      <c r="B18" s="3498"/>
      <c r="C18" s="1495" t="s">
        <v>912</v>
      </c>
      <c r="D18" s="859" t="str">
        <f>结果表!H110</f>
        <v>——</v>
      </c>
      <c r="E18" s="1491"/>
    </row>
    <row r="19" spans="1:5" ht="15.6">
      <c r="A19" s="1491"/>
      <c r="B19" s="3489" t="str">
        <f>结果表!E111</f>
        <v>——</v>
      </c>
      <c r="C19" s="1499" t="s">
        <v>910</v>
      </c>
      <c r="D19" s="851" t="str">
        <f>结果表!H111</f>
        <v>——</v>
      </c>
      <c r="E19" s="1491"/>
    </row>
    <row r="20" spans="1:5" ht="15.6">
      <c r="A20" s="1491"/>
      <c r="B20" s="3490"/>
      <c r="C20" s="1494" t="s">
        <v>923</v>
      </c>
      <c r="D20" s="850" t="e">
        <f>NUMBERSTRING(INT(D19*10000),2)&amp;"元整"</f>
        <v>#VALUE!</v>
      </c>
      <c r="E20" s="1491"/>
    </row>
    <row r="21" spans="1:5" ht="16.2" thickBot="1">
      <c r="A21" s="1491"/>
      <c r="B21" s="34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4" t="s">
        <v>2606</v>
      </c>
      <c r="B20" s="3799" t="s">
        <v>2627</v>
      </c>
      <c r="C20" s="3100" t="s">
        <v>2438</v>
      </c>
      <c r="D20" s="3101"/>
      <c r="E20" s="3102">
        <v>1</v>
      </c>
      <c r="F20" s="3103" t="s">
        <v>2439</v>
      </c>
      <c r="G20" s="3103"/>
    </row>
    <row r="21" spans="1:13" ht="19.5" customHeight="1">
      <c r="A21" s="3805"/>
      <c r="B21" s="3798"/>
      <c r="C21" s="3104" t="s">
        <v>2440</v>
      </c>
      <c r="D21" s="3105"/>
      <c r="E21" s="3106">
        <v>1</v>
      </c>
      <c r="F21" s="3103" t="s">
        <v>2441</v>
      </c>
      <c r="G21" s="3103"/>
    </row>
    <row r="22" spans="1:13" ht="19.5" customHeight="1">
      <c r="A22" s="3805"/>
      <c r="B22" s="3798"/>
      <c r="C22" s="3104" t="s">
        <v>2442</v>
      </c>
      <c r="D22" s="3105"/>
      <c r="E22" s="3106">
        <v>0.9</v>
      </c>
      <c r="F22" s="3103" t="s">
        <v>2443</v>
      </c>
      <c r="G22" s="3103"/>
    </row>
    <row r="23" spans="1:13" ht="19.5" customHeight="1">
      <c r="A23" s="3805"/>
      <c r="B23" s="3798"/>
      <c r="C23" s="3104" t="s">
        <v>2444</v>
      </c>
      <c r="D23" s="3105"/>
      <c r="E23" s="3106">
        <v>0.9</v>
      </c>
      <c r="F23" s="3103" t="s">
        <v>2445</v>
      </c>
      <c r="G23" s="3103"/>
    </row>
    <row r="24" spans="1:13" ht="19.5" customHeight="1">
      <c r="A24" s="3805"/>
      <c r="B24" s="3798"/>
      <c r="C24" s="3104" t="s">
        <v>2446</v>
      </c>
      <c r="D24" s="3105"/>
      <c r="E24" s="3106">
        <v>0.8</v>
      </c>
      <c r="F24" s="3103" t="s">
        <v>2447</v>
      </c>
      <c r="G24" s="3103"/>
    </row>
    <row r="25" spans="1:13" ht="19.5" customHeight="1" thickBot="1">
      <c r="A25" s="3806"/>
      <c r="B25" s="3800"/>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01" t="s">
        <v>2630</v>
      </c>
      <c r="B27" s="3799" t="s">
        <v>2611</v>
      </c>
      <c r="C27" s="3100" t="s">
        <v>2451</v>
      </c>
      <c r="D27" s="3101"/>
      <c r="E27" s="3102">
        <v>1</v>
      </c>
      <c r="F27" s="3103" t="s">
        <v>2452</v>
      </c>
      <c r="G27" s="3103"/>
    </row>
    <row r="28" spans="1:13" ht="19.5" customHeight="1">
      <c r="A28" s="3802"/>
      <c r="B28" s="3798"/>
      <c r="C28" s="3104" t="s">
        <v>2453</v>
      </c>
      <c r="D28" s="3105"/>
      <c r="E28" s="3106">
        <v>1</v>
      </c>
      <c r="F28" s="3103" t="s">
        <v>2454</v>
      </c>
      <c r="G28" s="3103"/>
    </row>
    <row r="29" spans="1:13" ht="19.5" customHeight="1">
      <c r="A29" s="3802"/>
      <c r="B29" s="3798"/>
      <c r="C29" s="3104" t="s">
        <v>2455</v>
      </c>
      <c r="D29" s="3105"/>
      <c r="E29" s="3106">
        <v>0.8</v>
      </c>
      <c r="F29" s="3103" t="s">
        <v>2456</v>
      </c>
      <c r="G29" s="3103"/>
    </row>
    <row r="30" spans="1:13" ht="19.5" customHeight="1">
      <c r="A30" s="3802"/>
      <c r="B30" s="3798"/>
      <c r="C30" s="3104" t="s">
        <v>2457</v>
      </c>
      <c r="D30" s="3105"/>
      <c r="E30" s="3106">
        <v>0.8</v>
      </c>
      <c r="F30" s="3103" t="s">
        <v>2458</v>
      </c>
      <c r="G30" s="3103"/>
    </row>
    <row r="31" spans="1:13" ht="19.5" customHeight="1">
      <c r="A31" s="3802"/>
      <c r="B31" s="3798"/>
      <c r="C31" s="3104" t="s">
        <v>2459</v>
      </c>
      <c r="D31" s="3105"/>
      <c r="E31" s="3106">
        <v>0.8</v>
      </c>
      <c r="F31" s="3103" t="s">
        <v>2460</v>
      </c>
      <c r="G31" s="3103"/>
    </row>
    <row r="32" spans="1:13" ht="19.5" customHeight="1">
      <c r="A32" s="3802"/>
      <c r="B32" s="3798"/>
      <c r="C32" s="3104" t="s">
        <v>2461</v>
      </c>
      <c r="D32" s="3105"/>
      <c r="E32" s="3106">
        <v>0.7</v>
      </c>
      <c r="F32" s="3103" t="s">
        <v>2462</v>
      </c>
      <c r="G32" s="3103"/>
    </row>
    <row r="33" spans="1:7" ht="19.5" customHeight="1">
      <c r="A33" s="3802"/>
      <c r="B33" s="3798"/>
      <c r="C33" s="3104" t="s">
        <v>2463</v>
      </c>
      <c r="D33" s="3105"/>
      <c r="E33" s="3106">
        <v>0.8</v>
      </c>
      <c r="F33" s="3103" t="s">
        <v>2464</v>
      </c>
      <c r="G33" s="3103"/>
    </row>
    <row r="34" spans="1:7" ht="19.5" customHeight="1">
      <c r="A34" s="3802"/>
      <c r="B34" s="3798"/>
      <c r="C34" s="3104" t="s">
        <v>2465</v>
      </c>
      <c r="D34" s="3105"/>
      <c r="E34" s="3106">
        <v>0.6</v>
      </c>
      <c r="F34" s="3103" t="s">
        <v>2466</v>
      </c>
      <c r="G34" s="3103"/>
    </row>
    <row r="35" spans="1:7" ht="19.5" customHeight="1">
      <c r="A35" s="3802"/>
      <c r="B35" s="3798"/>
      <c r="C35" s="3104" t="s">
        <v>2467</v>
      </c>
      <c r="D35" s="3105"/>
      <c r="E35" s="3106">
        <v>0.2</v>
      </c>
      <c r="F35" s="3103" t="s">
        <v>2468</v>
      </c>
      <c r="G35" s="3103"/>
    </row>
    <row r="36" spans="1:7" ht="19.5" customHeight="1">
      <c r="A36" s="3802"/>
      <c r="B36" s="3798"/>
      <c r="C36" s="3104" t="s">
        <v>2469</v>
      </c>
      <c r="D36" s="3105"/>
      <c r="E36" s="3106">
        <v>0.2</v>
      </c>
      <c r="F36" s="3103" t="s">
        <v>2470</v>
      </c>
      <c r="G36" s="3103"/>
    </row>
    <row r="37" spans="1:7" ht="19.5" customHeight="1">
      <c r="A37" s="3802"/>
      <c r="B37" s="3796" t="s">
        <v>2631</v>
      </c>
      <c r="C37" s="3104" t="s">
        <v>2471</v>
      </c>
      <c r="D37" s="3105"/>
      <c r="E37" s="3106">
        <v>0.6</v>
      </c>
      <c r="F37" s="3103" t="s">
        <v>2472</v>
      </c>
      <c r="G37" s="3103"/>
    </row>
    <row r="38" spans="1:7" ht="19.5" customHeight="1">
      <c r="A38" s="3802"/>
      <c r="B38" s="3798"/>
      <c r="C38" s="3104" t="s">
        <v>2473</v>
      </c>
      <c r="D38" s="3105"/>
      <c r="E38" s="3106">
        <v>0.6</v>
      </c>
      <c r="F38" s="3103" t="s">
        <v>2474</v>
      </c>
      <c r="G38" s="3103"/>
    </row>
    <row r="39" spans="1:7" ht="19.5" customHeight="1" thickBot="1">
      <c r="A39" s="3803"/>
      <c r="B39" s="3800"/>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4" t="s">
        <v>2609</v>
      </c>
      <c r="B41" s="3799" t="s">
        <v>2633</v>
      </c>
      <c r="C41" s="3100" t="s">
        <v>2478</v>
      </c>
      <c r="D41" s="3101"/>
      <c r="E41" s="3102">
        <v>1</v>
      </c>
      <c r="F41" s="3103" t="s">
        <v>2479</v>
      </c>
      <c r="G41" s="3103"/>
    </row>
    <row r="42" spans="1:7" ht="19.5" customHeight="1">
      <c r="A42" s="3805"/>
      <c r="B42" s="3798"/>
      <c r="C42" s="3104" t="s">
        <v>2480</v>
      </c>
      <c r="D42" s="3105"/>
      <c r="E42" s="3106">
        <v>1</v>
      </c>
      <c r="F42" s="3103" t="s">
        <v>2481</v>
      </c>
      <c r="G42" s="3103"/>
    </row>
    <row r="43" spans="1:7" ht="19.5" customHeight="1">
      <c r="A43" s="3805"/>
      <c r="B43" s="3797"/>
      <c r="C43" s="3104" t="s">
        <v>2482</v>
      </c>
      <c r="D43" s="3105"/>
      <c r="E43" s="3106">
        <v>1.5</v>
      </c>
      <c r="F43" s="3103" t="s">
        <v>2483</v>
      </c>
      <c r="G43" s="3103"/>
    </row>
    <row r="44" spans="1:7" ht="19.5" customHeight="1">
      <c r="A44" s="3805"/>
      <c r="B44" s="3115" t="s">
        <v>2634</v>
      </c>
      <c r="C44" s="3104" t="s">
        <v>2635</v>
      </c>
      <c r="D44" s="3105"/>
      <c r="E44" s="3106">
        <v>2</v>
      </c>
      <c r="F44" s="3103" t="s">
        <v>2484</v>
      </c>
      <c r="G44" s="3103"/>
    </row>
    <row r="45" spans="1:7" ht="19.5" customHeight="1">
      <c r="A45" s="3805"/>
      <c r="B45" s="3796" t="s">
        <v>2636</v>
      </c>
      <c r="C45" s="3104" t="s">
        <v>2485</v>
      </c>
      <c r="D45" s="3105"/>
      <c r="E45" s="3106">
        <v>1</v>
      </c>
      <c r="F45" s="3103" t="s">
        <v>2486</v>
      </c>
      <c r="G45" s="3103"/>
    </row>
    <row r="46" spans="1:7" ht="19.5" customHeight="1">
      <c r="A46" s="3805"/>
      <c r="B46" s="3798"/>
      <c r="C46" s="3104" t="s">
        <v>2487</v>
      </c>
      <c r="D46" s="3105"/>
      <c r="E46" s="3106">
        <v>1</v>
      </c>
      <c r="F46" s="3103" t="s">
        <v>2488</v>
      </c>
      <c r="G46" s="3103"/>
    </row>
    <row r="47" spans="1:7" ht="19.5" customHeight="1">
      <c r="A47" s="3805"/>
      <c r="B47" s="3798"/>
      <c r="C47" s="3104" t="s">
        <v>2489</v>
      </c>
      <c r="D47" s="3105"/>
      <c r="E47" s="3106">
        <v>1</v>
      </c>
      <c r="F47" s="3103" t="s">
        <v>2490</v>
      </c>
      <c r="G47" s="3103"/>
    </row>
    <row r="48" spans="1:7" ht="19.5" customHeight="1">
      <c r="A48" s="3805"/>
      <c r="B48" s="3798"/>
      <c r="C48" s="3104" t="s">
        <v>2491</v>
      </c>
      <c r="D48" s="3105"/>
      <c r="E48" s="3106">
        <v>1</v>
      </c>
      <c r="F48" s="3103" t="s">
        <v>2492</v>
      </c>
      <c r="G48" s="3103"/>
    </row>
    <row r="49" spans="1:7" ht="19.5" customHeight="1">
      <c r="A49" s="3805"/>
      <c r="B49" s="3798"/>
      <c r="C49" s="3104" t="s">
        <v>2493</v>
      </c>
      <c r="D49" s="3105"/>
      <c r="E49" s="3106">
        <v>1</v>
      </c>
      <c r="F49" s="3103" t="s">
        <v>2494</v>
      </c>
      <c r="G49" s="3103"/>
    </row>
    <row r="50" spans="1:7" ht="19.5" customHeight="1">
      <c r="A50" s="3805"/>
      <c r="B50" s="3798"/>
      <c r="C50" s="3104" t="s">
        <v>2495</v>
      </c>
      <c r="D50" s="3105"/>
      <c r="E50" s="3106">
        <v>1</v>
      </c>
      <c r="F50" s="3103" t="s">
        <v>2496</v>
      </c>
      <c r="G50" s="3103"/>
    </row>
    <row r="51" spans="1:7" ht="19.5" customHeight="1" thickBot="1">
      <c r="A51" s="3806"/>
      <c r="B51" s="3800"/>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796" t="s">
        <v>2650</v>
      </c>
      <c r="C73" s="3089" t="s">
        <v>2651</v>
      </c>
      <c r="D73" s="3089" t="s">
        <v>2652</v>
      </c>
      <c r="E73" s="3115">
        <v>0.2</v>
      </c>
      <c r="F73" s="3115">
        <v>25</v>
      </c>
    </row>
    <row r="74" spans="1:7" ht="24">
      <c r="A74" s="3115">
        <v>2</v>
      </c>
      <c r="B74" s="3798"/>
      <c r="C74" s="3089" t="s">
        <v>2653</v>
      </c>
      <c r="D74" s="3089" t="s">
        <v>2654</v>
      </c>
      <c r="E74" s="3115">
        <v>0.2</v>
      </c>
      <c r="F74" s="3115">
        <v>25</v>
      </c>
    </row>
    <row r="75" spans="1:7" ht="24">
      <c r="A75" s="3115">
        <v>3</v>
      </c>
      <c r="B75" s="3798"/>
      <c r="C75" s="3089" t="s">
        <v>2655</v>
      </c>
      <c r="D75" s="3089" t="s">
        <v>2656</v>
      </c>
      <c r="E75" s="3115">
        <v>0.2</v>
      </c>
      <c r="F75" s="3115">
        <v>25</v>
      </c>
    </row>
    <row r="76" spans="1:7" ht="14.4">
      <c r="A76" s="3115">
        <v>4</v>
      </c>
      <c r="B76" s="3798"/>
      <c r="C76" s="3089" t="s">
        <v>2657</v>
      </c>
      <c r="D76" s="3089" t="s">
        <v>2658</v>
      </c>
      <c r="E76" s="3115">
        <v>0.15</v>
      </c>
      <c r="F76" s="3115">
        <v>20</v>
      </c>
    </row>
    <row r="77" spans="1:7" ht="24">
      <c r="A77" s="3115">
        <v>5</v>
      </c>
      <c r="B77" s="3798"/>
      <c r="C77" s="3089" t="s">
        <v>2659</v>
      </c>
      <c r="D77" s="3089" t="s">
        <v>2660</v>
      </c>
      <c r="E77" s="3115">
        <v>0.15</v>
      </c>
      <c r="F77" s="3115">
        <v>20</v>
      </c>
    </row>
    <row r="78" spans="1:7" ht="24">
      <c r="A78" s="3115">
        <v>6</v>
      </c>
      <c r="B78" s="3798"/>
      <c r="C78" s="3089" t="s">
        <v>2661</v>
      </c>
      <c r="D78" s="3089" t="s">
        <v>2662</v>
      </c>
      <c r="E78" s="3115">
        <v>0.15</v>
      </c>
      <c r="F78" s="3115">
        <v>20</v>
      </c>
    </row>
    <row r="79" spans="1:7" ht="24">
      <c r="A79" s="3115">
        <v>7</v>
      </c>
      <c r="B79" s="3798"/>
      <c r="C79" s="3089" t="s">
        <v>2663</v>
      </c>
      <c r="D79" s="3089" t="s">
        <v>2664</v>
      </c>
      <c r="E79" s="3115">
        <v>0.15</v>
      </c>
      <c r="F79" s="3115">
        <v>20</v>
      </c>
    </row>
    <row r="80" spans="1:7" ht="24">
      <c r="A80" s="3115">
        <v>8</v>
      </c>
      <c r="B80" s="3798"/>
      <c r="C80" s="3089" t="s">
        <v>2665</v>
      </c>
      <c r="D80" s="3089" t="s">
        <v>2666</v>
      </c>
      <c r="E80" s="3115">
        <v>0.1</v>
      </c>
      <c r="F80" s="3115">
        <v>15</v>
      </c>
    </row>
    <row r="81" spans="1:6" ht="24">
      <c r="A81" s="3115">
        <v>9</v>
      </c>
      <c r="B81" s="3798"/>
      <c r="C81" s="3089" t="s">
        <v>2667</v>
      </c>
      <c r="D81" s="3089" t="s">
        <v>2668</v>
      </c>
      <c r="E81" s="3115">
        <v>0.1</v>
      </c>
      <c r="F81" s="3115">
        <v>15</v>
      </c>
    </row>
    <row r="82" spans="1:6" ht="24">
      <c r="A82" s="3115">
        <v>10</v>
      </c>
      <c r="B82" s="3798"/>
      <c r="C82" s="3089" t="s">
        <v>2669</v>
      </c>
      <c r="D82" s="3089" t="s">
        <v>2670</v>
      </c>
      <c r="E82" s="3115">
        <v>0.1</v>
      </c>
      <c r="F82" s="3115">
        <v>15</v>
      </c>
    </row>
    <row r="83" spans="1:6" ht="24">
      <c r="A83" s="3115">
        <v>11</v>
      </c>
      <c r="B83" s="3798"/>
      <c r="C83" s="3089" t="s">
        <v>2671</v>
      </c>
      <c r="D83" s="3089" t="s">
        <v>2672</v>
      </c>
      <c r="E83" s="3115">
        <v>0.1</v>
      </c>
      <c r="F83" s="3115">
        <v>15</v>
      </c>
    </row>
    <row r="84" spans="1:6" ht="24">
      <c r="A84" s="3115">
        <v>12</v>
      </c>
      <c r="B84" s="3798"/>
      <c r="C84" s="3089" t="s">
        <v>2673</v>
      </c>
      <c r="D84" s="3089" t="s">
        <v>2674</v>
      </c>
      <c r="E84" s="3115">
        <v>0.1</v>
      </c>
      <c r="F84" s="3115">
        <v>15</v>
      </c>
    </row>
    <row r="85" spans="1:6" ht="24">
      <c r="A85" s="3115">
        <v>13</v>
      </c>
      <c r="B85" s="3798"/>
      <c r="C85" s="3089" t="s">
        <v>2675</v>
      </c>
      <c r="D85" s="3089" t="s">
        <v>2676</v>
      </c>
      <c r="E85" s="3115">
        <v>0.1</v>
      </c>
      <c r="F85" s="3115">
        <v>15</v>
      </c>
    </row>
    <row r="86" spans="1:6" ht="24">
      <c r="A86" s="3115">
        <v>14</v>
      </c>
      <c r="B86" s="3798"/>
      <c r="C86" s="3089" t="s">
        <v>2677</v>
      </c>
      <c r="D86" s="3089" t="s">
        <v>2678</v>
      </c>
      <c r="E86" s="3115">
        <v>0.1</v>
      </c>
      <c r="F86" s="3115">
        <v>15</v>
      </c>
    </row>
    <row r="87" spans="1:6" ht="24">
      <c r="A87" s="3115">
        <v>15</v>
      </c>
      <c r="B87" s="3798"/>
      <c r="C87" s="3089" t="s">
        <v>2679</v>
      </c>
      <c r="D87" s="3089" t="s">
        <v>2680</v>
      </c>
      <c r="E87" s="3115">
        <v>0.1</v>
      </c>
      <c r="F87" s="3115">
        <v>15</v>
      </c>
    </row>
    <row r="88" spans="1:6" ht="24">
      <c r="A88" s="3115">
        <v>16</v>
      </c>
      <c r="B88" s="3798"/>
      <c r="C88" s="3089" t="s">
        <v>2681</v>
      </c>
      <c r="D88" s="3089" t="s">
        <v>2682</v>
      </c>
      <c r="E88" s="3115">
        <v>0.1</v>
      </c>
      <c r="F88" s="3115">
        <v>15</v>
      </c>
    </row>
    <row r="89" spans="1:6" ht="24">
      <c r="A89" s="3115">
        <v>17</v>
      </c>
      <c r="B89" s="3797"/>
      <c r="C89" s="3089" t="s">
        <v>2683</v>
      </c>
      <c r="D89" s="3089" t="s">
        <v>2684</v>
      </c>
      <c r="E89" s="3115">
        <v>0.1</v>
      </c>
      <c r="F89" s="3115">
        <v>15</v>
      </c>
    </row>
    <row r="90" spans="1:6" ht="14.4">
      <c r="A90" s="3115">
        <v>18</v>
      </c>
      <c r="B90" s="3796" t="s">
        <v>2685</v>
      </c>
      <c r="C90" s="3089" t="s">
        <v>2686</v>
      </c>
      <c r="D90" s="3089" t="s">
        <v>2687</v>
      </c>
      <c r="E90" s="3115">
        <v>0.2</v>
      </c>
      <c r="F90" s="3115">
        <v>25</v>
      </c>
    </row>
    <row r="91" spans="1:6" ht="24">
      <c r="A91" s="3115">
        <v>19</v>
      </c>
      <c r="B91" s="3798"/>
      <c r="C91" s="3089" t="s">
        <v>2688</v>
      </c>
      <c r="D91" s="3089" t="s">
        <v>2689</v>
      </c>
      <c r="E91" s="3115">
        <v>0.2</v>
      </c>
      <c r="F91" s="3115">
        <v>25</v>
      </c>
    </row>
    <row r="92" spans="1:6" ht="14.4">
      <c r="A92" s="3115">
        <v>20</v>
      </c>
      <c r="B92" s="3798"/>
      <c r="C92" s="3089" t="s">
        <v>2690</v>
      </c>
      <c r="D92" s="3089" t="s">
        <v>2691</v>
      </c>
      <c r="E92" s="3115">
        <v>0.15</v>
      </c>
      <c r="F92" s="3115">
        <v>20</v>
      </c>
    </row>
    <row r="93" spans="1:6" ht="24">
      <c r="A93" s="3115">
        <v>21</v>
      </c>
      <c r="B93" s="3798"/>
      <c r="C93" s="3089" t="s">
        <v>2692</v>
      </c>
      <c r="D93" s="3089" t="s">
        <v>2693</v>
      </c>
      <c r="E93" s="3115">
        <v>0.15</v>
      </c>
      <c r="F93" s="3115">
        <v>20</v>
      </c>
    </row>
    <row r="94" spans="1:6" ht="24">
      <c r="A94" s="3115">
        <v>22</v>
      </c>
      <c r="B94" s="3798"/>
      <c r="C94" s="3089" t="s">
        <v>2694</v>
      </c>
      <c r="D94" s="3089" t="s">
        <v>2695</v>
      </c>
      <c r="E94" s="3115">
        <v>0.15</v>
      </c>
      <c r="F94" s="3115">
        <v>20</v>
      </c>
    </row>
    <row r="95" spans="1:6" ht="36">
      <c r="A95" s="3115">
        <v>23</v>
      </c>
      <c r="B95" s="3798"/>
      <c r="C95" s="3089" t="s">
        <v>2696</v>
      </c>
      <c r="D95" s="3089" t="s">
        <v>2697</v>
      </c>
      <c r="E95" s="3115">
        <v>0.15</v>
      </c>
      <c r="F95" s="3115">
        <v>20</v>
      </c>
    </row>
    <row r="96" spans="1:6" ht="24">
      <c r="A96" s="3115">
        <v>24</v>
      </c>
      <c r="B96" s="3798"/>
      <c r="C96" s="3089" t="s">
        <v>2698</v>
      </c>
      <c r="D96" s="3089" t="s">
        <v>2699</v>
      </c>
      <c r="E96" s="3115">
        <v>0.1</v>
      </c>
      <c r="F96" s="3115">
        <v>15</v>
      </c>
    </row>
    <row r="97" spans="1:6" ht="24">
      <c r="A97" s="3115">
        <v>25</v>
      </c>
      <c r="B97" s="3798"/>
      <c r="C97" s="3089" t="s">
        <v>2700</v>
      </c>
      <c r="D97" s="3089" t="s">
        <v>2701</v>
      </c>
      <c r="E97" s="3115">
        <v>0.1</v>
      </c>
      <c r="F97" s="3115">
        <v>15</v>
      </c>
    </row>
    <row r="98" spans="1:6" ht="24">
      <c r="A98" s="3115">
        <v>26</v>
      </c>
      <c r="B98" s="3798"/>
      <c r="C98" s="3089" t="s">
        <v>2702</v>
      </c>
      <c r="D98" s="3089" t="s">
        <v>2703</v>
      </c>
      <c r="E98" s="3115">
        <v>0.1</v>
      </c>
      <c r="F98" s="3115">
        <v>15</v>
      </c>
    </row>
    <row r="99" spans="1:6" ht="24">
      <c r="A99" s="3115">
        <v>27</v>
      </c>
      <c r="B99" s="3798"/>
      <c r="C99" s="3089" t="s">
        <v>2704</v>
      </c>
      <c r="D99" s="3089" t="s">
        <v>2705</v>
      </c>
      <c r="E99" s="3115">
        <v>0.1</v>
      </c>
      <c r="F99" s="3115">
        <v>15</v>
      </c>
    </row>
    <row r="100" spans="1:6" ht="24">
      <c r="A100" s="3115">
        <v>28</v>
      </c>
      <c r="B100" s="3798"/>
      <c r="C100" s="3089" t="s">
        <v>2706</v>
      </c>
      <c r="D100" s="3089" t="s">
        <v>2707</v>
      </c>
      <c r="E100" s="3115">
        <v>0.1</v>
      </c>
      <c r="F100" s="3115">
        <v>15</v>
      </c>
    </row>
    <row r="101" spans="1:6" ht="24">
      <c r="A101" s="3115">
        <v>29</v>
      </c>
      <c r="B101" s="3798"/>
      <c r="C101" s="3089" t="s">
        <v>2708</v>
      </c>
      <c r="D101" s="3089" t="s">
        <v>2709</v>
      </c>
      <c r="E101" s="3115">
        <v>0.1</v>
      </c>
      <c r="F101" s="3115">
        <v>15</v>
      </c>
    </row>
    <row r="102" spans="1:6" ht="24">
      <c r="A102" s="3115">
        <v>30</v>
      </c>
      <c r="B102" s="3798"/>
      <c r="C102" s="3089" t="s">
        <v>2710</v>
      </c>
      <c r="D102" s="3089" t="s">
        <v>2711</v>
      </c>
      <c r="E102" s="3115">
        <v>0.1</v>
      </c>
      <c r="F102" s="3115">
        <v>15</v>
      </c>
    </row>
    <row r="103" spans="1:6" ht="24">
      <c r="A103" s="3115">
        <v>31</v>
      </c>
      <c r="B103" s="3798"/>
      <c r="C103" s="3089" t="s">
        <v>2712</v>
      </c>
      <c r="D103" s="3089" t="s">
        <v>2713</v>
      </c>
      <c r="E103" s="3115">
        <v>0.1</v>
      </c>
      <c r="F103" s="3115">
        <v>15</v>
      </c>
    </row>
    <row r="104" spans="1:6" ht="24">
      <c r="A104" s="3115">
        <v>32</v>
      </c>
      <c r="B104" s="3798"/>
      <c r="C104" s="3089" t="s">
        <v>2714</v>
      </c>
      <c r="D104" s="3089" t="s">
        <v>2715</v>
      </c>
      <c r="E104" s="3115">
        <v>0.1</v>
      </c>
      <c r="F104" s="3115">
        <v>15</v>
      </c>
    </row>
    <row r="105" spans="1:6" ht="24">
      <c r="A105" s="3115">
        <v>33</v>
      </c>
      <c r="B105" s="3798"/>
      <c r="C105" s="3089" t="s">
        <v>2716</v>
      </c>
      <c r="D105" s="3089" t="s">
        <v>2717</v>
      </c>
      <c r="E105" s="3115">
        <v>0.1</v>
      </c>
      <c r="F105" s="3115">
        <v>15</v>
      </c>
    </row>
    <row r="106" spans="1:6" ht="24">
      <c r="A106" s="3115">
        <v>34</v>
      </c>
      <c r="B106" s="3797"/>
      <c r="C106" s="3089" t="s">
        <v>2718</v>
      </c>
      <c r="D106" s="3089" t="s">
        <v>2719</v>
      </c>
      <c r="E106" s="3115">
        <v>0.1</v>
      </c>
      <c r="F106" s="3115">
        <v>15</v>
      </c>
    </row>
    <row r="107" spans="1:6" ht="36">
      <c r="A107" s="3115">
        <v>35</v>
      </c>
      <c r="B107" s="3796" t="s">
        <v>2720</v>
      </c>
      <c r="C107" s="3115" t="s">
        <v>2721</v>
      </c>
      <c r="D107" s="3089" t="s">
        <v>2722</v>
      </c>
      <c r="E107" s="3115">
        <v>0.15</v>
      </c>
      <c r="F107" s="3115">
        <v>20</v>
      </c>
    </row>
    <row r="108" spans="1:6" ht="24">
      <c r="A108" s="3115">
        <v>36</v>
      </c>
      <c r="B108" s="3798"/>
      <c r="C108" s="3115" t="s">
        <v>2723</v>
      </c>
      <c r="D108" s="3089" t="s">
        <v>2724</v>
      </c>
      <c r="E108" s="3115">
        <v>0.15</v>
      </c>
      <c r="F108" s="3115">
        <v>20</v>
      </c>
    </row>
    <row r="109" spans="1:6" ht="24">
      <c r="A109" s="3115">
        <v>37</v>
      </c>
      <c r="B109" s="3798"/>
      <c r="C109" s="3115" t="s">
        <v>2725</v>
      </c>
      <c r="D109" s="3089" t="s">
        <v>2726</v>
      </c>
      <c r="E109" s="3115">
        <v>0.15</v>
      </c>
      <c r="F109" s="3115">
        <v>20</v>
      </c>
    </row>
    <row r="110" spans="1:6" ht="24">
      <c r="A110" s="3115">
        <v>38</v>
      </c>
      <c r="B110" s="3798"/>
      <c r="C110" s="3115" t="s">
        <v>2727</v>
      </c>
      <c r="D110" s="3089" t="s">
        <v>2728</v>
      </c>
      <c r="E110" s="3115">
        <v>0.1</v>
      </c>
      <c r="F110" s="3115">
        <v>15</v>
      </c>
    </row>
    <row r="111" spans="1:6" ht="24">
      <c r="A111" s="3115">
        <v>39</v>
      </c>
      <c r="B111" s="3798"/>
      <c r="C111" s="3115" t="s">
        <v>2729</v>
      </c>
      <c r="D111" s="3089" t="s">
        <v>2730</v>
      </c>
      <c r="E111" s="3115">
        <v>0.1</v>
      </c>
      <c r="F111" s="3115">
        <v>15</v>
      </c>
    </row>
    <row r="112" spans="1:6" ht="24">
      <c r="A112" s="3115">
        <v>40</v>
      </c>
      <c r="B112" s="3797"/>
      <c r="C112" s="3115" t="s">
        <v>2731</v>
      </c>
      <c r="D112" s="3089" t="s">
        <v>2732</v>
      </c>
      <c r="E112" s="3115">
        <v>0.1</v>
      </c>
      <c r="F112" s="3115">
        <v>15</v>
      </c>
    </row>
    <row r="113" spans="1:6" ht="24">
      <c r="A113" s="3115">
        <v>41</v>
      </c>
      <c r="B113" s="3795" t="s">
        <v>2733</v>
      </c>
      <c r="C113" s="3115" t="s">
        <v>2734</v>
      </c>
      <c r="D113" s="3089" t="s">
        <v>2735</v>
      </c>
      <c r="E113" s="3115">
        <v>0.1</v>
      </c>
      <c r="F113" s="3115">
        <v>15</v>
      </c>
    </row>
    <row r="114" spans="1:6" ht="24">
      <c r="A114" s="3115">
        <v>42</v>
      </c>
      <c r="B114" s="3795"/>
      <c r="C114" s="3115" t="s">
        <v>2736</v>
      </c>
      <c r="D114" s="3089" t="s">
        <v>2737</v>
      </c>
      <c r="E114" s="3115">
        <v>0.1</v>
      </c>
      <c r="F114" s="3115">
        <v>15</v>
      </c>
    </row>
    <row r="115" spans="1:6" ht="24">
      <c r="A115" s="3115">
        <v>43</v>
      </c>
      <c r="B115" s="3795"/>
      <c r="C115" s="3115" t="s">
        <v>2738</v>
      </c>
      <c r="D115" s="3089" t="s">
        <v>2739</v>
      </c>
      <c r="E115" s="3115">
        <v>0.1</v>
      </c>
      <c r="F115" s="3115">
        <v>15</v>
      </c>
    </row>
    <row r="116" spans="1:6" ht="24">
      <c r="A116" s="3115">
        <v>44</v>
      </c>
      <c r="B116" s="3796" t="s">
        <v>2740</v>
      </c>
      <c r="C116" s="3115" t="s">
        <v>2741</v>
      </c>
      <c r="D116" s="3089" t="s">
        <v>2742</v>
      </c>
      <c r="E116" s="3115">
        <v>0.1</v>
      </c>
      <c r="F116" s="3115">
        <v>15</v>
      </c>
    </row>
    <row r="117" spans="1:6" ht="24">
      <c r="A117" s="3115">
        <v>45</v>
      </c>
      <c r="B117" s="3797"/>
      <c r="C117" s="3089" t="s">
        <v>2743</v>
      </c>
      <c r="D117" s="3089" t="s">
        <v>2744</v>
      </c>
      <c r="E117" s="3115">
        <v>0.1</v>
      </c>
      <c r="F117" s="3115">
        <v>15</v>
      </c>
    </row>
    <row r="118" spans="1:6" ht="24">
      <c r="A118" s="3115">
        <v>46</v>
      </c>
      <c r="B118" s="3796" t="s">
        <v>2745</v>
      </c>
      <c r="C118" s="3115" t="s">
        <v>2746</v>
      </c>
      <c r="D118" s="3089" t="s">
        <v>2747</v>
      </c>
      <c r="E118" s="3115">
        <v>0.1</v>
      </c>
      <c r="F118" s="3115">
        <v>15</v>
      </c>
    </row>
    <row r="119" spans="1:6" ht="24">
      <c r="A119" s="3115">
        <v>47</v>
      </c>
      <c r="B119" s="3797"/>
      <c r="C119" s="3115" t="s">
        <v>2748</v>
      </c>
      <c r="D119" s="3089" t="s">
        <v>2749</v>
      </c>
      <c r="E119" s="3115">
        <v>0.1</v>
      </c>
      <c r="F119" s="3115">
        <v>15</v>
      </c>
    </row>
    <row r="120" spans="1:6" ht="24">
      <c r="A120" s="3115">
        <v>48</v>
      </c>
      <c r="B120" s="3796" t="s">
        <v>2750</v>
      </c>
      <c r="C120" s="3115" t="s">
        <v>2751</v>
      </c>
      <c r="D120" s="3089" t="s">
        <v>2752</v>
      </c>
      <c r="E120" s="3115">
        <v>0.1</v>
      </c>
      <c r="F120" s="3115">
        <v>15</v>
      </c>
    </row>
    <row r="121" spans="1:6" ht="24">
      <c r="A121" s="3115">
        <v>49</v>
      </c>
      <c r="B121" s="3797"/>
      <c r="C121" s="3115" t="s">
        <v>2753</v>
      </c>
      <c r="D121" s="3089" t="s">
        <v>2754</v>
      </c>
      <c r="E121" s="3115">
        <v>0.1</v>
      </c>
      <c r="F121" s="3115">
        <v>15</v>
      </c>
    </row>
    <row r="122" spans="1:6" ht="24">
      <c r="A122" s="3115">
        <v>50</v>
      </c>
      <c r="B122" s="3795" t="s">
        <v>2755</v>
      </c>
      <c r="C122" s="3115" t="s">
        <v>2756</v>
      </c>
      <c r="D122" s="3089" t="s">
        <v>2757</v>
      </c>
      <c r="E122" s="3115">
        <v>0.1</v>
      </c>
      <c r="F122" s="3115">
        <v>15</v>
      </c>
    </row>
    <row r="123" spans="1:6" ht="24">
      <c r="A123" s="3115">
        <v>51</v>
      </c>
      <c r="B123" s="3795"/>
      <c r="C123" s="3115" t="s">
        <v>2758</v>
      </c>
      <c r="D123" s="3089" t="s">
        <v>2759</v>
      </c>
      <c r="E123" s="3115">
        <v>0.1</v>
      </c>
      <c r="F123" s="3115">
        <v>15</v>
      </c>
    </row>
    <row r="124" spans="1:6" ht="24">
      <c r="A124" s="3115">
        <v>52</v>
      </c>
      <c r="B124" s="3795" t="s">
        <v>2760</v>
      </c>
      <c r="C124" s="3115" t="s">
        <v>2761</v>
      </c>
      <c r="D124" s="3089" t="s">
        <v>2762</v>
      </c>
      <c r="E124" s="3115">
        <v>0.1</v>
      </c>
      <c r="F124" s="3115">
        <v>15</v>
      </c>
    </row>
    <row r="125" spans="1:6" ht="24">
      <c r="A125" s="3115">
        <v>53</v>
      </c>
      <c r="B125" s="3795"/>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795" t="s">
        <v>2768</v>
      </c>
      <c r="C127" s="3115" t="s">
        <v>2769</v>
      </c>
      <c r="D127" s="3089" t="s">
        <v>2770</v>
      </c>
      <c r="E127" s="3115">
        <v>0.1</v>
      </c>
      <c r="F127" s="3115">
        <v>15</v>
      </c>
    </row>
    <row r="128" spans="1:6" ht="24">
      <c r="A128" s="3115">
        <v>56</v>
      </c>
      <c r="B128" s="3795"/>
      <c r="C128" s="3115" t="s">
        <v>2771</v>
      </c>
      <c r="D128" s="3089" t="s">
        <v>2772</v>
      </c>
      <c r="E128" s="3115">
        <v>0.1</v>
      </c>
      <c r="F128" s="3115">
        <v>15</v>
      </c>
    </row>
    <row r="129" spans="1:6" ht="24">
      <c r="A129" s="3115">
        <v>57</v>
      </c>
      <c r="B129" s="3795"/>
      <c r="C129" s="3115" t="s">
        <v>2773</v>
      </c>
      <c r="D129" s="3089" t="s">
        <v>2774</v>
      </c>
      <c r="E129" s="3115">
        <v>0.1</v>
      </c>
      <c r="F129" s="3115">
        <v>15</v>
      </c>
    </row>
    <row r="130" spans="1:6" ht="24">
      <c r="A130" s="3115">
        <v>58</v>
      </c>
      <c r="B130" s="3795" t="s">
        <v>2775</v>
      </c>
      <c r="C130" s="3115" t="s">
        <v>2776</v>
      </c>
      <c r="D130" s="3089" t="s">
        <v>2777</v>
      </c>
      <c r="E130" s="3115">
        <v>0.1</v>
      </c>
      <c r="F130" s="3115">
        <v>15</v>
      </c>
    </row>
    <row r="131" spans="1:6" ht="24">
      <c r="A131" s="3115">
        <v>59</v>
      </c>
      <c r="B131" s="3795"/>
      <c r="C131" s="3115" t="s">
        <v>2778</v>
      </c>
      <c r="D131" s="3089" t="s">
        <v>2779</v>
      </c>
      <c r="E131" s="3115">
        <v>0.1</v>
      </c>
      <c r="F131" s="3115">
        <v>15</v>
      </c>
    </row>
    <row r="132" spans="1:6" ht="24">
      <c r="A132" s="3115">
        <v>60</v>
      </c>
      <c r="B132" s="3796" t="s">
        <v>2780</v>
      </c>
      <c r="C132" s="3115" t="s">
        <v>2781</v>
      </c>
      <c r="D132" s="3089" t="s">
        <v>2782</v>
      </c>
      <c r="E132" s="3115">
        <v>0.1</v>
      </c>
      <c r="F132" s="3115">
        <v>15</v>
      </c>
    </row>
    <row r="133" spans="1:6" ht="24">
      <c r="A133" s="3115">
        <v>61</v>
      </c>
      <c r="B133" s="3797"/>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795" t="s">
        <v>2788</v>
      </c>
      <c r="C135" s="3115" t="s">
        <v>2789</v>
      </c>
      <c r="D135" s="3089" t="s">
        <v>2790</v>
      </c>
      <c r="E135" s="3115">
        <v>0.1</v>
      </c>
      <c r="F135" s="3115">
        <v>15</v>
      </c>
    </row>
    <row r="136" spans="1:6" ht="24">
      <c r="A136" s="3115">
        <v>64</v>
      </c>
      <c r="B136" s="3795"/>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32416</v>
      </c>
      <c r="C2" s="2" t="s">
        <v>106</v>
      </c>
      <c r="D2" s="199"/>
      <c r="E2" s="199"/>
      <c r="F2" s="199"/>
      <c r="G2" s="199"/>
    </row>
    <row r="3" spans="1:7" s="200" customFormat="1" ht="18" customHeight="1" thickBot="1">
      <c r="A3" s="203" t="s">
        <v>58</v>
      </c>
      <c r="B3" s="204">
        <f ca="1">ROUND(B2*10000/'数据-汇总表'!E3,0)</f>
        <v>5012525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2024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6307</v>
      </c>
      <c r="D27" s="235">
        <f>C29</f>
        <v>8.9999999999999993E-3</v>
      </c>
      <c r="E27" s="236" t="s">
        <v>99</v>
      </c>
      <c r="F27" s="246">
        <f>'数据-取费表'!Q16</f>
        <v>0.3</v>
      </c>
      <c r="G27" s="247" t="s">
        <v>431</v>
      </c>
    </row>
    <row r="28" spans="1:7" s="214" customFormat="1" ht="13.5" customHeight="1">
      <c r="A28" s="780" t="s">
        <v>349</v>
      </c>
      <c r="B28" s="248" t="s">
        <v>424</v>
      </c>
      <c r="C28" s="249">
        <f>ROUND((C5+C19+C20)*F27*'数据-取费表'!B21/'数据-取费表'!B20,0)</f>
        <v>6307</v>
      </c>
      <c r="D28" s="235"/>
      <c r="E28" s="236"/>
      <c r="F28" s="246"/>
      <c r="G28" s="247"/>
    </row>
    <row r="29" spans="1:7" s="214" customFormat="1" ht="13.5" customHeight="1">
      <c r="A29" s="780" t="s">
        <v>347</v>
      </c>
      <c r="B29" s="248" t="s">
        <v>425</v>
      </c>
      <c r="C29" s="238">
        <f>ROUND(C21*F27*'数据-取费表'!B21/'数据-取费表'!B20,4)</f>
        <v>8.9999999999999993E-3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32390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1.4E-3</v>
      </c>
      <c r="D44" s="238"/>
      <c r="E44" s="238"/>
      <c r="F44" s="239"/>
      <c r="G44" s="3673"/>
    </row>
    <row r="45" spans="1:7" s="214" customFormat="1" ht="13.5" customHeight="1">
      <c r="A45" s="777" t="s">
        <v>341</v>
      </c>
      <c r="B45" s="244" t="s">
        <v>85</v>
      </c>
      <c r="C45" s="245">
        <f>C46</f>
        <v>8</v>
      </c>
      <c r="D45" s="235">
        <f>C47</f>
        <v>8.9999999999999993E-3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8.9999999999999993E-3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26</v>
      </c>
      <c r="D51" s="232"/>
      <c r="E51" s="232"/>
      <c r="F51" s="264"/>
      <c r="G51" s="234" t="s">
        <v>37</v>
      </c>
    </row>
    <row r="52" spans="1:7" s="208" customFormat="1" ht="16.8" thickBot="1">
      <c r="A52" s="265" t="s">
        <v>38</v>
      </c>
      <c r="B52" s="266"/>
      <c r="C52" s="267">
        <f ca="1">C31+C51</f>
        <v>32416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09" t="s">
        <v>2838</v>
      </c>
      <c r="B1" s="3809"/>
      <c r="C1" s="3809"/>
      <c r="D1" s="3809"/>
      <c r="E1" s="3809"/>
      <c r="F1" s="3809"/>
      <c r="G1" s="3810"/>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7"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08"/>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11" t="s">
        <v>3180</v>
      </c>
      <c r="B1" s="3811"/>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12" t="s">
        <v>3231</v>
      </c>
      <c r="B1" s="3812"/>
      <c r="C1" s="3812"/>
      <c r="D1" s="3812"/>
      <c r="E1" s="3812"/>
      <c r="F1" s="3813"/>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14" t="s">
        <v>2826</v>
      </c>
      <c r="S26" s="3815"/>
      <c r="T26" s="3815"/>
      <c r="U26" s="3815"/>
      <c r="V26" s="3815"/>
      <c r="W26" s="3815"/>
      <c r="X26" s="3162"/>
      <c r="Y26" s="3814" t="s">
        <v>2827</v>
      </c>
      <c r="Z26" s="3815"/>
      <c r="AA26" s="3815"/>
      <c r="AB26" s="3815"/>
      <c r="AC26" s="3815"/>
      <c r="AD26" s="3815"/>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1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1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2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1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1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1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1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1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1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1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1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1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1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1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7">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18">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1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7">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18">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6" t="str">
        <f>IF(项目基本情况!B9="房地产市场价值","估价结果一览表","结果表-2")</f>
        <v>估价结果一览表</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房地产市场价值</v>
      </c>
      <c r="I2" s="3507"/>
    </row>
    <row r="3" spans="1:9" ht="15.6">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2" t="s">
        <v>927</v>
      </c>
      <c r="B5" s="3502"/>
      <c r="C5" s="3502"/>
      <c r="D5" s="3502" t="e">
        <f ca="1">结果表!D119</f>
        <v>#REF!</v>
      </c>
      <c r="E5" s="3502"/>
      <c r="F5" s="3502" t="e">
        <f ca="1">结果表!F119</f>
        <v>#REF!</v>
      </c>
      <c r="G5" s="3502"/>
      <c r="H5" s="3502" t="e">
        <f ca="1">结果表!H119</f>
        <v>#REF!</v>
      </c>
      <c r="I5" s="3502"/>
    </row>
    <row r="6" spans="1:9" ht="15.6">
      <c r="A6" s="3501" t="str">
        <f>结果表!A120</f>
        <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6">
      <c r="A8" s="3501" t="str">
        <f>结果表!A122</f>
        <v/>
      </c>
      <c r="B8" s="3501"/>
      <c r="C8" s="3501"/>
      <c r="D8" s="3501" t="e">
        <f ca="1">结果表!D122</f>
        <v>#REF!</v>
      </c>
      <c r="E8" s="3501"/>
      <c r="F8" s="3501"/>
      <c r="G8" s="3501"/>
      <c r="H8" s="3501"/>
      <c r="I8" s="3501"/>
    </row>
    <row r="9" spans="1:9" ht="15">
      <c r="A9" s="3502" t="s">
        <v>927</v>
      </c>
      <c r="B9" s="3502"/>
      <c r="C9" s="3502"/>
      <c r="D9" s="3502" t="e">
        <f ca="1">结果表!D123</f>
        <v>#REF!</v>
      </c>
      <c r="E9" s="3502"/>
      <c r="F9" s="3502"/>
      <c r="G9" s="3502"/>
      <c r="H9" s="3502"/>
      <c r="I9" s="3502"/>
    </row>
    <row r="10" spans="1:9" ht="15.6">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6">
      <c r="A12" s="3501" t="str">
        <f>结果表!A126</f>
        <v/>
      </c>
      <c r="B12" s="3501"/>
      <c r="C12" s="3501"/>
      <c r="D12" s="3501" t="str">
        <f>结果表!D126</f>
        <v>——</v>
      </c>
      <c r="E12" s="3501"/>
      <c r="F12" s="3501"/>
      <c r="G12" s="3501"/>
      <c r="H12" s="3501"/>
      <c r="I12" s="3501"/>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4" t="s">
        <v>949</v>
      </c>
      <c r="B1" s="3514"/>
      <c r="C1" s="3514"/>
      <c r="D1" s="3514"/>
    </row>
    <row r="2" spans="1:4" ht="17.399999999999999">
      <c r="A2" s="3515" t="s">
        <v>933</v>
      </c>
      <c r="B2" s="3515"/>
      <c r="C2" s="3515"/>
      <c r="D2" s="35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5" t="s">
        <v>939</v>
      </c>
      <c r="B6" s="3515"/>
      <c r="C6" s="3515"/>
      <c r="D6" s="35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6"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08" t="str">
        <f>IF(项目基本情况!B8="抵押","3.抵押双方在办理抵押登记手续时，应使用本公司出具的正式《房地产评估报告》，特提醒报告使用者注意。","——")</f>
        <v>——</v>
      </c>
      <c r="B13" s="3513"/>
      <c r="C13" s="3513"/>
      <c r="D13" s="3513"/>
    </row>
    <row r="14" spans="1:4" ht="15.75" customHeight="1">
      <c r="A14" s="3508" t="str">
        <f>IF(项目基本情况!B8="抵押","4.本次评估估价师所知悉的法定优先受偿款情况说明如下：","——")</f>
        <v>——</v>
      </c>
      <c r="B14" s="3513"/>
      <c r="C14" s="3513"/>
      <c r="D14" s="3513"/>
    </row>
    <row r="15" spans="1:4" ht="42" customHeight="1">
      <c r="A15" s="3508" t="str">
        <f>IF(项目基本情况!B8="抵押","（1）"&amp;CONCATENATE(项目基本情况!L20,项目基本情况!L21,项目基本情况!L22),"——")</f>
        <v>——</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2" t="s">
        <v>956</v>
      </c>
      <c r="B15" s="3517" t="s">
        <v>109</v>
      </c>
      <c r="C15" s="3518"/>
    </row>
    <row r="16" spans="1:7" ht="14.4">
      <c r="A16" s="3523"/>
      <c r="B16" s="3517" t="s">
        <v>42</v>
      </c>
      <c r="C16" s="3518"/>
    </row>
    <row r="17" spans="1:3" ht="14.4">
      <c r="A17" s="3523"/>
      <c r="B17" s="3520" t="s">
        <v>957</v>
      </c>
      <c r="C17" s="1532" t="s">
        <v>956</v>
      </c>
    </row>
    <row r="18" spans="1:3" ht="14.4">
      <c r="A18" s="3523"/>
      <c r="B18" s="3520"/>
      <c r="C18" s="1532" t="s">
        <v>958</v>
      </c>
    </row>
    <row r="19" spans="1:3" ht="14.4">
      <c r="A19" s="3523"/>
      <c r="B19" s="3520"/>
      <c r="C19" s="1532" t="s">
        <v>959</v>
      </c>
    </row>
    <row r="20" spans="1:3" ht="14.4">
      <c r="A20" s="3524"/>
      <c r="B20" s="3519" t="s">
        <v>960</v>
      </c>
      <c r="C20" s="3518"/>
    </row>
    <row r="21" spans="1:3" ht="14.4">
      <c r="A21" s="1533" t="s">
        <v>961</v>
      </c>
      <c r="B21" s="1534"/>
      <c r="C21" s="1535"/>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32" t="s">
        <v>967</v>
      </c>
    </row>
    <row r="26" spans="1:3" ht="14.4">
      <c r="A26" s="3521"/>
      <c r="B26" s="3520"/>
      <c r="C26" s="1532" t="s">
        <v>968</v>
      </c>
    </row>
    <row r="27" spans="1:3" ht="14.4">
      <c r="A27" s="3521"/>
      <c r="B27" s="3520"/>
      <c r="C27" s="1532" t="s">
        <v>969</v>
      </c>
    </row>
    <row r="28" spans="1:3" ht="14.4">
      <c r="A28" s="3521"/>
      <c r="B28" s="3520"/>
      <c r="C28" s="1532" t="s">
        <v>970</v>
      </c>
    </row>
    <row r="29" spans="1:3" ht="14.4">
      <c r="A29" s="3521"/>
      <c r="B29" s="3520"/>
      <c r="C29" s="1532" t="s">
        <v>971</v>
      </c>
    </row>
    <row r="30" spans="1:3" ht="14.4">
      <c r="A30" s="3521"/>
      <c r="B30" s="3520"/>
      <c r="C30" s="1532" t="s">
        <v>972</v>
      </c>
    </row>
    <row r="31" spans="1:3" ht="14.4">
      <c r="A31" s="3521"/>
      <c r="B31" s="3520"/>
      <c r="C31" s="1532" t="s">
        <v>973</v>
      </c>
    </row>
    <row r="32" spans="1:3" ht="14.4">
      <c r="A32" s="3521"/>
      <c r="B32" s="3520"/>
      <c r="C32" s="1532" t="s">
        <v>974</v>
      </c>
    </row>
    <row r="33" spans="1:3" ht="14.4">
      <c r="A33" s="3521"/>
      <c r="B33" s="35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45706</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0"/>
      <c r="E18" s="3527" t="s">
        <v>2162</v>
      </c>
      <c r="F18" s="3526"/>
      <c r="G18" s="3526"/>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2025-02-18T02:59:09Z</dcterms:modified>
</cp:coreProperties>
</file>