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工体住宅\"/>
    </mc:Choice>
  </mc:AlternateContent>
  <bookViews>
    <workbookView xWindow="0" yWindow="0" windowWidth="18912" windowHeight="12996" tabRatio="899" firstSheet="12"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租金" sheetId="81" r:id="rId26"/>
    <sheet name="比较法-住宅" sheetId="21" r:id="rId27"/>
    <sheet name="售价" sheetId="80" r:id="rId28"/>
    <sheet name="Sheet2" sheetId="84" r:id="rId29"/>
    <sheet name="Sheet1" sheetId="83" r:id="rId30"/>
    <sheet name="法拍" sheetId="82"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6"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G47" i="21" l="1"/>
  <c r="T45" i="81"/>
  <c r="S45" i="81"/>
  <c r="S43" i="81"/>
  <c r="S44" i="81"/>
  <c r="S42" i="81"/>
  <c r="F20" i="67"/>
  <c r="O21" i="1"/>
  <c r="N6" i="1"/>
  <c r="Y6" i="1"/>
  <c r="D106" i="21"/>
  <c r="F34" i="21"/>
  <c r="AA34" i="21"/>
  <c r="D125" i="21"/>
  <c r="E125" i="21"/>
  <c r="F43" i="21"/>
  <c r="AA43" i="21"/>
  <c r="F33" i="21"/>
  <c r="AA33" i="21"/>
  <c r="C37" i="21"/>
  <c r="E37" i="21"/>
  <c r="D113" i="21"/>
  <c r="E113" i="21"/>
  <c r="F37" i="21"/>
  <c r="AA37" i="21"/>
  <c r="F7" i="21"/>
  <c r="AA7" i="21"/>
  <c r="D110" i="21"/>
  <c r="E110" i="21"/>
  <c r="F110" i="21"/>
  <c r="F36" i="21"/>
  <c r="AA36" i="21"/>
  <c r="D123" i="21"/>
  <c r="F42" i="21"/>
  <c r="AA42" i="21"/>
  <c r="D101" i="21"/>
  <c r="E101" i="21"/>
  <c r="F101" i="21"/>
  <c r="F32" i="21"/>
  <c r="AA32" i="21"/>
  <c r="R48" i="21"/>
  <c r="H34" i="21"/>
  <c r="AB34" i="21"/>
  <c r="H43" i="21"/>
  <c r="AB43" i="21"/>
  <c r="H33" i="21"/>
  <c r="AB33" i="21"/>
  <c r="G37" i="21"/>
  <c r="H37" i="21"/>
  <c r="AB37" i="21"/>
  <c r="H7" i="21"/>
  <c r="AB7" i="21"/>
  <c r="T47" i="21"/>
  <c r="H36" i="21"/>
  <c r="AB36" i="21"/>
  <c r="H42" i="21"/>
  <c r="AB42" i="21"/>
  <c r="H32" i="21"/>
  <c r="AB32" i="21"/>
  <c r="T48" i="21"/>
  <c r="E106" i="21"/>
  <c r="F106" i="21"/>
  <c r="J34" i="21"/>
  <c r="AC34" i="21"/>
  <c r="J43" i="21"/>
  <c r="AC43" i="21"/>
  <c r="J33" i="21"/>
  <c r="AC33" i="21"/>
  <c r="J37" i="21"/>
  <c r="AC37" i="21"/>
  <c r="J7" i="21"/>
  <c r="AC7" i="21"/>
  <c r="J36" i="21"/>
  <c r="AC36" i="21"/>
  <c r="J42" i="21"/>
  <c r="AC42" i="21"/>
  <c r="J32" i="21"/>
  <c r="AC32" i="21"/>
  <c r="V48" i="21"/>
  <c r="R49" i="21"/>
  <c r="C49" i="21"/>
  <c r="B3" i="21"/>
  <c r="C17" i="9"/>
  <c r="D17" i="9"/>
  <c r="C18" i="9"/>
  <c r="D18" i="9"/>
  <c r="K6" i="80"/>
  <c r="I33" i="21"/>
  <c r="I47" i="21"/>
  <c r="I7" i="21"/>
  <c r="I6" i="21"/>
  <c r="I5" i="21"/>
  <c r="B14" i="74"/>
  <c r="F51" i="82"/>
  <c r="D51" i="82"/>
  <c r="F28" i="82"/>
  <c r="D28" i="82"/>
  <c r="F3" i="82"/>
  <c r="D3" i="82"/>
  <c r="D5" i="9"/>
  <c r="E47" i="21"/>
  <c r="G33" i="21"/>
  <c r="E33" i="21"/>
  <c r="C33" i="21"/>
  <c r="K7" i="80"/>
  <c r="L7" i="80"/>
  <c r="G6" i="21"/>
  <c r="E6" i="21"/>
  <c r="G5" i="21"/>
  <c r="E5" i="21"/>
  <c r="G7" i="21"/>
  <c r="E7" i="21"/>
  <c r="B55" i="1"/>
  <c r="O19" i="1"/>
  <c r="F19" i="6"/>
  <c r="D3" i="4"/>
  <c r="C60" i="78"/>
  <c r="D60" i="78"/>
  <c r="B51" i="78"/>
  <c r="B55" i="78"/>
  <c r="D55" i="78"/>
  <c r="D53" i="78"/>
  <c r="D52" i="78"/>
  <c r="D51" i="78"/>
  <c r="B56" i="78"/>
  <c r="C51" i="78"/>
  <c r="C56" i="78"/>
  <c r="C58" i="78"/>
  <c r="B62" i="78"/>
  <c r="B54" i="78"/>
  <c r="D54" i="78"/>
  <c r="D56" i="78"/>
  <c r="D58" i="78"/>
  <c r="D62" i="78"/>
  <c r="C62" i="78"/>
  <c r="G14" i="73"/>
  <c r="F14" i="73"/>
  <c r="E14" i="73"/>
  <c r="AB30" i="79"/>
  <c r="AA30" i="79"/>
  <c r="Z30" i="79"/>
  <c r="N30" i="79"/>
  <c r="M30" i="79"/>
  <c r="P30" i="79"/>
  <c r="L30" i="79"/>
  <c r="I30" i="79"/>
  <c r="AD30" i="79"/>
  <c r="AC5" i="79"/>
  <c r="AB5" i="79"/>
  <c r="AA5" i="79"/>
  <c r="AD5" i="79"/>
  <c r="Z5" i="79"/>
  <c r="Y5" i="79"/>
  <c r="O5" i="79"/>
  <c r="N5" i="79"/>
  <c r="M5" i="79"/>
  <c r="P5" i="79"/>
  <c r="L5" i="79"/>
  <c r="K5" i="79"/>
  <c r="I5" i="79"/>
  <c r="AC6" i="79"/>
  <c r="AB6" i="79"/>
  <c r="AA6" i="79"/>
  <c r="AD6" i="79"/>
  <c r="Z6" i="79"/>
  <c r="Y6" i="79"/>
  <c r="O6" i="79"/>
  <c r="N6" i="79"/>
  <c r="M6" i="79"/>
  <c r="P6" i="79"/>
  <c r="L6" i="79"/>
  <c r="K6" i="79"/>
  <c r="I6" i="79"/>
  <c r="AB31" i="79"/>
  <c r="AA31" i="79"/>
  <c r="Z31" i="79"/>
  <c r="N31" i="79"/>
  <c r="M31" i="79"/>
  <c r="P31" i="79"/>
  <c r="L31" i="79"/>
  <c r="I31" i="79"/>
  <c r="I32" i="79"/>
  <c r="I33" i="79"/>
  <c r="I34" i="79"/>
  <c r="I35" i="79"/>
  <c r="I36" i="79"/>
  <c r="I37" i="79"/>
  <c r="I38" i="79"/>
  <c r="I39" i="79"/>
  <c r="I40" i="79"/>
  <c r="I41" i="79"/>
  <c r="I42" i="79"/>
  <c r="I43" i="79"/>
  <c r="I44" i="79"/>
  <c r="AD31" i="79"/>
  <c r="G15" i="73"/>
  <c r="F15" i="73"/>
  <c r="E15" i="73"/>
  <c r="G16" i="73"/>
  <c r="F16" i="73"/>
  <c r="E16" i="73"/>
  <c r="AB32" i="79"/>
  <c r="AA32" i="79"/>
  <c r="Z32" i="79"/>
  <c r="N32" i="79"/>
  <c r="M32" i="79"/>
  <c r="P32" i="79"/>
  <c r="L32" i="79"/>
  <c r="I45" i="79"/>
  <c r="AD32" i="79"/>
  <c r="AC7" i="79"/>
  <c r="AB7" i="79"/>
  <c r="AA7" i="79"/>
  <c r="AD7" i="79"/>
  <c r="Z7" i="79"/>
  <c r="Y7" i="79"/>
  <c r="O7" i="79"/>
  <c r="N7" i="79"/>
  <c r="M7" i="79"/>
  <c r="P7" i="79"/>
  <c r="L7" i="79"/>
  <c r="K7" i="79"/>
  <c r="I7" i="79"/>
  <c r="I10" i="79"/>
  <c r="N34" i="79"/>
  <c r="M34" i="79"/>
  <c r="P34" i="79"/>
  <c r="L34" i="79"/>
  <c r="N35" i="79"/>
  <c r="M35" i="79"/>
  <c r="L35" i="79"/>
  <c r="O9" i="79"/>
  <c r="N9" i="79"/>
  <c r="M9" i="79"/>
  <c r="P9" i="79"/>
  <c r="L9" i="79"/>
  <c r="K9" i="79"/>
  <c r="O10" i="79"/>
  <c r="N10" i="79"/>
  <c r="M10" i="79"/>
  <c r="P10" i="79"/>
  <c r="L10" i="79"/>
  <c r="K10" i="79"/>
  <c r="P35" i="79"/>
  <c r="G17" i="73"/>
  <c r="F17" i="73"/>
  <c r="E17" i="73"/>
  <c r="L36" i="79"/>
  <c r="M36" i="79"/>
  <c r="P36" i="79"/>
  <c r="N36" i="79"/>
  <c r="L37" i="79"/>
  <c r="M37" i="79"/>
  <c r="P37" i="79"/>
  <c r="N37" i="79"/>
  <c r="L38" i="79"/>
  <c r="M38" i="79"/>
  <c r="N38" i="79"/>
  <c r="I11" i="79"/>
  <c r="I12" i="79"/>
  <c r="I13" i="79"/>
  <c r="K11" i="79"/>
  <c r="L11" i="79"/>
  <c r="M11" i="79"/>
  <c r="P11" i="79"/>
  <c r="N11" i="79"/>
  <c r="O11" i="79"/>
  <c r="K12" i="79"/>
  <c r="L12" i="79"/>
  <c r="M12" i="79"/>
  <c r="P12" i="79"/>
  <c r="N12" i="79"/>
  <c r="O12" i="79"/>
  <c r="K13" i="79"/>
  <c r="L13" i="79"/>
  <c r="M13" i="79"/>
  <c r="P13" i="79"/>
  <c r="N13" i="79"/>
  <c r="O13" i="79"/>
  <c r="P3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F13" i="1"/>
  <c r="G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S6" i="43"/>
  <c r="AB46" i="79"/>
  <c r="AA46" i="79"/>
  <c r="Z46" i="79"/>
  <c r="W46" i="79"/>
  <c r="N46" i="79"/>
  <c r="M46" i="79"/>
  <c r="P46" i="79"/>
  <c r="L46" i="79"/>
  <c r="I46" i="79"/>
  <c r="AD46" i="79"/>
  <c r="AB45" i="79"/>
  <c r="AA45" i="79"/>
  <c r="Z45" i="79"/>
  <c r="N45" i="79"/>
  <c r="U45" i="79"/>
  <c r="M45" i="79"/>
  <c r="L45" i="79"/>
  <c r="S45" i="79"/>
  <c r="AD45" i="79"/>
  <c r="AB44" i="79"/>
  <c r="AA44" i="79"/>
  <c r="Z44" i="79"/>
  <c r="N44" i="79"/>
  <c r="U44" i="79"/>
  <c r="M44" i="79"/>
  <c r="L44" i="79"/>
  <c r="AB43" i="79"/>
  <c r="AA43" i="79"/>
  <c r="Z43" i="79"/>
  <c r="N43" i="79"/>
  <c r="M43" i="79"/>
  <c r="L43" i="79"/>
  <c r="AB42" i="79"/>
  <c r="AA42" i="79"/>
  <c r="Z42" i="79"/>
  <c r="N42" i="79"/>
  <c r="M42" i="79"/>
  <c r="L42" i="79"/>
  <c r="S42" i="79"/>
  <c r="AB41" i="79"/>
  <c r="AA41" i="79"/>
  <c r="Z41" i="79"/>
  <c r="N41" i="79"/>
  <c r="M41" i="79"/>
  <c r="L41" i="79"/>
  <c r="AD41" i="79"/>
  <c r="AB40" i="79"/>
  <c r="AA40" i="79"/>
  <c r="Z40" i="79"/>
  <c r="N40" i="79"/>
  <c r="U40" i="79"/>
  <c r="M40" i="79"/>
  <c r="L40" i="79"/>
  <c r="AB39" i="79"/>
  <c r="AA39" i="79"/>
  <c r="Z39" i="79"/>
  <c r="N39" i="79"/>
  <c r="M39" i="79"/>
  <c r="T34" i="79"/>
  <c r="W34" i="79"/>
  <c r="L39" i="79"/>
  <c r="AB33" i="79"/>
  <c r="AA33" i="79"/>
  <c r="AA28" i="79"/>
  <c r="AD28" i="79"/>
  <c r="Z33" i="79"/>
  <c r="N33" i="79"/>
  <c r="M33" i="79"/>
  <c r="L33" i="79"/>
  <c r="N28" i="79"/>
  <c r="G28" i="79"/>
  <c r="F28" i="79"/>
  <c r="I28" i="79"/>
  <c r="E28" i="79"/>
  <c r="AC21" i="79"/>
  <c r="AB21" i="79"/>
  <c r="AA21" i="79"/>
  <c r="AD21" i="79"/>
  <c r="Z21" i="79"/>
  <c r="Y21" i="79"/>
  <c r="W21" i="79"/>
  <c r="M21" i="79"/>
  <c r="P21" i="79"/>
  <c r="O21" i="79"/>
  <c r="N21" i="79"/>
  <c r="L21" i="79"/>
  <c r="K21" i="79"/>
  <c r="I21" i="79"/>
  <c r="AC20" i="79"/>
  <c r="AB20" i="79"/>
  <c r="AA20" i="79"/>
  <c r="AD20" i="79"/>
  <c r="Z20" i="79"/>
  <c r="Y20" i="79"/>
  <c r="O20" i="79"/>
  <c r="V20" i="79"/>
  <c r="N20" i="79"/>
  <c r="U20" i="79"/>
  <c r="M20" i="79"/>
  <c r="L20" i="79"/>
  <c r="S20" i="79"/>
  <c r="K20" i="79"/>
  <c r="R20" i="79"/>
  <c r="I20" i="79"/>
  <c r="AC19" i="79"/>
  <c r="AB19" i="79"/>
  <c r="AA19" i="79"/>
  <c r="AD19" i="79"/>
  <c r="Z19" i="79"/>
  <c r="Y19" i="79"/>
  <c r="O19" i="79"/>
  <c r="N19" i="79"/>
  <c r="M19" i="79"/>
  <c r="T19" i="79"/>
  <c r="W19" i="79"/>
  <c r="L19" i="79"/>
  <c r="K19" i="79"/>
  <c r="I19" i="79"/>
  <c r="AC18" i="79"/>
  <c r="AB18" i="79"/>
  <c r="AA18" i="79"/>
  <c r="AD18" i="79"/>
  <c r="Z18" i="79"/>
  <c r="Y18" i="79"/>
  <c r="O18" i="79"/>
  <c r="N18" i="79"/>
  <c r="M18" i="79"/>
  <c r="L18" i="79"/>
  <c r="K18" i="79"/>
  <c r="I18" i="79"/>
  <c r="AA17" i="79"/>
  <c r="AD17" i="79"/>
  <c r="AC17" i="79"/>
  <c r="AB17" i="79"/>
  <c r="Z17" i="79"/>
  <c r="Y17" i="79"/>
  <c r="O17" i="79"/>
  <c r="N17" i="79"/>
  <c r="M17" i="79"/>
  <c r="L17" i="79"/>
  <c r="S17" i="79"/>
  <c r="K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8" i="79"/>
  <c r="AB8" i="79"/>
  <c r="AA8" i="79"/>
  <c r="AD8" i="79"/>
  <c r="Z8" i="79"/>
  <c r="Z3" i="79"/>
  <c r="Y8" i="79"/>
  <c r="O8" i="79"/>
  <c r="N8" i="79"/>
  <c r="M8" i="79"/>
  <c r="L8" i="79"/>
  <c r="K8" i="79"/>
  <c r="I8"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c r="S31" i="79"/>
  <c r="S30" i="79"/>
  <c r="M28" i="79"/>
  <c r="P28" i="79"/>
  <c r="T30" i="79"/>
  <c r="W30" i="79"/>
  <c r="T31" i="79"/>
  <c r="W31" i="79"/>
  <c r="U31" i="79"/>
  <c r="U30" i="79"/>
  <c r="R15" i="79"/>
  <c r="T17" i="79"/>
  <c r="W17" i="79"/>
  <c r="T6" i="79"/>
  <c r="W6" i="79"/>
  <c r="T5" i="79"/>
  <c r="W5" i="79"/>
  <c r="V15" i="79"/>
  <c r="U19" i="79"/>
  <c r="U6" i="79"/>
  <c r="U5" i="79"/>
  <c r="S6" i="79"/>
  <c r="S5" i="79"/>
  <c r="S16" i="79"/>
  <c r="R6" i="79"/>
  <c r="R5" i="79"/>
  <c r="V6" i="79"/>
  <c r="V5" i="79"/>
  <c r="R19" i="79"/>
  <c r="V19" i="79"/>
  <c r="S19" i="79"/>
  <c r="U7" i="79"/>
  <c r="S15" i="79"/>
  <c r="U17" i="79"/>
  <c r="U18" i="79"/>
  <c r="T28" i="79"/>
  <c r="W28" i="79"/>
  <c r="U34" i="79"/>
  <c r="AD40" i="79"/>
  <c r="S41" i="79"/>
  <c r="U43" i="79"/>
  <c r="AD44" i="79"/>
  <c r="AB3" i="79"/>
  <c r="U28" i="79"/>
  <c r="U32" i="79"/>
  <c r="U42" i="79"/>
  <c r="AD43" i="79"/>
  <c r="S44" i="79"/>
  <c r="L3" i="79"/>
  <c r="Y3" i="79"/>
  <c r="AC3" i="79"/>
  <c r="S18" i="79"/>
  <c r="AD33" i="79"/>
  <c r="S34" i="79"/>
  <c r="T40" i="79"/>
  <c r="U41" i="79"/>
  <c r="AD42" i="79"/>
  <c r="S43" i="79"/>
  <c r="V3" i="79"/>
  <c r="L28" i="79"/>
  <c r="T33" i="79"/>
  <c r="W33" i="79"/>
  <c r="T32" i="79"/>
  <c r="W32" i="79"/>
  <c r="N3" i="79"/>
  <c r="K3" i="79"/>
  <c r="R7" i="79"/>
  <c r="O3" i="79"/>
  <c r="V7" i="79"/>
  <c r="T15" i="79"/>
  <c r="W15" i="79"/>
  <c r="U16" i="79"/>
  <c r="R17" i="79"/>
  <c r="V17" i="79"/>
  <c r="R18" i="79"/>
  <c r="V18" i="79"/>
  <c r="S3" i="79"/>
  <c r="S7" i="79"/>
  <c r="U15" i="79"/>
  <c r="R16" i="79"/>
  <c r="V16" i="79"/>
  <c r="P8" i="79"/>
  <c r="T7" i="79"/>
  <c r="W7" i="79"/>
  <c r="U3" i="79"/>
  <c r="S33" i="79"/>
  <c r="M3" i="79"/>
  <c r="P3" i="79"/>
  <c r="T3" i="79"/>
  <c r="W3" i="79"/>
  <c r="U33" i="79"/>
  <c r="AD39" i="79"/>
  <c r="T38" i="79"/>
  <c r="T36" i="79"/>
  <c r="W36" i="79"/>
  <c r="T39" i="79"/>
  <c r="W39" i="79"/>
  <c r="T37" i="79"/>
  <c r="T35" i="79"/>
  <c r="W35" i="79"/>
  <c r="S40" i="79"/>
  <c r="T41" i="79"/>
  <c r="W41" i="79"/>
  <c r="T43" i="79"/>
  <c r="W43" i="79"/>
  <c r="T45" i="79"/>
  <c r="W45" i="79"/>
  <c r="S39" i="79"/>
  <c r="S37" i="79"/>
  <c r="S38" i="79"/>
  <c r="S36" i="79"/>
  <c r="S35" i="79"/>
  <c r="U39" i="79"/>
  <c r="U37" i="79"/>
  <c r="U38" i="79"/>
  <c r="U36" i="79"/>
  <c r="U35" i="79"/>
  <c r="T42" i="79"/>
  <c r="W42" i="79"/>
  <c r="T44" i="79"/>
  <c r="W44" i="79"/>
  <c r="S10" i="79"/>
  <c r="S13" i="79"/>
  <c r="S14" i="79"/>
  <c r="S9" i="79"/>
  <c r="U10" i="79"/>
  <c r="U13" i="79"/>
  <c r="U14" i="79"/>
  <c r="U9" i="79"/>
  <c r="P18" i="79"/>
  <c r="T18" i="79"/>
  <c r="W18" i="79"/>
  <c r="R10" i="79"/>
  <c r="R13" i="79"/>
  <c r="R14" i="79"/>
  <c r="R9" i="79"/>
  <c r="T10" i="79"/>
  <c r="W10" i="79"/>
  <c r="T13" i="79"/>
  <c r="W13" i="79"/>
  <c r="T14" i="79"/>
  <c r="W14" i="79"/>
  <c r="T9" i="79"/>
  <c r="W9" i="79"/>
  <c r="V10" i="79"/>
  <c r="V13" i="79"/>
  <c r="V14" i="79"/>
  <c r="V9" i="79"/>
  <c r="P16" i="79"/>
  <c r="T16" i="79"/>
  <c r="W16" i="79"/>
  <c r="P20" i="79"/>
  <c r="T20" i="79"/>
  <c r="W20" i="79"/>
  <c r="AA3" i="79"/>
  <c r="AD3" i="79"/>
  <c r="W38" i="79"/>
  <c r="W37" i="79"/>
  <c r="AB28" i="79"/>
  <c r="R11" i="79"/>
  <c r="R8" i="79"/>
  <c r="R12" i="79"/>
  <c r="P14" i="79"/>
  <c r="T12" i="79"/>
  <c r="W12" i="79"/>
  <c r="T11" i="79"/>
  <c r="W11" i="79"/>
  <c r="T8" i="79"/>
  <c r="W8" i="79"/>
  <c r="V11" i="79"/>
  <c r="V8" i="79"/>
  <c r="V12" i="79"/>
  <c r="S12" i="79"/>
  <c r="S8" i="79"/>
  <c r="S11" i="79"/>
  <c r="U12" i="79"/>
  <c r="U8" i="79"/>
  <c r="U11" i="79"/>
  <c r="S28" i="79"/>
  <c r="P17" i="79"/>
  <c r="P19" i="79"/>
  <c r="R3" i="79"/>
  <c r="Z28" i="79"/>
  <c r="W40" i="79"/>
  <c r="P15" i="79"/>
  <c r="C27" i="43"/>
  <c r="S2" i="43"/>
  <c r="E93" i="43"/>
  <c r="B91" i="43"/>
  <c r="S3" i="43"/>
  <c r="F39" i="43"/>
  <c r="N1" i="43"/>
  <c r="M2" i="43"/>
  <c r="N2" i="43"/>
  <c r="M3" i="43"/>
  <c r="N3" i="43"/>
  <c r="M4" i="43"/>
  <c r="N4" i="43"/>
  <c r="M5" i="43"/>
  <c r="N5" i="43"/>
  <c r="F93" i="43"/>
  <c r="H100" i="43"/>
  <c r="N10" i="43"/>
  <c r="N11" i="43"/>
  <c r="M6" i="43"/>
  <c r="N6" i="43"/>
  <c r="M7" i="43"/>
  <c r="N7" i="43"/>
  <c r="M8" i="43"/>
  <c r="N8" i="43"/>
  <c r="M9" i="43"/>
  <c r="N9" i="43"/>
  <c r="M10" i="43"/>
  <c r="M11" i="43"/>
  <c r="M12" i="43"/>
  <c r="E21" i="43"/>
  <c r="O21" i="43"/>
  <c r="L21" i="43"/>
  <c r="G18" i="43"/>
  <c r="P33" i="79"/>
  <c r="P40" i="79"/>
  <c r="P42" i="79"/>
  <c r="P44" i="79"/>
  <c r="P39" i="79"/>
  <c r="P41" i="79"/>
  <c r="P43" i="79"/>
  <c r="P45" i="79"/>
  <c r="E25" i="78"/>
  <c r="E24" i="78"/>
  <c r="F23" i="78"/>
  <c r="F24" i="78"/>
  <c r="F25" i="78"/>
  <c r="E23" i="78"/>
  <c r="E22" i="78"/>
  <c r="G22" i="78"/>
  <c r="F12" i="78"/>
  <c r="F11" i="78"/>
  <c r="C18" i="78"/>
  <c r="C15" i="78"/>
  <c r="H95" i="43"/>
  <c r="H94" i="43"/>
  <c r="H101" i="43"/>
  <c r="H99" i="43"/>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B7" i="49" s="1"/>
  <c r="D7"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B19" i="72"/>
  <c r="K59" i="67"/>
  <c r="P61" i="67"/>
  <c r="K59" i="15"/>
  <c r="P74" i="15"/>
  <c r="D115" i="39"/>
  <c r="E115" i="39"/>
  <c r="F115" i="39"/>
  <c r="G115" i="39"/>
  <c r="H115" i="39"/>
  <c r="I115" i="39"/>
  <c r="J115" i="39"/>
  <c r="K115" i="39"/>
  <c r="L115" i="39"/>
  <c r="M115" i="39"/>
  <c r="C115" i="39"/>
  <c r="A21" i="62"/>
  <c r="B67" i="72"/>
  <c r="A20" i="62"/>
  <c r="A22" i="51"/>
  <c r="A21" i="51"/>
  <c r="B16" i="72"/>
  <c r="A20" i="51"/>
  <c r="B15" i="72"/>
  <c r="A15" i="62"/>
  <c r="B61" i="72"/>
  <c r="A14" i="62"/>
  <c r="B60" i="72"/>
  <c r="A13" i="62"/>
  <c r="B59" i="72"/>
  <c r="A19" i="62"/>
  <c r="B65" i="72"/>
  <c r="A12" i="62"/>
  <c r="B58" i="72"/>
  <c r="A120" i="9"/>
  <c r="K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J1" i="73"/>
  <c r="B74" i="72"/>
  <c r="K49" i="9"/>
  <c r="E107" i="9"/>
  <c r="A122" i="9"/>
  <c r="A8" i="52"/>
  <c r="B54" i="72"/>
  <c r="E111" i="9"/>
  <c r="A126" i="9"/>
  <c r="A12" i="52"/>
  <c r="B56" i="72"/>
  <c r="E109" i="9"/>
  <c r="A124" i="9"/>
  <c r="A10" i="52"/>
  <c r="B55" i="72"/>
  <c r="B44" i="72"/>
  <c r="B42" i="72"/>
  <c r="B69" i="72"/>
  <c r="B68" i="72"/>
  <c r="B63" i="72"/>
  <c r="B62" i="72"/>
  <c r="B66"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AB19" i="21"/>
  <c r="D83" i="21"/>
  <c r="E83" i="21"/>
  <c r="F83" i="21"/>
  <c r="G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J21" i="21"/>
  <c r="W21" i="21"/>
  <c r="F38" i="68"/>
  <c r="E37" i="68"/>
  <c r="F36" i="68"/>
  <c r="F35" i="68"/>
  <c r="F21" i="68"/>
  <c r="F40" i="68"/>
  <c r="F20" i="68"/>
  <c r="F39" i="68"/>
  <c r="E10" i="68"/>
  <c r="E9" i="68"/>
  <c r="AC21" i="21"/>
  <c r="Q72" i="67"/>
  <c r="Q59" i="67"/>
  <c r="Q58" i="67"/>
  <c r="Q51" i="67"/>
  <c r="J50" i="67"/>
  <c r="M47" i="67"/>
  <c r="D46" i="67"/>
  <c r="F33" i="67"/>
  <c r="F61" i="67"/>
  <c r="F23" i="67"/>
  <c r="D24" i="67"/>
  <c r="F21" i="67"/>
  <c r="M19" i="67"/>
  <c r="F18" i="67"/>
  <c r="F17" i="67"/>
  <c r="F15" i="67"/>
  <c r="S2" i="4"/>
  <c r="C51" i="10"/>
  <c r="A13" i="51"/>
  <c r="B11" i="72"/>
  <c r="S1" i="4"/>
  <c r="B1" i="4"/>
  <c r="AA8" i="71"/>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c r="E7" i="1"/>
  <c r="A8" i="1"/>
  <c r="B8" i="1"/>
  <c r="E8" i="1"/>
  <c r="A9" i="1"/>
  <c r="A10" i="1"/>
  <c r="A11" i="1"/>
  <c r="B11" i="1"/>
  <c r="E11" i="1"/>
  <c r="A12" i="1"/>
  <c r="A13" i="1"/>
  <c r="B13" i="1"/>
  <c r="E13" i="1"/>
  <c r="A6" i="1"/>
  <c r="F3" i="35"/>
  <c r="K13" i="1"/>
  <c r="M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13" i="53"/>
  <c r="B29" i="72"/>
  <c r="R35" i="4"/>
  <c r="Q35" i="4"/>
  <c r="P35" i="4"/>
  <c r="O35" i="4"/>
  <c r="N35" i="4"/>
  <c r="M35" i="4"/>
  <c r="L35" i="4"/>
  <c r="K34" i="4"/>
  <c r="T34" i="4"/>
  <c r="H15" i="4"/>
  <c r="G15" i="4"/>
  <c r="F12" i="1"/>
  <c r="G12" i="1"/>
  <c r="F15" i="4"/>
  <c r="F11" i="1"/>
  <c r="D15" i="4"/>
  <c r="F7" i="1"/>
  <c r="G7" i="1"/>
  <c r="C15" i="4"/>
  <c r="F6" i="1"/>
  <c r="L21" i="4"/>
  <c r="F19" i="4"/>
  <c r="F2" i="52"/>
  <c r="B50" i="72"/>
  <c r="D2" i="52"/>
  <c r="B46" i="72"/>
  <c r="B8" i="53"/>
  <c r="B23" i="72"/>
  <c r="L4" i="9"/>
  <c r="B17"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C36" i="68" s="1"/>
  <c r="B43" i="1"/>
  <c r="D78" i="9"/>
  <c r="BQ13" i="3"/>
  <c r="BQ14" i="3"/>
  <c r="BQ15" i="3"/>
  <c r="BQ16" i="3"/>
  <c r="BQ17" i="3"/>
  <c r="BS13" i="3"/>
  <c r="BS14" i="3"/>
  <c r="BS15" i="3"/>
  <c r="BS16" i="3"/>
  <c r="BS17" i="3"/>
  <c r="BR14" i="3"/>
  <c r="BR15" i="3"/>
  <c r="BR16" i="3"/>
  <c r="BR17" i="3"/>
  <c r="BT13" i="3"/>
  <c r="BT5" i="3"/>
  <c r="G28" i="6"/>
  <c r="BT14" i="3"/>
  <c r="BT15" i="3"/>
  <c r="BT16" i="3"/>
  <c r="BT17" i="3"/>
  <c r="BM14" i="3"/>
  <c r="BM15" i="3"/>
  <c r="BN15" i="3"/>
  <c r="BO15" i="3"/>
  <c r="BP15" i="3"/>
  <c r="BL15" i="3"/>
  <c r="BM16" i="3"/>
  <c r="BM17" i="3"/>
  <c r="BO13" i="3"/>
  <c r="BO14" i="3"/>
  <c r="BO16" i="3"/>
  <c r="BO17" i="3"/>
  <c r="BN13" i="3"/>
  <c r="BN14" i="3"/>
  <c r="BN16" i="3"/>
  <c r="BP16" i="3"/>
  <c r="BL16" i="3"/>
  <c r="BN17" i="3"/>
  <c r="BP13" i="3"/>
  <c r="BP5" i="3"/>
  <c r="G29" i="6"/>
  <c r="BP14" i="3"/>
  <c r="BP17" i="3"/>
  <c r="E19" i="6"/>
  <c r="E20" i="6"/>
  <c r="E21" i="6"/>
  <c r="K8" i="1"/>
  <c r="M8" i="1"/>
  <c r="F23" i="15"/>
  <c r="D24" i="15"/>
  <c r="E22" i="6"/>
  <c r="E23" i="6"/>
  <c r="K10" i="1"/>
  <c r="M10" i="1"/>
  <c r="E24" i="6"/>
  <c r="E25" i="6"/>
  <c r="E26" i="6"/>
  <c r="BB13" i="3"/>
  <c r="BC13" i="3"/>
  <c r="BD13" i="3"/>
  <c r="BD5" i="3"/>
  <c r="BE13" i="3"/>
  <c r="BF13" i="3"/>
  <c r="BG13" i="3"/>
  <c r="BG5" i="3"/>
  <c r="BH13" i="3"/>
  <c r="BH5"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C94"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E123" i="21"/>
  <c r="F123" i="21"/>
  <c r="G123" i="21"/>
  <c r="H123" i="21"/>
  <c r="I123" i="21"/>
  <c r="J123" i="21"/>
  <c r="K123" i="21"/>
  <c r="L123" i="21"/>
  <c r="M123" i="21"/>
  <c r="D119" i="21"/>
  <c r="F40" i="21"/>
  <c r="AA40" i="21"/>
  <c r="D117" i="21"/>
  <c r="E117" i="21"/>
  <c r="D115" i="21"/>
  <c r="E115" i="21"/>
  <c r="F115" i="21"/>
  <c r="G115" i="21"/>
  <c r="H115" i="21"/>
  <c r="I115" i="21"/>
  <c r="J115" i="21"/>
  <c r="K115" i="21"/>
  <c r="L115" i="21"/>
  <c r="M115" i="21"/>
  <c r="D108" i="21"/>
  <c r="E108" i="21"/>
  <c r="F108" i="21"/>
  <c r="G108" i="21"/>
  <c r="H108" i="21"/>
  <c r="I108" i="21"/>
  <c r="J108" i="21"/>
  <c r="K108" i="21"/>
  <c r="L108" i="21"/>
  <c r="M108" i="21"/>
  <c r="G106" i="21"/>
  <c r="H106" i="21"/>
  <c r="I106" i="21"/>
  <c r="J106" i="21"/>
  <c r="K106" i="21"/>
  <c r="L106" i="21"/>
  <c r="M106" i="21"/>
  <c r="D89" i="21"/>
  <c r="E89" i="21"/>
  <c r="F89" i="21"/>
  <c r="G89" i="21"/>
  <c r="H89" i="21"/>
  <c r="I89" i="21"/>
  <c r="J89" i="21"/>
  <c r="K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S19" i="21"/>
  <c r="E81" i="21"/>
  <c r="F81" i="21"/>
  <c r="G81" i="21"/>
  <c r="D77" i="21"/>
  <c r="E77" i="21"/>
  <c r="F77" i="21"/>
  <c r="G77" i="21"/>
  <c r="B130" i="21"/>
  <c r="B128" i="21"/>
  <c r="J45" i="21"/>
  <c r="W45" i="21"/>
  <c r="B126" i="21"/>
  <c r="B98" i="21"/>
  <c r="H31" i="21"/>
  <c r="B96" i="21"/>
  <c r="B94" i="21"/>
  <c r="J29" i="21"/>
  <c r="B92" i="21"/>
  <c r="B90" i="21"/>
  <c r="J27" i="21"/>
  <c r="B74" i="21"/>
  <c r="B72" i="21"/>
  <c r="F13" i="21"/>
  <c r="H13" i="21"/>
  <c r="AB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AC38" i="21"/>
  <c r="Q38" i="21"/>
  <c r="Z38" i="21"/>
  <c r="Q39" i="21"/>
  <c r="Z39" i="21"/>
  <c r="H40" i="21"/>
  <c r="AB40" i="21"/>
  <c r="Q40" i="21"/>
  <c r="Z40" i="21"/>
  <c r="Q41" i="21"/>
  <c r="Z41" i="21"/>
  <c r="Q42" i="21"/>
  <c r="Z42" i="21"/>
  <c r="Q43" i="21"/>
  <c r="Z43" i="21"/>
  <c r="Q44" i="21"/>
  <c r="Z44" i="21"/>
  <c r="Q45" i="21"/>
  <c r="Z45" i="21"/>
  <c r="Q46" i="21"/>
  <c r="Z46" i="21"/>
  <c r="P47" i="21"/>
  <c r="R47" i="21"/>
  <c r="V47" i="21"/>
  <c r="P48" i="21"/>
  <c r="P49" i="21"/>
  <c r="F8" i="21"/>
  <c r="S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U34" i="21"/>
  <c r="H38" i="21"/>
  <c r="AB38" i="21"/>
  <c r="F38" i="21"/>
  <c r="AA38" i="21"/>
  <c r="J40" i="21"/>
  <c r="W40" i="21"/>
  <c r="H35" i="21"/>
  <c r="AB35" i="21"/>
  <c r="J8" i="21"/>
  <c r="AC8" i="21"/>
  <c r="H8" i="21"/>
  <c r="U8" i="21"/>
  <c r="H10" i="21"/>
  <c r="AB10" i="21"/>
  <c r="H39" i="21"/>
  <c r="U39" i="21"/>
  <c r="W34" i="21"/>
  <c r="F35" i="21"/>
  <c r="AA35" i="21"/>
  <c r="J10" i="21"/>
  <c r="AC10" i="21"/>
  <c r="J19" i="21"/>
  <c r="AC19"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C25" i="39"/>
  <c r="H11" i="39"/>
  <c r="S40" i="39"/>
  <c r="C15" i="39"/>
  <c r="H32" i="33"/>
  <c r="AB32" i="33"/>
  <c r="H11" i="21"/>
  <c r="U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J44" i="34"/>
  <c r="F44" i="34"/>
  <c r="AA44" i="34"/>
  <c r="J10" i="35"/>
  <c r="AC10" i="35"/>
  <c r="J14" i="21"/>
  <c r="W14" i="21"/>
  <c r="F14" i="21"/>
  <c r="S14" i="21"/>
  <c r="H14" i="21"/>
  <c r="U14" i="21"/>
  <c r="H28" i="21"/>
  <c r="AB28" i="21"/>
  <c r="F28" i="21"/>
  <c r="AA28" i="21"/>
  <c r="J28" i="21"/>
  <c r="W28" i="21"/>
  <c r="H30" i="21"/>
  <c r="AB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A14" i="37"/>
  <c r="W31" i="34"/>
  <c r="S11" i="36"/>
  <c r="AB46" i="34"/>
  <c r="AA14" i="34"/>
  <c r="S45" i="33"/>
  <c r="AB45" i="33"/>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F43" i="33"/>
  <c r="AA43" i="33"/>
  <c r="W15" i="34"/>
  <c r="AC15" i="34"/>
  <c r="W16" i="35"/>
  <c r="W40" i="37"/>
  <c r="G107" i="37"/>
  <c r="H107" i="37"/>
  <c r="I107" i="37"/>
  <c r="J107" i="37"/>
  <c r="K107" i="37"/>
  <c r="L107" i="37"/>
  <c r="M107" i="37"/>
  <c r="U37"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E52" i="37"/>
  <c r="F52" i="37"/>
  <c r="G52" i="37"/>
  <c r="H52" i="37"/>
  <c r="I52" i="37"/>
  <c r="C7" i="34"/>
  <c r="C7" i="36"/>
  <c r="C46" i="36"/>
  <c r="D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BJ5" i="3"/>
  <c r="BF5" i="3"/>
  <c r="AZ325" i="3"/>
  <c r="AZ341" i="3"/>
  <c r="AC5" i="3"/>
  <c r="AZ506" i="3"/>
  <c r="AZ496" i="3"/>
  <c r="G548" i="3"/>
  <c r="G538" i="3"/>
  <c r="G520" i="3"/>
  <c r="G502" i="3"/>
  <c r="BS5" i="3"/>
  <c r="BN5" i="3"/>
  <c r="BK5" i="3"/>
  <c r="BI5" i="3"/>
  <c r="BE5" i="3"/>
  <c r="BC5" i="3"/>
  <c r="G17" i="3"/>
  <c r="BA17" i="3"/>
  <c r="AZ350" i="3"/>
  <c r="AZ356" i="3"/>
  <c r="AZ368" i="3"/>
  <c r="BA15" i="3"/>
  <c r="AZ15" i="3"/>
  <c r="BB5" i="3"/>
  <c r="BR5" i="3"/>
  <c r="AZ380" i="3"/>
  <c r="AZ392" i="3"/>
  <c r="AZ499" i="3"/>
  <c r="AZ509" i="3"/>
  <c r="G509" i="3"/>
  <c r="BL493" i="3"/>
  <c r="AZ491" i="3"/>
  <c r="AZ493" i="3"/>
  <c r="U36" i="40"/>
  <c r="F83" i="43"/>
  <c r="H89" i="43"/>
  <c r="F50" i="43"/>
  <c r="H54" i="43"/>
  <c r="F72" i="43"/>
  <c r="H72" i="43"/>
  <c r="H75" i="43"/>
  <c r="U17" i="39"/>
  <c r="S14" i="35"/>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M6" i="1"/>
  <c r="O6" i="1"/>
  <c r="AP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O12" i="1"/>
  <c r="S13" i="1"/>
  <c r="R13" i="1"/>
  <c r="J51" i="67"/>
  <c r="C42" i="1"/>
  <c r="C24" i="12"/>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AC40" i="21"/>
  <c r="J15" i="21"/>
  <c r="W15" i="21"/>
  <c r="F23" i="21"/>
  <c r="S23" i="21"/>
  <c r="E85" i="21"/>
  <c r="F85" i="21"/>
  <c r="G85" i="21"/>
  <c r="AA14" i="21"/>
  <c r="D120" i="9"/>
  <c r="D121" i="9"/>
  <c r="D7" i="52"/>
  <c r="F34" i="67"/>
  <c r="F62" i="67"/>
  <c r="G13" i="3"/>
  <c r="BL17" i="3"/>
  <c r="AZ17" i="3"/>
  <c r="J56" i="9"/>
  <c r="J57" i="9"/>
  <c r="J59" i="9"/>
  <c r="J61" i="9"/>
  <c r="A24" i="51"/>
  <c r="B18" i="72"/>
  <c r="U29" i="34"/>
  <c r="E32" i="6"/>
  <c r="G1" i="68"/>
  <c r="K1" i="12"/>
  <c r="E19" i="69"/>
  <c r="E19" i="68"/>
  <c r="E19" i="11"/>
  <c r="E1" i="73"/>
  <c r="G22" i="69"/>
  <c r="G22" i="68"/>
  <c r="G26" i="12"/>
  <c r="G22" i="11"/>
  <c r="B19" i="53"/>
  <c r="B37" i="72"/>
  <c r="C7" i="39"/>
  <c r="C67" i="39"/>
  <c r="C7" i="35"/>
  <c r="C48" i="35"/>
  <c r="C7" i="33"/>
  <c r="C7" i="21"/>
  <c r="C7" i="40"/>
  <c r="C63" i="40"/>
  <c r="M47" i="9"/>
  <c r="G23" i="43"/>
  <c r="A4" i="51"/>
  <c r="B6" i="72"/>
  <c r="D48" i="35"/>
  <c r="L20" i="6"/>
  <c r="B6" i="1"/>
  <c r="E6" i="1"/>
  <c r="K11" i="1"/>
  <c r="M11" i="1"/>
  <c r="O11" i="1"/>
  <c r="P11" i="1"/>
  <c r="B9" i="1"/>
  <c r="E9" i="1"/>
  <c r="K7" i="1"/>
  <c r="M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5" i="21"/>
  <c r="U33" i="21"/>
  <c r="AB14" i="21"/>
  <c r="AB46" i="21"/>
  <c r="AB31" i="21"/>
  <c r="U31" i="21"/>
  <c r="U13" i="21"/>
  <c r="H15" i="21"/>
  <c r="U15" i="21"/>
  <c r="J17" i="21"/>
  <c r="W17" i="21"/>
  <c r="AC14" i="21"/>
  <c r="S46" i="21"/>
  <c r="H45" i="21"/>
  <c r="U45" i="21"/>
  <c r="H9" i="21"/>
  <c r="AB9" i="21"/>
  <c r="AA31" i="21"/>
  <c r="K141" i="21"/>
  <c r="K144" i="21"/>
  <c r="K143" i="21"/>
  <c r="AB25" i="21"/>
  <c r="AA30" i="21"/>
  <c r="AC45" i="21"/>
  <c r="F10" i="21"/>
  <c r="AA10" i="21"/>
  <c r="K145" i="21"/>
  <c r="W25" i="21"/>
  <c r="W31" i="21"/>
  <c r="S27" i="21"/>
  <c r="AB29" i="21"/>
  <c r="W30" i="40"/>
  <c r="C19" i="39"/>
  <c r="C15" i="40"/>
  <c r="C17" i="40"/>
  <c r="C23" i="40"/>
  <c r="C21" i="40"/>
  <c r="U30" i="40"/>
  <c r="B56" i="43"/>
  <c r="B67" i="43"/>
  <c r="B51" i="43"/>
  <c r="B54" i="43"/>
  <c r="B58" i="43"/>
  <c r="B62" i="43"/>
  <c r="B65" i="43"/>
  <c r="B69" i="43"/>
  <c r="D23" i="15"/>
  <c r="D22" i="15"/>
  <c r="E4" i="4"/>
  <c r="B5" i="62"/>
  <c r="B73" i="72"/>
  <c r="C4" i="4"/>
  <c r="AA39" i="40"/>
  <c r="S39" i="40"/>
  <c r="S12" i="33"/>
  <c r="AA12" i="33"/>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J23" i="21"/>
  <c r="AC23" i="21"/>
  <c r="H23" i="21"/>
  <c r="U23" i="21"/>
  <c r="D6" i="52"/>
  <c r="AP7" i="1"/>
  <c r="AB45"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AB23" i="21"/>
  <c r="H109" i="9"/>
  <c r="M4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F9" i="1"/>
  <c r="G9" i="1"/>
  <c r="F10" i="1"/>
  <c r="G10" i="1"/>
  <c r="F8" i="1"/>
  <c r="G8" i="1"/>
  <c r="G6" i="1"/>
  <c r="S23" i="33"/>
  <c r="AA23" i="33"/>
  <c r="C20" i="71"/>
  <c r="E19" i="71"/>
  <c r="E18" i="71"/>
  <c r="E17" i="71"/>
  <c r="E16" i="71"/>
  <c r="V20" i="71"/>
  <c r="AB17" i="33"/>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35"/>
  <c r="AA12" i="35"/>
  <c r="AC45" i="39"/>
  <c r="AA12" i="34"/>
  <c r="J34" i="35"/>
  <c r="F34" i="35"/>
  <c r="J26" i="37"/>
  <c r="F26" i="37"/>
  <c r="F40" i="40"/>
  <c r="G578" i="3"/>
  <c r="AZ410" i="3"/>
  <c r="AZ431" i="3"/>
  <c r="AZ439" i="3"/>
  <c r="AZ442" i="3"/>
  <c r="AZ445" i="3"/>
  <c r="AZ449" i="3"/>
  <c r="AZ452" i="3"/>
  <c r="AZ456" i="3"/>
  <c r="AZ467" i="3"/>
  <c r="AZ468" i="3"/>
  <c r="AZ470" i="3"/>
  <c r="W35" i="39"/>
  <c r="F27" i="34"/>
  <c r="C21" i="39"/>
  <c r="U9" i="36"/>
  <c r="U14" i="37"/>
  <c r="H12" i="21"/>
  <c r="U12" i="21"/>
  <c r="G526" i="3"/>
  <c r="AZ420" i="3"/>
  <c r="AZ424" i="3"/>
  <c r="AZ434" i="3"/>
  <c r="AZ436" i="3"/>
  <c r="AZ438" i="3"/>
  <c r="AZ446" i="3"/>
  <c r="AZ450" i="3"/>
  <c r="W36" i="39"/>
  <c r="U23" i="40"/>
  <c r="AA39" i="37"/>
  <c r="AC16" i="36"/>
  <c r="AB12" i="33"/>
  <c r="C27" i="39"/>
  <c r="U40" i="40"/>
  <c r="AC9" i="40"/>
  <c r="W36" i="35"/>
  <c r="J12" i="21"/>
  <c r="AC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G5" i="3"/>
  <c r="B3" i="3"/>
  <c r="E286"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50" i="43"/>
  <c r="S22" i="31"/>
  <c r="R22" i="31"/>
  <c r="D74" i="43"/>
  <c r="E50" i="43"/>
  <c r="B4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4" i="12"/>
  <c r="I4" i="6"/>
  <c r="G3" i="43"/>
  <c r="G30" i="6"/>
  <c r="G31" i="6"/>
  <c r="L19" i="6"/>
  <c r="C58" i="21"/>
  <c r="C58" i="33"/>
  <c r="C59" i="34"/>
  <c r="D59" i="34"/>
  <c r="W10" i="36"/>
  <c r="U10" i="36"/>
  <c r="S10" i="36"/>
  <c r="AA10" i="35"/>
  <c r="W10" i="35"/>
  <c r="U10" i="37"/>
  <c r="S10" i="37"/>
  <c r="AC10" i="37"/>
  <c r="W10" i="34"/>
  <c r="U10" i="34"/>
  <c r="S10" i="34"/>
  <c r="AA10" i="33"/>
  <c r="AC10" i="33"/>
  <c r="AB10" i="33"/>
  <c r="U10" i="21"/>
  <c r="S10" i="21"/>
  <c r="AB27" i="36"/>
  <c r="S27" i="36"/>
  <c r="AC27" i="36"/>
  <c r="AC8" i="35"/>
  <c r="U8" i="35"/>
  <c r="H26" i="35"/>
  <c r="F26" i="35"/>
  <c r="J26" i="35"/>
  <c r="W33" i="37"/>
  <c r="AA11" i="37"/>
  <c r="W34" i="34"/>
  <c r="W37" i="34"/>
  <c r="S34" i="34"/>
  <c r="AB11" i="34"/>
  <c r="AA11" i="34"/>
  <c r="P74" i="67"/>
  <c r="H51" i="43"/>
  <c r="H56" i="43"/>
  <c r="D72" i="43"/>
  <c r="D76" i="43"/>
  <c r="D80" i="43"/>
  <c r="D61" i="43"/>
  <c r="P61" i="15"/>
  <c r="C77" i="9"/>
  <c r="C74" i="9"/>
  <c r="C21" i="69"/>
  <c r="J84" i="43"/>
  <c r="J85" i="43"/>
  <c r="J86" i="43"/>
  <c r="J87" i="43"/>
  <c r="J88" i="43"/>
  <c r="J89" i="43"/>
  <c r="J90" i="43"/>
  <c r="D83" i="43"/>
  <c r="E83" i="43"/>
  <c r="B81" i="43"/>
  <c r="D66" i="43"/>
  <c r="D64" i="43"/>
  <c r="D62" i="43"/>
  <c r="D67" i="43"/>
  <c r="D65" i="43"/>
  <c r="D63" i="43"/>
  <c r="D69" i="43"/>
  <c r="D73" i="43"/>
  <c r="D75" i="43"/>
  <c r="D79" i="43"/>
  <c r="D22" i="67"/>
  <c r="H90" i="43"/>
  <c r="O23" i="43"/>
  <c r="I18" i="43"/>
  <c r="E17" i="43"/>
  <c r="C17" i="43"/>
  <c r="G26" i="43"/>
  <c r="A1" i="79"/>
  <c r="H55" i="43"/>
  <c r="H86" i="43"/>
  <c r="C69" i="39"/>
  <c r="D67" i="39"/>
  <c r="T35" i="4"/>
  <c r="A19" i="51"/>
  <c r="B14" i="72"/>
  <c r="H110" i="9"/>
  <c r="C7" i="74"/>
  <c r="D18" i="53"/>
  <c r="B35" i="72"/>
  <c r="H52" i="43"/>
  <c r="K5" i="4"/>
  <c r="B47" i="48"/>
  <c r="AB8" i="71"/>
  <c r="L68" i="9"/>
  <c r="M68" i="9"/>
  <c r="L65" i="9"/>
  <c r="M65" i="9"/>
  <c r="L66" i="9"/>
  <c r="M66" i="9"/>
  <c r="L64" i="9"/>
  <c r="M64" i="9"/>
  <c r="L63" i="9"/>
  <c r="M63" i="9"/>
  <c r="M69" i="9"/>
  <c r="N69" i="9"/>
  <c r="L67" i="9"/>
  <c r="M67" i="9"/>
  <c r="B8" i="74"/>
  <c r="C8" i="74"/>
  <c r="D127" i="9"/>
  <c r="D13" i="52"/>
  <c r="D12" i="52"/>
  <c r="D20" i="53"/>
  <c r="B40" i="72"/>
  <c r="H76" i="43"/>
  <c r="H53" i="43"/>
  <c r="D17" i="53"/>
  <c r="B36" i="72"/>
  <c r="D124" i="9"/>
  <c r="H57" i="43"/>
  <c r="H68" i="43"/>
  <c r="E44" i="43"/>
  <c r="C44" i="43"/>
  <c r="AC21" i="39"/>
  <c r="AB23" i="39"/>
  <c r="AB15" i="39"/>
  <c r="AC15" i="39"/>
  <c r="S25" i="39"/>
  <c r="W39" i="39"/>
  <c r="W42" i="39"/>
  <c r="W14" i="39"/>
  <c r="S29" i="39"/>
  <c r="E11" i="43"/>
  <c r="E9" i="43"/>
  <c r="E10" i="43"/>
  <c r="E8" i="43"/>
  <c r="D23" i="67"/>
  <c r="G25" i="12"/>
  <c r="G41" i="11"/>
  <c r="G27" i="12"/>
  <c r="G41" i="68"/>
  <c r="E48" i="35"/>
  <c r="D58" i="33"/>
  <c r="E58" i="33"/>
  <c r="K4" i="4"/>
  <c r="B46" i="48"/>
  <c r="B4" i="72"/>
  <c r="B4" i="62"/>
  <c r="B71" i="72"/>
  <c r="D9" i="53"/>
  <c r="B25" i="72"/>
  <c r="B24" i="72"/>
  <c r="Y16" i="71"/>
  <c r="Z16" i="71"/>
  <c r="Y15" i="71"/>
  <c r="Z15" i="71"/>
  <c r="AA16" i="71"/>
  <c r="AB3" i="71"/>
  <c r="B16" i="71"/>
  <c r="X16" i="71"/>
  <c r="AB16" i="71"/>
  <c r="Y3" i="71"/>
  <c r="Z3" i="71"/>
  <c r="F16" i="71"/>
  <c r="F15" i="71"/>
  <c r="F14" i="71"/>
  <c r="F13" i="71"/>
  <c r="F12" i="71"/>
  <c r="F11" i="71"/>
  <c r="F10" i="71"/>
  <c r="F9" i="71"/>
  <c r="F8" i="71"/>
  <c r="F7" i="71"/>
  <c r="F6" i="71"/>
  <c r="F5" i="71"/>
  <c r="AF3" i="71"/>
  <c r="P26" i="43"/>
  <c r="E539" i="3"/>
  <c r="E212" i="3"/>
  <c r="E499" i="3"/>
  <c r="E502" i="3"/>
  <c r="E466" i="3"/>
  <c r="E255" i="3"/>
  <c r="AP6" i="3"/>
  <c r="E517" i="3"/>
  <c r="E479" i="3"/>
  <c r="E37" i="3"/>
  <c r="E152" i="3"/>
  <c r="E292" i="3"/>
  <c r="E349" i="3"/>
  <c r="E544" i="3"/>
  <c r="E484" i="3"/>
  <c r="E467" i="3"/>
  <c r="E46" i="3"/>
  <c r="E249" i="3"/>
  <c r="E371" i="3"/>
  <c r="E492" i="3"/>
  <c r="E33" i="3"/>
  <c r="E184" i="3"/>
  <c r="E355" i="3"/>
  <c r="E81" i="3"/>
  <c r="E283" i="3"/>
  <c r="E513" i="3"/>
  <c r="E281" i="3"/>
  <c r="E391" i="3"/>
  <c r="E42" i="3"/>
  <c r="E96" i="3"/>
  <c r="E174" i="3"/>
  <c r="E383" i="3"/>
  <c r="E206" i="3"/>
  <c r="AF6" i="3"/>
  <c r="E113" i="3"/>
  <c r="E205" i="3"/>
  <c r="E197" i="3"/>
  <c r="E525" i="3"/>
  <c r="E456" i="3"/>
  <c r="E512" i="3"/>
  <c r="E451" i="3"/>
  <c r="E13" i="3"/>
  <c r="E470" i="3"/>
  <c r="E26" i="3"/>
  <c r="E225" i="3"/>
  <c r="E356" i="3"/>
  <c r="E412" i="3"/>
  <c r="E324" i="3"/>
  <c r="E35" i="3"/>
  <c r="E232" i="3"/>
  <c r="E326" i="3"/>
  <c r="E329" i="3"/>
  <c r="E188" i="3"/>
  <c r="E393" i="3"/>
  <c r="E564" i="3"/>
  <c r="E427" i="3"/>
  <c r="E440" i="3"/>
  <c r="E376" i="3"/>
  <c r="J6" i="3"/>
  <c r="E463" i="3"/>
  <c r="E25" i="3"/>
  <c r="E178" i="3"/>
  <c r="E346" i="3"/>
  <c r="E372" i="3"/>
  <c r="E60" i="3"/>
  <c r="E15" i="3"/>
  <c r="E79" i="3"/>
  <c r="E170" i="3"/>
  <c r="E299" i="3"/>
  <c r="E325" i="3"/>
  <c r="AQ6" i="3"/>
  <c r="E123" i="3"/>
  <c r="E289" i="3"/>
  <c r="E364" i="3"/>
  <c r="E176" i="3"/>
  <c r="E265" i="3"/>
  <c r="E524" i="3"/>
  <c r="E552" i="3"/>
  <c r="E566" i="3"/>
  <c r="E90" i="3"/>
  <c r="E521" i="3"/>
  <c r="E386" i="3"/>
  <c r="E250" i="3"/>
  <c r="E312" i="3"/>
  <c r="E416" i="3"/>
  <c r="E520" i="3"/>
  <c r="E138" i="3"/>
  <c r="E354" i="3"/>
  <c r="E284" i="3"/>
  <c r="E464" i="3"/>
  <c r="E436" i="3"/>
  <c r="E375" i="3"/>
  <c r="E341" i="3"/>
  <c r="E542" i="3"/>
  <c r="E39" i="3"/>
  <c r="E66" i="3"/>
  <c r="E179" i="3"/>
  <c r="E459" i="3"/>
  <c r="E154" i="3"/>
  <c r="E413" i="3"/>
  <c r="E504" i="3"/>
  <c r="E82" i="3"/>
  <c r="E461" i="3"/>
  <c r="E352" i="3"/>
  <c r="E313" i="3"/>
  <c r="E529" i="3"/>
  <c r="E438" i="3"/>
  <c r="E471" i="3"/>
  <c r="E475" i="3"/>
  <c r="E54" i="3"/>
  <c r="E257" i="3"/>
  <c r="E357" i="3"/>
  <c r="E93" i="3"/>
  <c r="E196" i="3"/>
  <c r="E145" i="3"/>
  <c r="E379" i="3"/>
  <c r="E411" i="3"/>
  <c r="E548" i="3"/>
  <c r="E432" i="3"/>
  <c r="E547" i="3"/>
  <c r="E403" i="3"/>
  <c r="E546" i="3"/>
  <c r="E92" i="3"/>
  <c r="E126" i="3"/>
  <c r="E272" i="3"/>
  <c r="E317" i="3"/>
  <c r="AM6" i="3"/>
  <c r="E29" i="3"/>
  <c r="E319" i="3"/>
  <c r="E501" i="3"/>
  <c r="E153" i="3"/>
  <c r="E328" i="3"/>
  <c r="O6" i="3"/>
  <c r="E574" i="3"/>
  <c r="E285" i="3"/>
  <c r="E97" i="3"/>
  <c r="E390" i="3"/>
  <c r="E523" i="3"/>
  <c r="E506" i="3"/>
  <c r="E418" i="3"/>
  <c r="E321" i="3"/>
  <c r="E298" i="3"/>
  <c r="E169" i="3"/>
  <c r="E304" i="3"/>
  <c r="E565" i="3"/>
  <c r="E213" i="3"/>
  <c r="E302" i="3"/>
  <c r="E221" i="3"/>
  <c r="E254" i="3"/>
  <c r="E303" i="3"/>
  <c r="E402" i="3"/>
  <c r="AN6" i="3"/>
  <c r="E280" i="3"/>
  <c r="AA6" i="3"/>
  <c r="E156" i="3"/>
  <c r="E434" i="3"/>
  <c r="E128" i="3"/>
  <c r="E262" i="3"/>
  <c r="E177" i="3"/>
  <c r="E330" i="3"/>
  <c r="Q6" i="3"/>
  <c r="E481" i="3"/>
  <c r="E424" i="3"/>
  <c r="E344"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C19" i="71"/>
  <c r="T20" i="71"/>
  <c r="D20" i="71"/>
  <c r="U20" i="71"/>
  <c r="E240" i="3"/>
  <c r="E487" i="3"/>
  <c r="E219" i="3"/>
  <c r="W40" i="40"/>
  <c r="AC40" i="40"/>
  <c r="W12" i="21"/>
  <c r="AB12" i="21"/>
  <c r="AA27" i="34"/>
  <c r="S27" i="34"/>
  <c r="AC26" i="37"/>
  <c r="W26" i="37"/>
  <c r="B15" i="71"/>
  <c r="B14" i="71"/>
  <c r="B13" i="71"/>
  <c r="B12" i="71"/>
  <c r="S16" i="71"/>
  <c r="E94" i="3"/>
  <c r="E131" i="3"/>
  <c r="E142" i="3"/>
  <c r="E118" i="3"/>
  <c r="E369" i="3"/>
  <c r="E248" i="3"/>
  <c r="AA9" i="36"/>
  <c r="S9" i="36"/>
  <c r="AA34" i="35"/>
  <c r="S34" i="35"/>
  <c r="E15" i="71"/>
  <c r="E14" i="71"/>
  <c r="E13" i="71"/>
  <c r="E12" i="71"/>
  <c r="V16" i="71"/>
  <c r="E139" i="3"/>
  <c r="E378" i="3"/>
  <c r="S40" i="40"/>
  <c r="AA40" i="40"/>
  <c r="AC34" i="35"/>
  <c r="W34" i="35"/>
  <c r="E61" i="43"/>
  <c r="B59" i="43"/>
  <c r="C28" i="43"/>
  <c r="AA26" i="35"/>
  <c r="S26" i="35"/>
  <c r="AC26" i="35"/>
  <c r="W26" i="35"/>
  <c r="AB26" i="35"/>
  <c r="U26" i="35"/>
  <c r="E72" i="43"/>
  <c r="B70" i="43"/>
  <c r="C7" i="43"/>
  <c r="D10" i="52"/>
  <c r="D125" i="9"/>
  <c r="D11" i="52"/>
  <c r="B7" i="74"/>
  <c r="F48" i="35"/>
  <c r="G48" i="35"/>
  <c r="H48" i="35"/>
  <c r="I48" i="35"/>
  <c r="J48" i="35"/>
  <c r="P28" i="43"/>
  <c r="B66" i="40"/>
  <c r="P25" i="43"/>
  <c r="P29" i="43"/>
  <c r="P27" i="43"/>
  <c r="B70" i="39"/>
  <c r="AE11" i="1"/>
  <c r="AE9" i="1"/>
  <c r="AE7" i="1"/>
  <c r="AE8" i="1"/>
  <c r="AE12" i="1"/>
  <c r="AE10" i="1"/>
  <c r="B11" i="71"/>
  <c r="B10" i="71"/>
  <c r="B9" i="71"/>
  <c r="B8" i="71"/>
  <c r="B7" i="71"/>
  <c r="B6" i="71"/>
  <c r="B5" i="71"/>
  <c r="S12" i="71"/>
  <c r="E11" i="71"/>
  <c r="E10" i="71"/>
  <c r="E9" i="71"/>
  <c r="E8" i="71"/>
  <c r="E7" i="71"/>
  <c r="E6" i="71"/>
  <c r="E5" i="71"/>
  <c r="V12" i="71"/>
  <c r="C18" i="71"/>
  <c r="D19" i="71"/>
  <c r="AG11" i="1"/>
  <c r="AG9" i="1"/>
  <c r="AG10" i="1"/>
  <c r="AG8" i="1"/>
  <c r="AG12" i="1"/>
  <c r="AG7" i="1"/>
  <c r="AG6" i="1"/>
  <c r="S8" i="1"/>
  <c r="AQ8" i="1"/>
  <c r="E8" i="70"/>
  <c r="S6" i="1"/>
  <c r="AQ6" i="1"/>
  <c r="B1" i="74"/>
  <c r="C17" i="71"/>
  <c r="D18" i="71"/>
  <c r="E6" i="70"/>
  <c r="S11" i="1"/>
  <c r="AR11" i="1"/>
  <c r="E11" i="70"/>
  <c r="S9" i="1"/>
  <c r="AR9" i="1"/>
  <c r="T8" i="1"/>
  <c r="S7" i="1"/>
  <c r="AR7" i="1"/>
  <c r="E7" i="70"/>
  <c r="S10" i="1"/>
  <c r="AR10" i="1"/>
  <c r="E10" i="70"/>
  <c r="S12" i="1"/>
  <c r="AQ12" i="1"/>
  <c r="B2" i="74"/>
  <c r="C16" i="71"/>
  <c r="D17" i="71"/>
  <c r="R7" i="1"/>
  <c r="E12" i="70"/>
  <c r="F34" i="11"/>
  <c r="F11" i="12"/>
  <c r="C23" i="12" s="1"/>
  <c r="E9" i="70"/>
  <c r="AQ7" i="1"/>
  <c r="T7" i="1"/>
  <c r="R11" i="1"/>
  <c r="R9" i="1"/>
  <c r="R10" i="1"/>
  <c r="D8" i="74"/>
  <c r="D7" i="74"/>
  <c r="R8" i="1"/>
  <c r="R12" i="1"/>
  <c r="C15" i="71"/>
  <c r="T16" i="71"/>
  <c r="D16" i="71"/>
  <c r="U16" i="71"/>
  <c r="C14" i="71"/>
  <c r="D15" i="71"/>
  <c r="K48" i="35"/>
  <c r="L48" i="35"/>
  <c r="M48" i="35"/>
  <c r="N48" i="35"/>
  <c r="O48" i="35"/>
  <c r="H7" i="35"/>
  <c r="U7" i="35"/>
  <c r="D14" i="71"/>
  <c r="C13" i="71"/>
  <c r="C12" i="71"/>
  <c r="D13" i="71"/>
  <c r="C11" i="71"/>
  <c r="T12" i="71"/>
  <c r="D12" i="71"/>
  <c r="U12" i="71"/>
  <c r="C10" i="71"/>
  <c r="D11" i="71"/>
  <c r="D10" i="71"/>
  <c r="C9" i="71"/>
  <c r="B2" i="33"/>
  <c r="C8" i="71"/>
  <c r="D9" i="71"/>
  <c r="B2" i="36"/>
  <c r="B3" i="36"/>
  <c r="B2" i="35"/>
  <c r="B2" i="37"/>
  <c r="B2" i="34"/>
  <c r="C7" i="71"/>
  <c r="D8" i="71"/>
  <c r="D7" i="71"/>
  <c r="C6" i="71"/>
  <c r="D6" i="71"/>
  <c r="C5" i="71"/>
  <c r="D5" i="71"/>
  <c r="M24" i="43"/>
  <c r="B6" i="74"/>
  <c r="D6" i="74"/>
  <c r="F39" i="21"/>
  <c r="AA39" i="21"/>
  <c r="W44" i="21"/>
  <c r="AB44" i="21"/>
  <c r="S44" i="21"/>
  <c r="W43" i="21"/>
  <c r="S42" i="21"/>
  <c r="W42" i="21"/>
  <c r="W41" i="21"/>
  <c r="U40" i="21"/>
  <c r="S40" i="21"/>
  <c r="J39" i="21"/>
  <c r="AC39" i="21"/>
  <c r="F117" i="21"/>
  <c r="G117" i="21"/>
  <c r="AB39" i="21"/>
  <c r="S39" i="21"/>
  <c r="G110" i="21"/>
  <c r="H110" i="21"/>
  <c r="I110" i="21"/>
  <c r="J110" i="21"/>
  <c r="K110" i="21"/>
  <c r="L110" i="21"/>
  <c r="M110" i="21"/>
  <c r="S36" i="21"/>
  <c r="W19" i="21"/>
  <c r="S35" i="21"/>
  <c r="W33" i="21"/>
  <c r="G101" i="21"/>
  <c r="H101" i="21"/>
  <c r="W32" i="21"/>
  <c r="S33" i="21"/>
  <c r="W29" i="21"/>
  <c r="AC29" i="21"/>
  <c r="F29" i="21"/>
  <c r="W30" i="21"/>
  <c r="U30" i="21"/>
  <c r="U27" i="21"/>
  <c r="L89" i="21"/>
  <c r="F26" i="21"/>
  <c r="AC28" i="21"/>
  <c r="S28" i="21"/>
  <c r="F113" i="21"/>
  <c r="G113" i="21"/>
  <c r="H113" i="21"/>
  <c r="W37" i="21"/>
  <c r="U38" i="21"/>
  <c r="S38" i="21"/>
  <c r="W38" i="21"/>
  <c r="S37" i="21"/>
  <c r="W23" i="21"/>
  <c r="AA23" i="21"/>
  <c r="AA19" i="21"/>
  <c r="U19" i="21"/>
  <c r="U17" i="21"/>
  <c r="AC17" i="21"/>
  <c r="S17" i="21"/>
  <c r="AC15" i="21"/>
  <c r="AB15" i="21"/>
  <c r="AA15" i="21"/>
  <c r="S13" i="21"/>
  <c r="AA13" i="21"/>
  <c r="S12" i="21"/>
  <c r="AA12" i="21"/>
  <c r="W10" i="21"/>
  <c r="W13" i="21"/>
  <c r="J11" i="21"/>
  <c r="W11" i="21"/>
  <c r="AC35" i="21"/>
  <c r="U35" i="21"/>
  <c r="S34" i="21"/>
  <c r="AC27" i="21"/>
  <c r="W27" i="21"/>
  <c r="U28" i="21"/>
  <c r="AB11" i="21"/>
  <c r="AA11" i="21"/>
  <c r="AA9" i="21"/>
  <c r="S9" i="21"/>
  <c r="J9" i="21"/>
  <c r="U9" i="21"/>
  <c r="AB8" i="21"/>
  <c r="W8" i="21"/>
  <c r="AA8" i="21"/>
  <c r="H84" i="43"/>
  <c r="H93" i="43"/>
  <c r="H97" i="43"/>
  <c r="H87" i="43"/>
  <c r="H58" i="43"/>
  <c r="H83" i="43"/>
  <c r="H85" i="43"/>
  <c r="H96" i="43"/>
  <c r="H98" i="43"/>
  <c r="H66" i="43"/>
  <c r="H61" i="43"/>
  <c r="H69" i="43"/>
  <c r="J21" i="43"/>
  <c r="M21" i="43"/>
  <c r="C21" i="43"/>
  <c r="F42" i="43"/>
  <c r="F38" i="43"/>
  <c r="N21" i="43"/>
  <c r="S4" i="43"/>
  <c r="H63" i="43"/>
  <c r="H88" i="43"/>
  <c r="H73" i="43"/>
  <c r="H78" i="43"/>
  <c r="H67" i="43"/>
  <c r="X7" i="43"/>
  <c r="H21" i="43"/>
  <c r="K21" i="43"/>
  <c r="F41" i="43"/>
  <c r="F37" i="43"/>
  <c r="S5" i="43"/>
  <c r="H77" i="43"/>
  <c r="H80" i="43"/>
  <c r="H74" i="43"/>
  <c r="H79" i="43"/>
  <c r="H65" i="43"/>
  <c r="H62" i="43"/>
  <c r="C6" i="43"/>
  <c r="D21" i="43"/>
  <c r="I21" i="43"/>
  <c r="F40" i="43"/>
  <c r="H116" i="43"/>
  <c r="M20" i="67"/>
  <c r="F34" i="15"/>
  <c r="F62" i="15"/>
  <c r="C92" i="9"/>
  <c r="B41" i="1"/>
  <c r="M18" i="15"/>
  <c r="F30" i="69"/>
  <c r="C30" i="69"/>
  <c r="F52" i="9"/>
  <c r="F30" i="11"/>
  <c r="C40" i="69"/>
  <c r="C21" i="68"/>
  <c r="C40" i="68"/>
  <c r="AQ10" i="1"/>
  <c r="T10" i="1"/>
  <c r="AR6" i="1"/>
  <c r="L27" i="6"/>
  <c r="AR8" i="1"/>
  <c r="F26" i="43"/>
  <c r="E26" i="43"/>
  <c r="H26" i="43"/>
  <c r="N94" i="46"/>
  <c r="J26" i="43"/>
  <c r="B116" i="43"/>
  <c r="I119" i="43"/>
  <c r="J119" i="43"/>
  <c r="K119" i="43"/>
  <c r="L119" i="43"/>
  <c r="M119" i="43"/>
  <c r="BA13" i="3"/>
  <c r="E2" i="70"/>
  <c r="AR13" i="1"/>
  <c r="AQ13" i="1"/>
  <c r="T13" i="1"/>
  <c r="Z7" i="43"/>
  <c r="E28" i="6"/>
  <c r="BL13" i="3"/>
  <c r="BL5" i="3"/>
  <c r="F29" i="6"/>
  <c r="E29" i="6"/>
  <c r="K15" i="1"/>
  <c r="B3" i="35"/>
  <c r="I122" i="43"/>
  <c r="J122" i="43"/>
  <c r="K122" i="43"/>
  <c r="L122" i="43"/>
  <c r="M122" i="43"/>
  <c r="I121" i="43"/>
  <c r="J121" i="43"/>
  <c r="K121" i="43"/>
  <c r="L121" i="43"/>
  <c r="M121" i="43"/>
  <c r="G121" i="43"/>
  <c r="H121" i="43"/>
  <c r="D121" i="43"/>
  <c r="E121" i="43"/>
  <c r="F121" i="43"/>
  <c r="B122" i="43"/>
  <c r="C122" i="43"/>
  <c r="D119" i="43"/>
  <c r="E119" i="43"/>
  <c r="F119" i="43"/>
  <c r="G119" i="43"/>
  <c r="H119" i="43"/>
  <c r="B120" i="43"/>
  <c r="C120" i="43"/>
  <c r="D118" i="43"/>
  <c r="E118" i="43"/>
  <c r="F118" i="43"/>
  <c r="G118" i="43"/>
  <c r="H118" i="43"/>
  <c r="T11" i="1"/>
  <c r="I120" i="43"/>
  <c r="J120" i="43"/>
  <c r="K120" i="43"/>
  <c r="L120" i="43"/>
  <c r="M120" i="43"/>
  <c r="AQ11" i="1"/>
  <c r="B119" i="43"/>
  <c r="C119" i="43"/>
  <c r="D122" i="43"/>
  <c r="E122" i="43"/>
  <c r="F122" i="43"/>
  <c r="G122" i="43"/>
  <c r="H122" i="43"/>
  <c r="E14" i="6"/>
  <c r="E63" i="39"/>
  <c r="E8" i="6"/>
  <c r="E15" i="6"/>
  <c r="E13" i="6"/>
  <c r="E11" i="6"/>
  <c r="E5" i="6"/>
  <c r="E12" i="6"/>
  <c r="E10" i="6"/>
  <c r="AE6" i="3"/>
  <c r="E437" i="3"/>
  <c r="E120" i="3"/>
  <c r="E238" i="3"/>
  <c r="E353" i="3"/>
  <c r="E159" i="3"/>
  <c r="E17" i="3"/>
  <c r="E237" i="3"/>
  <c r="E338" i="3"/>
  <c r="S6" i="3"/>
  <c r="E359" i="3"/>
  <c r="E426" i="3"/>
  <c r="E53" i="3"/>
  <c r="E291" i="3"/>
  <c r="E71" i="3"/>
  <c r="E367" i="3"/>
  <c r="U6" i="3"/>
  <c r="E397" i="3"/>
  <c r="E208"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O9" i="1"/>
  <c r="P9" i="1"/>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c r="E87" i="3"/>
  <c r="E187" i="3"/>
  <c r="E127" i="3"/>
  <c r="E136" i="3"/>
  <c r="E224" i="3"/>
  <c r="E474" i="3"/>
  <c r="E537" i="3"/>
  <c r="E168" i="3"/>
  <c r="E14" i="3"/>
  <c r="E207"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D26" i="43"/>
  <c r="C25" i="43"/>
  <c r="C36" i="69"/>
  <c r="H16" i="1"/>
  <c r="O7" i="1"/>
  <c r="P7" i="1"/>
  <c r="O13" i="1"/>
  <c r="P13" i="1"/>
  <c r="O10" i="1"/>
  <c r="P10" i="1"/>
  <c r="O8" i="1"/>
  <c r="P8" i="1"/>
  <c r="T12" i="1"/>
  <c r="C36" i="11"/>
  <c r="AR12" i="1"/>
  <c r="T9" i="1"/>
  <c r="T6" i="1"/>
  <c r="P12" i="1"/>
  <c r="AQ9" i="1"/>
  <c r="S16" i="1"/>
  <c r="Q16" i="1"/>
  <c r="P6" i="1"/>
  <c r="C13" i="12"/>
  <c r="B118" i="43"/>
  <c r="B121" i="43"/>
  <c r="C121" i="43"/>
  <c r="I118" i="43"/>
  <c r="J118" i="43"/>
  <c r="K118" i="43"/>
  <c r="L118" i="43"/>
  <c r="M118" i="43"/>
  <c r="D120" i="43"/>
  <c r="E120" i="43"/>
  <c r="F120" i="43"/>
  <c r="G120" i="43"/>
  <c r="H120" i="43"/>
  <c r="N370" i="46"/>
  <c r="E59" i="40"/>
  <c r="G11" i="1"/>
  <c r="G16" i="1"/>
  <c r="X8" i="71"/>
  <c r="B37" i="48"/>
  <c r="B2" i="72"/>
  <c r="Y8" i="71"/>
  <c r="Z8" i="71"/>
  <c r="C23" i="43"/>
  <c r="J52" i="37"/>
  <c r="K52" i="37"/>
  <c r="L52" i="37"/>
  <c r="M52" i="37"/>
  <c r="N52" i="37"/>
  <c r="O52" i="37"/>
  <c r="F7" i="37"/>
  <c r="AB7" i="35"/>
  <c r="T38" i="35"/>
  <c r="G38" i="35"/>
  <c r="F58" i="33"/>
  <c r="G58" i="33"/>
  <c r="H58" i="33"/>
  <c r="I58" i="33"/>
  <c r="J58" i="33"/>
  <c r="K58" i="33"/>
  <c r="L58" i="33"/>
  <c r="M58" i="33"/>
  <c r="N58" i="33"/>
  <c r="O58" i="33"/>
  <c r="J7" i="33"/>
  <c r="C7" i="78"/>
  <c r="D7" i="78"/>
  <c r="C6" i="78"/>
  <c r="D6" i="78"/>
  <c r="C5" i="78"/>
  <c r="D5" i="78"/>
  <c r="F7" i="35"/>
  <c r="E46" i="36"/>
  <c r="F46" i="36"/>
  <c r="G46" i="36"/>
  <c r="H46" i="36"/>
  <c r="I46" i="36"/>
  <c r="J46" i="36"/>
  <c r="K46" i="36"/>
  <c r="L46" i="36"/>
  <c r="M46" i="36"/>
  <c r="N46" i="36"/>
  <c r="O46" i="36"/>
  <c r="J7" i="36"/>
  <c r="F7" i="36"/>
  <c r="E59" i="34"/>
  <c r="F59" i="34"/>
  <c r="G59" i="34"/>
  <c r="H59" i="34"/>
  <c r="I59" i="34"/>
  <c r="J59" i="34"/>
  <c r="K59" i="34"/>
  <c r="L59" i="34"/>
  <c r="M59" i="34"/>
  <c r="N59" i="34"/>
  <c r="O59" i="34"/>
  <c r="D63" i="40"/>
  <c r="C65" i="40"/>
  <c r="J7" i="35"/>
  <c r="H7" i="33"/>
  <c r="D69" i="39"/>
  <c r="E67" i="39"/>
  <c r="L1" i="73"/>
  <c r="F7" i="33"/>
  <c r="D58" i="21"/>
  <c r="H7" i="36"/>
  <c r="J7" i="37"/>
  <c r="H7" i="37"/>
  <c r="C34" i="67"/>
  <c r="C34" i="15"/>
  <c r="C62" i="15"/>
  <c r="I54" i="67"/>
  <c r="K1" i="73"/>
  <c r="S26" i="21"/>
  <c r="AA26" i="21"/>
  <c r="F125" i="21"/>
  <c r="G125" i="21"/>
  <c r="U42" i="21"/>
  <c r="U36" i="21"/>
  <c r="S43" i="21"/>
  <c r="W39" i="21"/>
  <c r="W36" i="21"/>
  <c r="I101" i="21"/>
  <c r="J101" i="21"/>
  <c r="K101" i="21"/>
  <c r="L101" i="21"/>
  <c r="M101" i="21"/>
  <c r="AA29" i="21"/>
  <c r="S29" i="21"/>
  <c r="M89" i="21"/>
  <c r="J26" i="21"/>
  <c r="H26" i="21"/>
  <c r="AC11" i="21"/>
  <c r="W9" i="21"/>
  <c r="AC9" i="21"/>
  <c r="G21" i="43"/>
  <c r="C20" i="43"/>
  <c r="D5" i="43"/>
  <c r="F48" i="9"/>
  <c r="O52" i="9"/>
  <c r="F31" i="12"/>
  <c r="C31" i="12"/>
  <c r="F28" i="15"/>
  <c r="C28" i="15"/>
  <c r="M18" i="67"/>
  <c r="D68" i="9"/>
  <c r="F32" i="15"/>
  <c r="F60" i="15"/>
  <c r="F30" i="68"/>
  <c r="F32" i="67"/>
  <c r="F60" i="67"/>
  <c r="F54" i="9"/>
  <c r="F53" i="9"/>
  <c r="F28" i="67"/>
  <c r="C28" i="67"/>
  <c r="C48" i="11"/>
  <c r="C30" i="11"/>
  <c r="C48" i="69"/>
  <c r="F48" i="69"/>
  <c r="E30" i="6"/>
  <c r="K14" i="1"/>
  <c r="AZ13" i="3"/>
  <c r="AZ5" i="3"/>
  <c r="BA5" i="3"/>
  <c r="E27" i="6"/>
  <c r="F30" i="6"/>
  <c r="E61" i="39"/>
  <c r="E57" i="40"/>
  <c r="E64" i="39"/>
  <c r="E60" i="40"/>
  <c r="H6" i="3"/>
  <c r="E6" i="3"/>
  <c r="D19" i="12"/>
  <c r="C19" i="12" s="1"/>
  <c r="D9" i="69"/>
  <c r="C9" i="69" s="1"/>
  <c r="D9" i="11"/>
  <c r="C9" i="11"/>
  <c r="D9" i="68"/>
  <c r="C9" i="68" s="1"/>
  <c r="F27" i="6"/>
  <c r="E51" i="40"/>
  <c r="E56" i="39"/>
  <c r="E60" i="39"/>
  <c r="E56" i="40"/>
  <c r="E16" i="6"/>
  <c r="E58" i="40"/>
  <c r="E62" i="39"/>
  <c r="C118" i="43"/>
  <c r="D116" i="43"/>
  <c r="F27" i="11"/>
  <c r="F27" i="68"/>
  <c r="C29" i="68" s="1"/>
  <c r="D27" i="68" s="1"/>
  <c r="F28" i="12"/>
  <c r="C29" i="12" s="1"/>
  <c r="D28" i="12" s="1"/>
  <c r="F27" i="69"/>
  <c r="F45" i="69" s="1"/>
  <c r="J10" i="39"/>
  <c r="H10" i="40"/>
  <c r="U10" i="40"/>
  <c r="H10" i="39"/>
  <c r="AB10" i="39"/>
  <c r="F10" i="40"/>
  <c r="S10" i="40"/>
  <c r="J10" i="40"/>
  <c r="AC10" i="40"/>
  <c r="F10" i="39"/>
  <c r="AA10" i="39"/>
  <c r="D65" i="40"/>
  <c r="E63" i="40"/>
  <c r="S7" i="35"/>
  <c r="AA7" i="35"/>
  <c r="R38" i="35"/>
  <c r="W7" i="33"/>
  <c r="AC7" i="33"/>
  <c r="V48" i="33"/>
  <c r="I48" i="33"/>
  <c r="AB7" i="37"/>
  <c r="T42" i="37"/>
  <c r="G42" i="37"/>
  <c r="U7" i="37"/>
  <c r="E58" i="21"/>
  <c r="U7" i="33"/>
  <c r="AB7" i="33"/>
  <c r="T48" i="33"/>
  <c r="G48" i="33"/>
  <c r="F7" i="34"/>
  <c r="AA7" i="36"/>
  <c r="R36" i="36"/>
  <c r="S7" i="36"/>
  <c r="G42" i="35"/>
  <c r="H42" i="35"/>
  <c r="AC7" i="37"/>
  <c r="V42" i="37"/>
  <c r="I42" i="37"/>
  <c r="W7" i="37"/>
  <c r="W7" i="35"/>
  <c r="AC7" i="35"/>
  <c r="V38" i="35"/>
  <c r="I38" i="35"/>
  <c r="H7" i="34"/>
  <c r="W7" i="36"/>
  <c r="AC7" i="36"/>
  <c r="V36" i="36"/>
  <c r="I36" i="36"/>
  <c r="AA7" i="37"/>
  <c r="R42" i="37"/>
  <c r="S7" i="37"/>
  <c r="AB7" i="36"/>
  <c r="T36" i="36"/>
  <c r="G36" i="36"/>
  <c r="U7" i="36"/>
  <c r="S7" i="33"/>
  <c r="AA7" i="33"/>
  <c r="R48" i="33"/>
  <c r="E69" i="39"/>
  <c r="F67" i="39"/>
  <c r="J7" i="34"/>
  <c r="C61" i="67"/>
  <c r="C32" i="67"/>
  <c r="C33" i="67"/>
  <c r="C61" i="15"/>
  <c r="C32" i="15"/>
  <c r="C33" i="15"/>
  <c r="U43" i="21"/>
  <c r="S32" i="21"/>
  <c r="U32" i="21"/>
  <c r="AB26" i="21"/>
  <c r="U26" i="21"/>
  <c r="W26" i="21"/>
  <c r="AC26" i="21"/>
  <c r="C41" i="43"/>
  <c r="C40" i="43"/>
  <c r="G40" i="43"/>
  <c r="I40" i="43"/>
  <c r="C37" i="43"/>
  <c r="E37" i="43"/>
  <c r="C39" i="43"/>
  <c r="C38" i="43"/>
  <c r="C42" i="43"/>
  <c r="C5" i="43"/>
  <c r="G37" i="43"/>
  <c r="I37" i="43"/>
  <c r="F48" i="68"/>
  <c r="C30" i="68"/>
  <c r="C48" i="68"/>
  <c r="S10" i="39"/>
  <c r="AB10" i="40"/>
  <c r="K22" i="6"/>
  <c r="M22" i="6"/>
  <c r="I22" i="6"/>
  <c r="S22" i="6"/>
  <c r="K25" i="6"/>
  <c r="M25" i="6"/>
  <c r="I25" i="6"/>
  <c r="S25" i="6"/>
  <c r="E31" i="6"/>
  <c r="K23" i="6"/>
  <c r="M23" i="6"/>
  <c r="I23" i="6"/>
  <c r="S23" i="6"/>
  <c r="K21" i="6"/>
  <c r="M21" i="6"/>
  <c r="I21" i="6"/>
  <c r="S21" i="6"/>
  <c r="K26" i="6"/>
  <c r="M26" i="6"/>
  <c r="I26" i="6"/>
  <c r="S26" i="6"/>
  <c r="K24" i="6"/>
  <c r="M24" i="6"/>
  <c r="I24" i="6"/>
  <c r="S24" i="6"/>
  <c r="K20" i="6"/>
  <c r="M20" i="6"/>
  <c r="I20" i="6"/>
  <c r="S20" i="6"/>
  <c r="E3" i="6"/>
  <c r="AY6" i="3"/>
  <c r="M14" i="1"/>
  <c r="C34" i="69"/>
  <c r="C35" i="69" s="1"/>
  <c r="K16" i="1"/>
  <c r="F31" i="6"/>
  <c r="K19" i="6"/>
  <c r="E65" i="39"/>
  <c r="W10" i="40"/>
  <c r="U10" i="39"/>
  <c r="C47" i="11"/>
  <c r="D45" i="11"/>
  <c r="C29" i="11"/>
  <c r="D27" i="11"/>
  <c r="AA10" i="40"/>
  <c r="W10" i="39"/>
  <c r="AC10" i="39"/>
  <c r="I42" i="35"/>
  <c r="J42" i="35"/>
  <c r="I52" i="33"/>
  <c r="J52" i="33"/>
  <c r="E65" i="40"/>
  <c r="F63" i="40"/>
  <c r="W7" i="34"/>
  <c r="AC7" i="34"/>
  <c r="V49" i="34"/>
  <c r="I49" i="34"/>
  <c r="G67" i="39"/>
  <c r="F69" i="39"/>
  <c r="I40" i="36"/>
  <c r="J40" i="36"/>
  <c r="R37" i="36"/>
  <c r="E36" i="36"/>
  <c r="I41" i="36"/>
  <c r="J41" i="36"/>
  <c r="G46" i="37"/>
  <c r="H46" i="37"/>
  <c r="G47" i="37"/>
  <c r="H47" i="37"/>
  <c r="G40" i="36"/>
  <c r="H40" i="36"/>
  <c r="G41" i="36"/>
  <c r="H41" i="36"/>
  <c r="R43" i="37"/>
  <c r="E42" i="37"/>
  <c r="AA7" i="34"/>
  <c r="R49" i="34"/>
  <c r="S7" i="34"/>
  <c r="R39" i="35"/>
  <c r="E38" i="35"/>
  <c r="G43" i="35"/>
  <c r="H43" i="35"/>
  <c r="E48" i="33"/>
  <c r="I53" i="33"/>
  <c r="J53" i="33"/>
  <c r="R49" i="33"/>
  <c r="U7" i="34"/>
  <c r="AB7" i="34"/>
  <c r="T49" i="34"/>
  <c r="G49" i="34"/>
  <c r="I46" i="37"/>
  <c r="J46" i="37"/>
  <c r="I47" i="37"/>
  <c r="J47" i="37"/>
  <c r="G53" i="33"/>
  <c r="H53" i="33"/>
  <c r="G52" i="33"/>
  <c r="H52" i="33"/>
  <c r="F58" i="21"/>
  <c r="E39" i="43"/>
  <c r="G39" i="43"/>
  <c r="I39" i="43"/>
  <c r="T6" i="43"/>
  <c r="V6" i="43"/>
  <c r="T15" i="43"/>
  <c r="V15" i="43"/>
  <c r="T7" i="43"/>
  <c r="V7" i="43"/>
  <c r="T11" i="43"/>
  <c r="V11" i="43"/>
  <c r="T9" i="43"/>
  <c r="V9" i="43"/>
  <c r="T4" i="43"/>
  <c r="V4" i="43"/>
  <c r="T16" i="43"/>
  <c r="V16" i="43"/>
  <c r="T8" i="43"/>
  <c r="V8" i="43"/>
  <c r="T10" i="43"/>
  <c r="V10" i="43"/>
  <c r="T12" i="43"/>
  <c r="V12" i="43"/>
  <c r="T5" i="43"/>
  <c r="V5" i="43"/>
  <c r="T3" i="43"/>
  <c r="V3" i="43"/>
  <c r="C33" i="43"/>
  <c r="T13" i="43"/>
  <c r="V13" i="43"/>
  <c r="T14" i="43"/>
  <c r="V14" i="43"/>
  <c r="T2" i="43"/>
  <c r="V2" i="43"/>
  <c r="G42" i="43"/>
  <c r="I42" i="43"/>
  <c r="E42" i="43"/>
  <c r="E40" i="43"/>
  <c r="E38" i="43"/>
  <c r="G38" i="43"/>
  <c r="I38" i="43"/>
  <c r="E41" i="43"/>
  <c r="G41" i="43"/>
  <c r="I41" i="43"/>
  <c r="K27" i="6"/>
  <c r="M19" i="6"/>
  <c r="O14" i="1"/>
  <c r="O16" i="1"/>
  <c r="M16" i="1"/>
  <c r="T16" i="1"/>
  <c r="AY207" i="3"/>
  <c r="AY111" i="3"/>
  <c r="AY67" i="3"/>
  <c r="AY319" i="3"/>
  <c r="AY245" i="3"/>
  <c r="AY401" i="3"/>
  <c r="AY108" i="3"/>
  <c r="AY206" i="3"/>
  <c r="AY125" i="3"/>
  <c r="AY214" i="3"/>
  <c r="BJ6" i="3"/>
  <c r="AY145" i="3"/>
  <c r="AY349" i="3"/>
  <c r="AY457" i="3"/>
  <c r="AY585" i="3"/>
  <c r="AY98" i="3"/>
  <c r="AY444" i="3"/>
  <c r="AY404" i="3"/>
  <c r="AY25" i="3"/>
  <c r="AY254" i="3"/>
  <c r="AY150" i="3"/>
  <c r="AY464" i="3"/>
  <c r="AY559" i="3"/>
  <c r="AY191" i="3"/>
  <c r="AY43" i="3"/>
  <c r="AY557" i="3"/>
  <c r="AY193" i="3"/>
  <c r="AY384" i="3"/>
  <c r="AY121" i="3"/>
  <c r="AY438" i="3"/>
  <c r="AY552" i="3"/>
  <c r="AY96" i="3"/>
  <c r="AY169" i="3"/>
  <c r="AY223" i="3"/>
  <c r="AY328" i="3"/>
  <c r="AY442" i="3"/>
  <c r="AY499" i="3"/>
  <c r="BR6" i="3"/>
  <c r="AY78" i="3"/>
  <c r="AY127" i="3"/>
  <c r="AY376" i="3"/>
  <c r="AY424" i="3"/>
  <c r="AY587" i="3"/>
  <c r="AY179" i="3"/>
  <c r="AY256" i="3"/>
  <c r="AY306" i="3"/>
  <c r="BC6" i="3"/>
  <c r="AY122" i="3"/>
  <c r="AY304" i="3"/>
  <c r="AY564" i="3"/>
  <c r="AY30" i="3"/>
  <c r="AY347" i="3"/>
  <c r="AY102" i="3"/>
  <c r="AY208" i="3"/>
  <c r="AY583" i="3"/>
  <c r="AY250" i="3"/>
  <c r="AY445" i="3"/>
  <c r="AY551" i="3"/>
  <c r="AY151" i="3"/>
  <c r="AY451" i="3"/>
  <c r="AY200" i="3"/>
  <c r="AY307" i="3"/>
  <c r="AY144" i="3"/>
  <c r="AY168" i="3"/>
  <c r="AY196" i="3"/>
  <c r="AY318" i="3"/>
  <c r="AY217" i="3"/>
  <c r="AY513" i="3"/>
  <c r="AY92" i="3"/>
  <c r="AY201" i="3"/>
  <c r="AY299" i="3"/>
  <c r="AY219" i="3"/>
  <c r="AY104" i="3"/>
  <c r="AY114" i="3"/>
  <c r="AY333" i="3"/>
  <c r="AY446" i="3"/>
  <c r="AY561" i="3"/>
  <c r="AY18" i="3"/>
  <c r="AY526" i="3"/>
  <c r="AY535" i="3"/>
  <c r="AY182" i="3"/>
  <c r="AY211" i="3"/>
  <c r="AY130" i="3"/>
  <c r="AY454" i="3"/>
  <c r="AY532" i="3"/>
  <c r="AY132" i="3"/>
  <c r="AY116" i="3"/>
  <c r="AY540" i="3"/>
  <c r="AY162" i="3"/>
  <c r="AY373" i="3"/>
  <c r="AY258"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59" i="3"/>
  <c r="AY382" i="3"/>
  <c r="AY183" i="3"/>
  <c r="AY409" i="3"/>
  <c r="AY83" i="3"/>
  <c r="AY529" i="3"/>
  <c r="AY541" i="3"/>
  <c r="AY165" i="3"/>
  <c r="AY357" i="3"/>
  <c r="AY210" i="3"/>
  <c r="AY411" i="3"/>
  <c r="AY237" i="3"/>
  <c r="AY85" i="3"/>
  <c r="AY93" i="3"/>
  <c r="AY516" i="3"/>
  <c r="AY489" i="3"/>
  <c r="AY84" i="3"/>
  <c r="AY72" i="3"/>
  <c r="AY572" i="3"/>
  <c r="AY194" i="3"/>
  <c r="AY329" i="3"/>
  <c r="AY407" i="3"/>
  <c r="AY99" i="3"/>
  <c r="AY232" i="3"/>
  <c r="AY560" i="3"/>
  <c r="AY277" i="3"/>
  <c r="AY429" i="3"/>
  <c r="AY352" i="3"/>
  <c r="AY563" i="3"/>
  <c r="AY13" i="3"/>
  <c r="AY432" i="3"/>
  <c r="AY320" i="3"/>
  <c r="AY62" i="3"/>
  <c r="AY107" i="3"/>
  <c r="AY566" i="3"/>
  <c r="AY582" i="3"/>
  <c r="AY75" i="3"/>
  <c r="AY580" i="3"/>
  <c r="AY517" i="3"/>
  <c r="AY548" i="3"/>
  <c r="AY79" i="3"/>
  <c r="AY42" i="3"/>
  <c r="AY342" i="3"/>
  <c r="AY76" i="3"/>
  <c r="AY263" i="3"/>
  <c r="AY24" i="3"/>
  <c r="AY316" i="3"/>
  <c r="AY546" i="3"/>
  <c r="AY390" i="3"/>
  <c r="AY126" i="3"/>
  <c r="AY393" i="3"/>
  <c r="AY523" i="3"/>
  <c r="AY343" i="3"/>
  <c r="AY291" i="3"/>
  <c r="AY309" i="3"/>
  <c r="AY514" i="3"/>
  <c r="AY282" i="3"/>
  <c r="AY484" i="3"/>
  <c r="AY502" i="3"/>
  <c r="AY187" i="3"/>
  <c r="AY314" i="3"/>
  <c r="AY70" i="3"/>
  <c r="AY367" i="3"/>
  <c r="AY498" i="3"/>
  <c r="AY418" i="3"/>
  <c r="AY296" i="3"/>
  <c r="AY175" i="3"/>
  <c r="AY174" i="3"/>
  <c r="AY505" i="3"/>
  <c r="AY394" i="3"/>
  <c r="AY257" i="3"/>
  <c r="AY569" i="3"/>
  <c r="AY274" i="3"/>
  <c r="BI6" i="3"/>
  <c r="AY88" i="3"/>
  <c r="AY345" i="3"/>
  <c r="BA6" i="3"/>
  <c r="AY416" i="3"/>
  <c r="AY474" i="3"/>
  <c r="AY568" i="3"/>
  <c r="AY371" i="3"/>
  <c r="AY465" i="3"/>
  <c r="AY60" i="3"/>
  <c r="AY231" i="3"/>
  <c r="AY202" i="3"/>
  <c r="AY491" i="3"/>
  <c r="AY510" i="3"/>
  <c r="AY355" i="3"/>
  <c r="AY117" i="3"/>
  <c r="AY325" i="3"/>
  <c r="AY112" i="3"/>
  <c r="AY326" i="3"/>
  <c r="AY255" i="3"/>
  <c r="AY324" i="3"/>
  <c r="AY251" i="3"/>
  <c r="AY468" i="3"/>
  <c r="AY565" i="3"/>
  <c r="AY156" i="3"/>
  <c r="AY469" i="3"/>
  <c r="AY38" i="3"/>
  <c r="AY354" i="3"/>
  <c r="AY32" i="3"/>
  <c r="AY431" i="3"/>
  <c r="AY233" i="3"/>
  <c r="AY136" i="3"/>
  <c r="AY153" i="3"/>
  <c r="AY538" i="3"/>
  <c r="AY359" i="3"/>
  <c r="AY240" i="3"/>
  <c r="AY204" i="3"/>
  <c r="AY138" i="3"/>
  <c r="AY374" i="3"/>
  <c r="AY427" i="3"/>
  <c r="AY555" i="3"/>
  <c r="AY525" i="3"/>
  <c r="AY220" i="3"/>
  <c r="AY69" i="3"/>
  <c r="AY37" i="3"/>
  <c r="AY423" i="3"/>
  <c r="AY264" i="3"/>
  <c r="AY119" i="3"/>
  <c r="AY385" i="3"/>
  <c r="AY421" i="3"/>
  <c r="AY305" i="3"/>
  <c r="AY521" i="3"/>
  <c r="AY176" i="3"/>
  <c r="AY297" i="3"/>
  <c r="AY289" i="3"/>
  <c r="AY441" i="3"/>
  <c r="AY310" i="3"/>
  <c r="AY124" i="3"/>
  <c r="AY303" i="3"/>
  <c r="AY460" i="3"/>
  <c r="AY452" i="3"/>
  <c r="AY61" i="3"/>
  <c r="AY133" i="3"/>
  <c r="AY397" i="3"/>
  <c r="AY166" i="3"/>
  <c r="AY348" i="3"/>
  <c r="BQ6" i="3"/>
  <c r="AY90" i="3"/>
  <c r="AY481" i="3"/>
  <c r="AY146" i="3"/>
  <c r="AY40" i="3"/>
  <c r="AY435" i="3"/>
  <c r="AY49" i="3"/>
  <c r="AY212" i="3"/>
  <c r="AY20" i="3"/>
  <c r="AY507" i="3"/>
  <c r="AY480" i="3"/>
  <c r="AY293" i="3"/>
  <c r="AY248" i="3"/>
  <c r="AY415" i="3"/>
  <c r="AY21" i="3"/>
  <c r="AY195" i="3"/>
  <c r="AY120" i="3"/>
  <c r="AY450" i="3"/>
  <c r="AY586" i="3"/>
  <c r="AY391" i="3"/>
  <c r="AY55" i="3"/>
  <c r="AY346" i="3"/>
  <c r="AY192" i="3"/>
  <c r="AY524" i="3"/>
  <c r="AY471" i="3"/>
  <c r="AY287" i="3"/>
  <c r="AY494" i="3"/>
  <c r="AY370" i="3"/>
  <c r="AY134" i="3"/>
  <c r="AY379" i="3"/>
  <c r="AY496" i="3"/>
  <c r="AY226" i="3"/>
  <c r="AY157" i="3"/>
  <c r="AY269" i="3"/>
  <c r="AY571" i="3"/>
  <c r="AY332" i="3"/>
  <c r="AY41" i="3"/>
  <c r="AY278" i="3"/>
  <c r="AY45" i="3"/>
  <c r="AY358" i="3"/>
  <c r="AY74" i="3"/>
  <c r="AY95" i="3"/>
  <c r="BT6" i="3"/>
  <c r="AY71" i="3"/>
  <c r="AY19" i="3"/>
  <c r="AY479" i="3"/>
  <c r="AY413" i="3"/>
  <c r="AY528" i="3"/>
  <c r="AY110" i="3"/>
  <c r="AY321" i="3"/>
  <c r="AY550" i="3"/>
  <c r="AY273" i="3"/>
  <c r="AY512" i="3"/>
  <c r="AY221" i="3"/>
  <c r="AY94" i="3"/>
  <c r="AY579" i="3"/>
  <c r="AY313" i="3"/>
  <c r="AY189" i="3"/>
  <c r="AY536" i="3"/>
  <c r="AY181" i="3"/>
  <c r="AY52" i="3"/>
  <c r="AY455" i="3"/>
  <c r="AY527" i="3"/>
  <c r="AY57" i="3"/>
  <c r="AY53" i="3"/>
  <c r="AY334" i="3"/>
  <c r="AY581" i="3"/>
  <c r="AY388" i="3"/>
  <c r="AY554" i="3"/>
  <c r="AY115" i="3"/>
  <c r="AY225" i="3"/>
  <c r="AY261" i="3"/>
  <c r="AY26" i="3"/>
  <c r="AY420" i="3"/>
  <c r="AY152" i="3"/>
  <c r="AY160" i="3"/>
  <c r="AY106" i="3"/>
  <c r="AY549" i="3"/>
  <c r="AY44" i="3"/>
  <c r="AY283" i="3"/>
  <c r="AY360" i="3"/>
  <c r="AY295" i="3"/>
  <c r="AY475" i="3"/>
  <c r="AY534" i="3"/>
  <c r="AY387" i="3"/>
  <c r="AY562" i="3"/>
  <c r="AY302" i="3"/>
  <c r="AY279" i="3"/>
  <c r="BN6" i="3"/>
  <c r="AY31" i="3"/>
  <c r="AY478" i="3"/>
  <c r="AY173" i="3"/>
  <c r="AY29" i="3"/>
  <c r="AY54" i="3"/>
  <c r="AY172" i="3"/>
  <c r="AY476" i="3"/>
  <c r="AY15" i="3"/>
  <c r="AY576" i="3"/>
  <c r="AY47" i="3"/>
  <c r="AY336" i="3"/>
  <c r="BD6" i="3"/>
  <c r="AY241" i="3"/>
  <c r="BL6" i="3"/>
  <c r="AY378" i="3"/>
  <c r="AY63" i="3"/>
  <c r="AY506" i="3"/>
  <c r="AY344" i="3"/>
  <c r="AY158" i="3"/>
  <c r="AY520" i="3"/>
  <c r="AY161" i="3"/>
  <c r="AY198" i="3"/>
  <c r="AY412" i="3"/>
  <c r="AY518" i="3"/>
  <c r="AY186" i="3"/>
  <c r="AY68" i="3"/>
  <c r="AY486" i="3"/>
  <c r="BM6" i="3"/>
  <c r="AY377" i="3"/>
  <c r="BH6" i="3"/>
  <c r="AY118" i="3"/>
  <c r="AY553" i="3"/>
  <c r="AY300" i="3"/>
  <c r="AY103" i="3"/>
  <c r="AY34" i="3"/>
  <c r="AY443" i="3"/>
  <c r="AY500" i="3"/>
  <c r="BP6" i="3"/>
  <c r="AY361" i="3"/>
  <c r="AY339" i="3"/>
  <c r="AY482" i="3"/>
  <c r="AY537" i="3"/>
  <c r="AY235" i="3"/>
  <c r="AY459" i="3"/>
  <c r="AY159" i="3"/>
  <c r="AY405" i="3"/>
  <c r="AY280" i="3"/>
  <c r="AY531" i="3"/>
  <c r="AY410" i="3"/>
  <c r="AY369" i="3"/>
  <c r="AY80" i="3"/>
  <c r="AY419" i="3"/>
  <c r="AY368" i="3"/>
  <c r="AY539" i="3"/>
  <c r="AY292" i="3"/>
  <c r="AY422" i="3"/>
  <c r="AY389" i="3"/>
  <c r="AY574" i="3"/>
  <c r="AY171" i="3"/>
  <c r="AY430" i="3"/>
  <c r="AY290" i="3"/>
  <c r="AY188" i="3"/>
  <c r="AY209" i="3"/>
  <c r="AY87" i="3"/>
  <c r="AY123" i="3"/>
  <c r="AY533" i="3"/>
  <c r="AY247" i="3"/>
  <c r="AY242" i="3"/>
  <c r="AY495" i="3"/>
  <c r="AY89" i="3"/>
  <c r="AY356" i="3"/>
  <c r="AY350" i="3"/>
  <c r="AY286" i="3"/>
  <c r="AY485" i="3"/>
  <c r="AY267" i="3"/>
  <c r="AY383" i="3"/>
  <c r="AY142" i="3"/>
  <c r="AY184" i="3"/>
  <c r="AY135" i="3"/>
  <c r="AY458" i="3"/>
  <c r="AY101" i="3"/>
  <c r="AY238" i="3"/>
  <c r="AY82" i="3"/>
  <c r="AY239" i="3"/>
  <c r="AY16" i="3"/>
  <c r="AY177" i="3"/>
  <c r="AY33" i="3"/>
  <c r="AY252" i="3"/>
  <c r="AY265" i="3"/>
  <c r="AY64" i="3"/>
  <c r="AY140" i="3"/>
  <c r="AY504" i="3"/>
  <c r="AY86" i="3"/>
  <c r="AY35" i="3"/>
  <c r="AY487" i="3"/>
  <c r="AY584" i="3"/>
  <c r="AY141" i="3"/>
  <c r="AY556" i="3"/>
  <c r="AY178" i="3"/>
  <c r="BF6" i="3"/>
  <c r="AY73" i="3"/>
  <c r="AY149" i="3"/>
  <c r="BE6" i="3"/>
  <c r="AY180" i="3"/>
  <c r="AY366" i="3"/>
  <c r="AY51" i="3"/>
  <c r="AY276" i="3"/>
  <c r="AY473" i="3"/>
  <c r="AY23" i="3"/>
  <c r="AY363" i="3"/>
  <c r="AY97" i="3"/>
  <c r="AY230" i="3"/>
  <c r="AY353" i="3"/>
  <c r="AY501" i="3"/>
  <c r="AY36" i="3"/>
  <c r="AY467" i="3"/>
  <c r="AY497" i="3"/>
  <c r="AY227" i="3"/>
  <c r="AY400" i="3"/>
  <c r="AY493" i="3"/>
  <c r="AY322" i="3"/>
  <c r="AY530" i="3"/>
  <c r="AY448" i="3"/>
  <c r="AY558" i="3"/>
  <c r="AY578" i="3"/>
  <c r="AY364" i="3"/>
  <c r="AY503" i="3"/>
  <c r="AY105" i="3"/>
  <c r="AY403" i="3"/>
  <c r="BO6" i="3"/>
  <c r="AY414" i="3"/>
  <c r="AY381" i="3"/>
  <c r="AY544" i="3"/>
  <c r="AY268" i="3"/>
  <c r="AY386" i="3"/>
  <c r="AY522" i="3"/>
  <c r="AY288" i="3"/>
  <c r="AY399" i="3"/>
  <c r="AY323" i="3"/>
  <c r="AY466" i="3"/>
  <c r="AY509" i="3"/>
  <c r="AY266" i="3"/>
  <c r="AY483" i="3"/>
  <c r="AY436" i="3"/>
  <c r="AY340" i="3"/>
  <c r="AY311" i="3"/>
  <c r="AY488" i="3"/>
  <c r="AY392" i="3"/>
  <c r="AY185" i="3"/>
  <c r="BK6" i="3"/>
  <c r="AY470" i="3"/>
  <c r="AY253" i="3"/>
  <c r="AY335" i="3"/>
  <c r="AY260" i="3"/>
  <c r="AY58" i="3"/>
  <c r="AY228" i="3"/>
  <c r="AY190" i="3"/>
  <c r="AY109" i="3"/>
  <c r="AY462" i="3"/>
  <c r="AY425" i="3"/>
  <c r="AY222" i="3"/>
  <c r="AY508" i="3"/>
  <c r="AY573" i="3"/>
  <c r="AY275" i="3"/>
  <c r="AY351" i="3"/>
  <c r="AY515" i="3"/>
  <c r="AY272" i="3"/>
  <c r="AY17" i="3"/>
  <c r="AY338" i="3"/>
  <c r="AY456" i="3"/>
  <c r="AY542" i="3"/>
  <c r="AY234" i="3"/>
  <c r="AY449" i="3"/>
  <c r="AY417" i="3"/>
  <c r="AY308" i="3"/>
  <c r="AY447" i="3"/>
  <c r="AY472" i="3"/>
  <c r="AY246" i="3"/>
  <c r="AY433" i="3"/>
  <c r="AY281" i="3"/>
  <c r="AY143" i="3"/>
  <c r="AY402" i="3"/>
  <c r="AY22" i="3"/>
  <c r="AY461" i="3"/>
  <c r="AY213" i="3"/>
  <c r="AY331" i="3"/>
  <c r="D3" i="6"/>
  <c r="AY129" i="3"/>
  <c r="AY215" i="3"/>
  <c r="AY229" i="3"/>
  <c r="AY243" i="3"/>
  <c r="AY199" i="3"/>
  <c r="AY317" i="3"/>
  <c r="AY262" i="3"/>
  <c r="AY28" i="3"/>
  <c r="AY463" i="3"/>
  <c r="AY284" i="3"/>
  <c r="AY131" i="3"/>
  <c r="AY66" i="3"/>
  <c r="AY50" i="3"/>
  <c r="AY372" i="3"/>
  <c r="AY236" i="3"/>
  <c r="AY327" i="3"/>
  <c r="AY154" i="3"/>
  <c r="AY56" i="3"/>
  <c r="AY398" i="3"/>
  <c r="AY244" i="3"/>
  <c r="BS6" i="3"/>
  <c r="AY577" i="3"/>
  <c r="AY100" i="3"/>
  <c r="AY341" i="3"/>
  <c r="AY547" i="3"/>
  <c r="AY337" i="3"/>
  <c r="AY440" i="3"/>
  <c r="AY218" i="3"/>
  <c r="AY128" i="3"/>
  <c r="AY249" i="3"/>
  <c r="AY439" i="3"/>
  <c r="AY48" i="3"/>
  <c r="BB6" i="3"/>
  <c r="AY147" i="3"/>
  <c r="AY365" i="3"/>
  <c r="AY163" i="3"/>
  <c r="AY259" i="3"/>
  <c r="AY170" i="3"/>
  <c r="AY428" i="3"/>
  <c r="AY315" i="3"/>
  <c r="AY113" i="3"/>
  <c r="AY216" i="3"/>
  <c r="AY205" i="3"/>
  <c r="AY27" i="3"/>
  <c r="AY167" i="3"/>
  <c r="AY453" i="3"/>
  <c r="AY519" i="3"/>
  <c r="AY270" i="3"/>
  <c r="AY81" i="3"/>
  <c r="AY271" i="3"/>
  <c r="BG6" i="3"/>
  <c r="AY197" i="3"/>
  <c r="AY294" i="3"/>
  <c r="AY77" i="3"/>
  <c r="AY395" i="3"/>
  <c r="AY139" i="3"/>
  <c r="AY155" i="3"/>
  <c r="D3" i="21"/>
  <c r="D3" i="37"/>
  <c r="B3" i="37"/>
  <c r="D37" i="11"/>
  <c r="C37" i="11"/>
  <c r="L18" i="9"/>
  <c r="D3" i="34"/>
  <c r="B3" i="34"/>
  <c r="D14" i="12"/>
  <c r="D19" i="11"/>
  <c r="C19" i="11"/>
  <c r="D3" i="33"/>
  <c r="B3" i="33"/>
  <c r="M18" i="9"/>
  <c r="B118" i="9"/>
  <c r="C17" i="4"/>
  <c r="B4" i="52"/>
  <c r="B43" i="72"/>
  <c r="E6" i="6"/>
  <c r="C48" i="33"/>
  <c r="C49" i="33"/>
  <c r="E43" i="35"/>
  <c r="F43" i="35"/>
  <c r="E42" i="35"/>
  <c r="F42" i="35"/>
  <c r="E47" i="37"/>
  <c r="F47" i="37"/>
  <c r="E46" i="37"/>
  <c r="F46" i="37"/>
  <c r="I53" i="34"/>
  <c r="J53" i="34"/>
  <c r="G58" i="21"/>
  <c r="E52" i="33"/>
  <c r="F52" i="33"/>
  <c r="E53" i="33"/>
  <c r="F53" i="33"/>
  <c r="C38" i="35"/>
  <c r="C39" i="35"/>
  <c r="C42" i="37"/>
  <c r="C43" i="37"/>
  <c r="F65" i="40"/>
  <c r="G63" i="40"/>
  <c r="I43" i="35"/>
  <c r="J43" i="35"/>
  <c r="G53" i="34"/>
  <c r="H53" i="34"/>
  <c r="G54" i="34"/>
  <c r="H54" i="34"/>
  <c r="E40" i="36"/>
  <c r="F40" i="36"/>
  <c r="E41" i="36"/>
  <c r="F41" i="36"/>
  <c r="R50" i="34"/>
  <c r="E49" i="34"/>
  <c r="I54" i="34"/>
  <c r="J54" i="34"/>
  <c r="C37" i="36"/>
  <c r="C36" i="36"/>
  <c r="H67" i="39"/>
  <c r="G69" i="39"/>
  <c r="C60" i="67"/>
  <c r="C60" i="15"/>
  <c r="E33" i="43"/>
  <c r="C30" i="43"/>
  <c r="C34" i="43"/>
  <c r="E34" i="43"/>
  <c r="C31" i="43"/>
  <c r="C34" i="11"/>
  <c r="L16" i="1"/>
  <c r="N16" i="1"/>
  <c r="P14" i="1"/>
  <c r="P16" i="1"/>
  <c r="C11" i="12"/>
  <c r="C12" i="12" s="1"/>
  <c r="D20" i="12"/>
  <c r="C20" i="12" s="1"/>
  <c r="D10" i="68"/>
  <c r="C10" i="68" s="1"/>
  <c r="D10" i="11"/>
  <c r="C10" i="11"/>
  <c r="D10" i="69"/>
  <c r="C20" i="11"/>
  <c r="H20" i="6"/>
  <c r="H21" i="6"/>
  <c r="H23" i="6"/>
  <c r="H22" i="6"/>
  <c r="H26" i="6"/>
  <c r="H24" i="6"/>
  <c r="D22" i="6"/>
  <c r="C18" i="4"/>
  <c r="D14" i="6"/>
  <c r="D25" i="6"/>
  <c r="D5" i="6"/>
  <c r="D26" i="6"/>
  <c r="D11" i="6"/>
  <c r="E61" i="40"/>
  <c r="L19" i="9"/>
  <c r="M19" i="9"/>
  <c r="C118" i="9"/>
  <c r="D29" i="6"/>
  <c r="D24" i="6"/>
  <c r="R24" i="6"/>
  <c r="D28" i="6"/>
  <c r="D30" i="6"/>
  <c r="D10" i="6"/>
  <c r="D8" i="6"/>
  <c r="D23" i="6"/>
  <c r="D9" i="6"/>
  <c r="D15" i="6"/>
  <c r="D19" i="6"/>
  <c r="H25" i="6"/>
  <c r="D13" i="6"/>
  <c r="D20" i="6"/>
  <c r="D12" i="6"/>
  <c r="D21" i="6"/>
  <c r="R21" i="6"/>
  <c r="D6" i="6"/>
  <c r="M27" i="6"/>
  <c r="I19" i="6"/>
  <c r="G65" i="40"/>
  <c r="H63" i="40"/>
  <c r="E53" i="34"/>
  <c r="F53" i="34"/>
  <c r="E54" i="34"/>
  <c r="F54" i="34"/>
  <c r="I67" i="39"/>
  <c r="H69" i="39"/>
  <c r="C49" i="34"/>
  <c r="C50" i="34"/>
  <c r="H58" i="21"/>
  <c r="B2" i="43"/>
  <c r="R22" i="6"/>
  <c r="R23" i="6"/>
  <c r="R25" i="6"/>
  <c r="C35" i="11"/>
  <c r="C38" i="11"/>
  <c r="S19" i="6"/>
  <c r="S27" i="6"/>
  <c r="H19" i="6"/>
  <c r="I27" i="6"/>
  <c r="D27" i="6"/>
  <c r="D31" i="6"/>
  <c r="D16" i="6"/>
  <c r="F50" i="11"/>
  <c r="F50" i="68"/>
  <c r="F50" i="69"/>
  <c r="R20" i="6"/>
  <c r="R26" i="6"/>
  <c r="A10" i="51"/>
  <c r="B9" i="72"/>
  <c r="C4" i="52"/>
  <c r="B45" i="72"/>
  <c r="A7" i="51"/>
  <c r="B7" i="72"/>
  <c r="C28" i="11"/>
  <c r="C27" i="11"/>
  <c r="I69" i="39"/>
  <c r="J67" i="39"/>
  <c r="H65" i="40"/>
  <c r="I63" i="40"/>
  <c r="I58" i="21"/>
  <c r="J58" i="21"/>
  <c r="K58" i="21"/>
  <c r="L58" i="21"/>
  <c r="M58" i="21"/>
  <c r="N58" i="21"/>
  <c r="O58" i="21"/>
  <c r="B3" i="43"/>
  <c r="C33" i="11"/>
  <c r="C39" i="11"/>
  <c r="H27" i="6"/>
  <c r="R19" i="6"/>
  <c r="I5" i="6"/>
  <c r="I6" i="6"/>
  <c r="L46" i="67"/>
  <c r="S7" i="21"/>
  <c r="J69" i="39"/>
  <c r="K67" i="39"/>
  <c r="I65" i="40"/>
  <c r="J63" i="40"/>
  <c r="G48" i="21"/>
  <c r="U7" i="21"/>
  <c r="W7" i="21"/>
  <c r="I48" i="21"/>
  <c r="C46" i="11"/>
  <c r="C45" i="11"/>
  <c r="R27" i="6"/>
  <c r="R6" i="1"/>
  <c r="L67" i="39"/>
  <c r="K69" i="39"/>
  <c r="G53" i="21"/>
  <c r="H53" i="21"/>
  <c r="G52" i="21"/>
  <c r="H52" i="21"/>
  <c r="I52" i="21"/>
  <c r="J52" i="21"/>
  <c r="J65" i="40"/>
  <c r="K63" i="40"/>
  <c r="E48" i="21"/>
  <c r="C62" i="67"/>
  <c r="L63" i="40"/>
  <c r="K65" i="40"/>
  <c r="E52" i="21"/>
  <c r="F52" i="21"/>
  <c r="E53" i="21"/>
  <c r="F53" i="21"/>
  <c r="I53" i="21"/>
  <c r="J53" i="21"/>
  <c r="C48" i="21"/>
  <c r="L69" i="39"/>
  <c r="M67" i="39"/>
  <c r="B2" i="21"/>
  <c r="N67" i="39"/>
  <c r="M69" i="39"/>
  <c r="L65" i="40"/>
  <c r="M63" i="40"/>
  <c r="M65" i="40"/>
  <c r="N63" i="40"/>
  <c r="N69" i="39"/>
  <c r="O67" i="39"/>
  <c r="O69" i="39"/>
  <c r="F7" i="39"/>
  <c r="H7" i="39"/>
  <c r="J7" i="39"/>
  <c r="O63" i="40"/>
  <c r="O65" i="40"/>
  <c r="N65" i="40"/>
  <c r="J7" i="40"/>
  <c r="F7" i="40"/>
  <c r="H7" i="40"/>
  <c r="AC7" i="39"/>
  <c r="V47" i="39"/>
  <c r="I47" i="39"/>
  <c r="W7" i="39"/>
  <c r="AB7" i="39"/>
  <c r="T47" i="39"/>
  <c r="G47" i="39"/>
  <c r="U7" i="39"/>
  <c r="S7" i="39"/>
  <c r="AA7" i="39"/>
  <c r="R47" i="39"/>
  <c r="G51" i="39"/>
  <c r="H51" i="39"/>
  <c r="G52" i="39"/>
  <c r="H52" i="39"/>
  <c r="E47" i="39"/>
  <c r="R48" i="39"/>
  <c r="I51" i="39"/>
  <c r="J51" i="39"/>
  <c r="U7" i="40"/>
  <c r="AB7" i="40"/>
  <c r="T42" i="40"/>
  <c r="G42" i="40"/>
  <c r="S7" i="40"/>
  <c r="AA7" i="40"/>
  <c r="R42" i="40"/>
  <c r="W7" i="40"/>
  <c r="AC7" i="40"/>
  <c r="V42" i="40"/>
  <c r="I42" i="40"/>
  <c r="I46" i="40"/>
  <c r="J46" i="40"/>
  <c r="G47" i="40"/>
  <c r="H47" i="40"/>
  <c r="G46" i="40"/>
  <c r="H46" i="40"/>
  <c r="E51" i="39"/>
  <c r="F51" i="39"/>
  <c r="E52" i="39"/>
  <c r="F52" i="39"/>
  <c r="C48" i="39"/>
  <c r="C47" i="39"/>
  <c r="R43" i="40"/>
  <c r="E42" i="40"/>
  <c r="I52" i="39"/>
  <c r="J52" i="39"/>
  <c r="B63" i="39"/>
  <c r="F63" i="39"/>
  <c r="B60" i="39"/>
  <c r="F60" i="39"/>
  <c r="B57" i="39"/>
  <c r="F57" i="39"/>
  <c r="B62" i="39"/>
  <c r="F62" i="39"/>
  <c r="B64" i="39"/>
  <c r="F64" i="39"/>
  <c r="B59" i="39"/>
  <c r="F59" i="39"/>
  <c r="B56" i="39"/>
  <c r="F56" i="39"/>
  <c r="F65" i="39"/>
  <c r="B2" i="39"/>
  <c r="B3" i="39"/>
  <c r="B61" i="39"/>
  <c r="F61" i="39"/>
  <c r="B58" i="39"/>
  <c r="F58" i="39"/>
  <c r="E46" i="40"/>
  <c r="F46" i="40"/>
  <c r="E47" i="40"/>
  <c r="F47" i="40"/>
  <c r="I47" i="40"/>
  <c r="J47" i="40"/>
  <c r="C42" i="40"/>
  <c r="C43" i="40"/>
  <c r="B58" i="40"/>
  <c r="F58" i="40"/>
  <c r="B53" i="40"/>
  <c r="F53" i="40"/>
  <c r="B52" i="40"/>
  <c r="F52" i="40"/>
  <c r="B60" i="40"/>
  <c r="F60" i="40"/>
  <c r="B51" i="40"/>
  <c r="F51" i="40"/>
  <c r="B54" i="40"/>
  <c r="F54" i="40"/>
  <c r="F61" i="40"/>
  <c r="B2" i="40"/>
  <c r="B3" i="40"/>
  <c r="B57" i="40"/>
  <c r="F57" i="40"/>
  <c r="B59" i="40"/>
  <c r="F59" i="40"/>
  <c r="B56" i="40"/>
  <c r="F56" i="40"/>
  <c r="F7" i="67"/>
  <c r="F13" i="67"/>
  <c r="F38" i="67"/>
  <c r="F42" i="67"/>
  <c r="M6" i="67"/>
  <c r="E7" i="76"/>
  <c r="B11" i="76"/>
  <c r="B13" i="76"/>
  <c r="AO8" i="1"/>
  <c r="AO7" i="1"/>
  <c r="B9" i="76"/>
  <c r="M28" i="15"/>
  <c r="L47" i="67"/>
  <c r="F38" i="15"/>
  <c r="M29" i="15"/>
  <c r="F41" i="15"/>
  <c r="AO10" i="1"/>
  <c r="M23" i="15"/>
  <c r="M8" i="15"/>
  <c r="D34" i="9"/>
  <c r="AO12" i="1"/>
  <c r="M26" i="15"/>
  <c r="B7" i="76"/>
  <c r="J15" i="15"/>
  <c r="F6" i="73"/>
  <c r="F9" i="67"/>
  <c r="F43" i="67"/>
  <c r="F37" i="67"/>
  <c r="D20" i="9"/>
  <c r="D2" i="37"/>
  <c r="E2" i="68"/>
  <c r="D2" i="36"/>
  <c r="F16" i="15"/>
  <c r="E2" i="69"/>
  <c r="F13" i="15"/>
  <c r="M21" i="15"/>
  <c r="M28" i="67"/>
  <c r="F37" i="15"/>
  <c r="F8" i="15"/>
  <c r="L48" i="15"/>
  <c r="B12" i="76"/>
  <c r="D2" i="21"/>
  <c r="C76" i="15"/>
  <c r="C14" i="15"/>
  <c r="B6" i="76"/>
  <c r="F4" i="73"/>
  <c r="F16" i="67"/>
  <c r="D6" i="73"/>
  <c r="M27" i="67"/>
  <c r="M9" i="15"/>
  <c r="F26" i="15"/>
  <c r="F40" i="15"/>
  <c r="F42" i="15"/>
  <c r="D4" i="73"/>
  <c r="F40" i="67"/>
  <c r="M9" i="67"/>
  <c r="M23" i="67"/>
  <c r="M6" i="15"/>
  <c r="F6" i="15"/>
  <c r="M29" i="67"/>
  <c r="AO9" i="1"/>
  <c r="F9" i="15"/>
  <c r="B8" i="76"/>
  <c r="M22" i="67"/>
  <c r="L47" i="15"/>
  <c r="M24" i="15"/>
  <c r="F35" i="15"/>
  <c r="C76" i="67"/>
  <c r="E13" i="76"/>
  <c r="F43" i="15"/>
  <c r="E8" i="76"/>
  <c r="F6" i="67"/>
  <c r="L48" i="67"/>
  <c r="AO11" i="1"/>
  <c r="D35" i="9"/>
  <c r="J15" i="67"/>
  <c r="F36" i="15"/>
  <c r="M27" i="15"/>
  <c r="F20" i="31"/>
  <c r="F3" i="73"/>
  <c r="D2" i="34"/>
  <c r="F26" i="67"/>
  <c r="M8" i="67"/>
  <c r="M26" i="67"/>
  <c r="B10" i="76"/>
  <c r="D2" i="33"/>
  <c r="E6" i="76"/>
  <c r="F35" i="67"/>
  <c r="F36" i="67"/>
  <c r="D3" i="73"/>
  <c r="F7" i="15"/>
  <c r="E9" i="76"/>
  <c r="D7" i="73"/>
  <c r="M21" i="67"/>
  <c r="D19" i="9"/>
  <c r="AO13" i="1"/>
  <c r="F7" i="73"/>
  <c r="F8" i="67"/>
  <c r="D2" i="35"/>
  <c r="M22" i="15"/>
  <c r="E12" i="76"/>
  <c r="E11" i="76"/>
  <c r="F5" i="73"/>
  <c r="D5" i="73"/>
  <c r="G1" i="73" s="1"/>
  <c r="M24" i="67"/>
  <c r="E10" i="76"/>
  <c r="F11" i="49" l="1"/>
  <c r="H11" i="49" s="1"/>
  <c r="F14" i="49"/>
  <c r="H14" i="49" s="1"/>
  <c r="B8" i="49"/>
  <c r="D8" i="49" s="1"/>
  <c r="F9" i="49"/>
  <c r="H9" i="49" s="1"/>
  <c r="B4" i="49"/>
  <c r="D4" i="49" s="1"/>
  <c r="B13" i="49"/>
  <c r="D13" i="49" s="1"/>
  <c r="C34" i="68"/>
  <c r="C38" i="68" s="1"/>
  <c r="F5" i="49"/>
  <c r="H5" i="49" s="1"/>
  <c r="F8" i="49"/>
  <c r="H8" i="49" s="1"/>
  <c r="F15" i="49"/>
  <c r="H15" i="49" s="1"/>
  <c r="C18" i="12"/>
  <c r="C47" i="68"/>
  <c r="D45" i="68" s="1"/>
  <c r="B6" i="49"/>
  <c r="D6" i="49" s="1"/>
  <c r="F6" i="49"/>
  <c r="H6" i="49" s="1"/>
  <c r="C15" i="12"/>
  <c r="F45" i="68"/>
  <c r="R16" i="1"/>
  <c r="D19" i="68"/>
  <c r="C19" i="68" s="1"/>
  <c r="C20" i="68" s="1"/>
  <c r="C28" i="68" s="1"/>
  <c r="C27" i="68" s="1"/>
  <c r="C29" i="69"/>
  <c r="D27" i="69" s="1"/>
  <c r="B14" i="49"/>
  <c r="D14" i="49" s="1"/>
  <c r="B9" i="49"/>
  <c r="D9" i="49" s="1"/>
  <c r="F12" i="49"/>
  <c r="H12" i="49" s="1"/>
  <c r="F4" i="49"/>
  <c r="H4" i="49" s="1"/>
  <c r="B11" i="49"/>
  <c r="D11" i="49" s="1"/>
  <c r="F13" i="49"/>
  <c r="H13" i="49" s="1"/>
  <c r="F7" i="49"/>
  <c r="H7" i="49" s="1"/>
  <c r="B10" i="49"/>
  <c r="D10" i="49" s="1"/>
  <c r="B5" i="49"/>
  <c r="D5" i="49" s="1"/>
  <c r="F10" i="49"/>
  <c r="H10" i="49" s="1"/>
  <c r="B12" i="49"/>
  <c r="D12" i="49" s="1"/>
  <c r="C35" i="68"/>
  <c r="C47" i="69"/>
  <c r="D45" i="69" s="1"/>
  <c r="B40" i="1"/>
  <c r="M3" i="35"/>
  <c r="F51" i="67"/>
  <c r="B13" i="70"/>
  <c r="D102" i="9"/>
  <c r="D21" i="9"/>
  <c r="J20" i="67"/>
  <c r="F50" i="15"/>
  <c r="M7" i="15"/>
  <c r="M17" i="15" s="1"/>
  <c r="F64" i="67"/>
  <c r="F63" i="67"/>
  <c r="E2" i="76"/>
  <c r="C27" i="67"/>
  <c r="B20" i="31"/>
  <c r="B21" i="31" s="1"/>
  <c r="F64" i="15"/>
  <c r="B11" i="70"/>
  <c r="L56" i="67"/>
  <c r="J60" i="67"/>
  <c r="Q48" i="67" s="1"/>
  <c r="L57" i="67"/>
  <c r="J57" i="67"/>
  <c r="J55" i="67" s="1"/>
  <c r="J58" i="67" s="1"/>
  <c r="Q50" i="67" s="1"/>
  <c r="J53" i="67"/>
  <c r="J59" i="67"/>
  <c r="L60" i="67"/>
  <c r="C6" i="67"/>
  <c r="F31" i="67"/>
  <c r="F71" i="15"/>
  <c r="Q71" i="67"/>
  <c r="F63" i="15"/>
  <c r="M59" i="15"/>
  <c r="L58" i="15"/>
  <c r="L59" i="15"/>
  <c r="N59" i="15"/>
  <c r="B9" i="70"/>
  <c r="F31" i="15"/>
  <c r="C6" i="15"/>
  <c r="F68" i="67"/>
  <c r="F68" i="15"/>
  <c r="C27" i="15"/>
  <c r="I1" i="73"/>
  <c r="B39" i="1" s="1"/>
  <c r="B2" i="76"/>
  <c r="C18" i="15"/>
  <c r="C15" i="15"/>
  <c r="Q71" i="15"/>
  <c r="J53" i="15"/>
  <c r="L56" i="15" s="1"/>
  <c r="J57" i="15"/>
  <c r="J55" i="15" s="1"/>
  <c r="J58" i="15" s="1"/>
  <c r="Q50" i="15" s="1"/>
  <c r="I54" i="15"/>
  <c r="F51" i="15"/>
  <c r="F65" i="15"/>
  <c r="J20" i="15"/>
  <c r="D103" i="9"/>
  <c r="F65" i="67"/>
  <c r="F71" i="67"/>
  <c r="B12" i="70"/>
  <c r="B10" i="70"/>
  <c r="F69" i="15"/>
  <c r="F66" i="15"/>
  <c r="L59" i="67"/>
  <c r="N59" i="67"/>
  <c r="L58" i="67"/>
  <c r="M59" i="67"/>
  <c r="B7" i="70"/>
  <c r="B8" i="70"/>
  <c r="F66" i="67"/>
  <c r="M7" i="67"/>
  <c r="J6" i="67" s="1"/>
  <c r="F50" i="67"/>
  <c r="D17" i="12"/>
  <c r="C17" i="12" s="1"/>
  <c r="C14" i="12"/>
  <c r="C16" i="12" s="1"/>
  <c r="C10" i="69"/>
  <c r="C8" i="69" s="1"/>
  <c r="C5" i="69" s="1"/>
  <c r="D19" i="69"/>
  <c r="C38" i="69"/>
  <c r="C17" i="67"/>
  <c r="C16" i="67"/>
  <c r="C16" i="15"/>
  <c r="C17" i="15"/>
  <c r="C14" i="67"/>
  <c r="F59" i="67" l="1"/>
  <c r="J6" i="15"/>
  <c r="D37" i="68"/>
  <c r="C37" i="68" s="1"/>
  <c r="C33" i="68" s="1"/>
  <c r="C39" i="68" s="1"/>
  <c r="C46" i="68" s="1"/>
  <c r="C45" i="68" s="1"/>
  <c r="C21" i="12"/>
  <c r="C22" i="12" s="1"/>
  <c r="C30" i="12" s="1"/>
  <c r="C28" i="12" s="1"/>
  <c r="C49" i="15"/>
  <c r="B3" i="76"/>
  <c r="C18" i="67"/>
  <c r="C15" i="67"/>
  <c r="C19" i="15"/>
  <c r="J19" i="67"/>
  <c r="J18" i="67"/>
  <c r="C31" i="15"/>
  <c r="Q61" i="15"/>
  <c r="Q74" i="15"/>
  <c r="C31" i="67"/>
  <c r="F59" i="15"/>
  <c r="Q74" i="67"/>
  <c r="Q61" i="67"/>
  <c r="Q60" i="15"/>
  <c r="Q73" i="15"/>
  <c r="Q66" i="67"/>
  <c r="Q57" i="67"/>
  <c r="C49" i="67"/>
  <c r="C19" i="69"/>
  <c r="D37" i="69"/>
  <c r="C37" i="69" s="1"/>
  <c r="C33" i="69" s="1"/>
  <c r="M17" i="67"/>
  <c r="J17" i="67" s="1"/>
  <c r="M11" i="15"/>
  <c r="J10" i="15" s="1"/>
  <c r="J5" i="15" s="1"/>
  <c r="F11" i="67"/>
  <c r="C53" i="67" s="1"/>
  <c r="M11" i="67"/>
  <c r="J10" i="67" s="1"/>
  <c r="J5" i="67" s="1"/>
  <c r="F11" i="15"/>
  <c r="J18" i="15"/>
  <c r="J19" i="15"/>
  <c r="J17" i="15"/>
  <c r="Q73" i="67"/>
  <c r="Q60" i="67"/>
  <c r="F1" i="15"/>
  <c r="Q52" i="15"/>
  <c r="F1" i="67"/>
  <c r="Q52" i="67"/>
  <c r="F24" i="67"/>
  <c r="C24" i="67" s="1"/>
  <c r="F24" i="15"/>
  <c r="C24" i="15" s="1"/>
  <c r="F25" i="12"/>
  <c r="C26" i="12" s="1"/>
  <c r="D25" i="12" s="1"/>
  <c r="F22" i="69"/>
  <c r="F22" i="11"/>
  <c r="L36" i="43"/>
  <c r="F22" i="68"/>
  <c r="AE6" i="1"/>
  <c r="F41" i="67" s="1"/>
  <c r="C19" i="67" l="1"/>
  <c r="C59" i="15"/>
  <c r="C20" i="69"/>
  <c r="C28" i="69" s="1"/>
  <c r="C27" i="69" s="1"/>
  <c r="F69" i="67"/>
  <c r="J26" i="15"/>
  <c r="J29" i="15" s="1"/>
  <c r="J24" i="15"/>
  <c r="J26" i="67"/>
  <c r="J29" i="67" s="1"/>
  <c r="J24" i="67"/>
  <c r="C44" i="69"/>
  <c r="D41" i="69" s="1"/>
  <c r="F41" i="69"/>
  <c r="C26" i="69"/>
  <c r="D22" i="69" s="1"/>
  <c r="C24" i="69"/>
  <c r="C27" i="12"/>
  <c r="C25" i="12" s="1"/>
  <c r="C32" i="12" s="1"/>
  <c r="B2" i="12" s="1"/>
  <c r="B3" i="12" s="1"/>
  <c r="C20" i="15"/>
  <c r="C23" i="15" s="1"/>
  <c r="C23" i="68"/>
  <c r="C26" i="68"/>
  <c r="D22" i="68" s="1"/>
  <c r="F41" i="68"/>
  <c r="C44" i="68"/>
  <c r="D41" i="68" s="1"/>
  <c r="C43" i="68"/>
  <c r="C24" i="68"/>
  <c r="C42" i="68"/>
  <c r="C25" i="68"/>
  <c r="C48" i="67"/>
  <c r="C59" i="67"/>
  <c r="C20" i="67"/>
  <c r="C26" i="67" s="1"/>
  <c r="C10" i="15"/>
  <c r="C5" i="15" s="1"/>
  <c r="C53" i="15"/>
  <c r="C48" i="15" s="1"/>
  <c r="C10" i="67"/>
  <c r="C5" i="67" s="1"/>
  <c r="O36" i="43"/>
  <c r="Q36" i="43"/>
  <c r="P36" i="43"/>
  <c r="M36" i="43"/>
  <c r="N36" i="43"/>
  <c r="L37" i="43"/>
  <c r="C25" i="69"/>
  <c r="C24" i="11"/>
  <c r="C26" i="11"/>
  <c r="D22" i="11" s="1"/>
  <c r="C25" i="11"/>
  <c r="C44" i="11"/>
  <c r="D41" i="11" s="1"/>
  <c r="C43" i="11"/>
  <c r="C23" i="11"/>
  <c r="C42" i="11"/>
  <c r="C23" i="69"/>
  <c r="C39" i="69"/>
  <c r="C43" i="69" s="1"/>
  <c r="C42" i="69"/>
  <c r="C41" i="68" l="1"/>
  <c r="C22" i="69"/>
  <c r="C41" i="69"/>
  <c r="C41" i="11"/>
  <c r="C49" i="11" s="1"/>
  <c r="C51" i="11" s="1"/>
  <c r="C49" i="68"/>
  <c r="C51" i="68" s="1"/>
  <c r="C26" i="15"/>
  <c r="C29" i="15" s="1"/>
  <c r="C31" i="69"/>
  <c r="C23" i="67"/>
  <c r="C29" i="67" s="1"/>
  <c r="C38" i="15"/>
  <c r="C66" i="67"/>
  <c r="C66" i="15"/>
  <c r="C46" i="69"/>
  <c r="C45" i="69" s="1"/>
  <c r="C49" i="69" s="1"/>
  <c r="C51" i="69" s="1"/>
  <c r="C22" i="68"/>
  <c r="C31" i="68" s="1"/>
  <c r="C52" i="68" s="1"/>
  <c r="B2" i="68" s="1"/>
  <c r="B3" i="68" s="1"/>
  <c r="M37" i="43"/>
  <c r="O37" i="43"/>
  <c r="Q37" i="43"/>
  <c r="N37" i="43"/>
  <c r="P37" i="43"/>
  <c r="C22" i="11"/>
  <c r="C31" i="11" s="1"/>
  <c r="C38" i="67"/>
  <c r="C52" i="11" l="1"/>
  <c r="B2" i="11" s="1"/>
  <c r="B3" i="11" s="1"/>
  <c r="C52" i="69"/>
  <c r="B2" i="69" s="1"/>
  <c r="B3" i="69" s="1"/>
  <c r="C57" i="67"/>
  <c r="C64" i="67" s="1"/>
  <c r="C13" i="67"/>
  <c r="C56" i="67" s="1"/>
  <c r="C65" i="67" s="1"/>
  <c r="C36" i="67"/>
  <c r="Q49" i="67"/>
  <c r="J14" i="67"/>
  <c r="J22" i="67" s="1"/>
  <c r="C13" i="15"/>
  <c r="C37" i="15" s="1"/>
  <c r="J59" i="15"/>
  <c r="J60" i="15" s="1"/>
  <c r="L46" i="15" s="1"/>
  <c r="C57" i="15"/>
  <c r="C64" i="15" s="1"/>
  <c r="J14" i="15"/>
  <c r="J22" i="15" s="1"/>
  <c r="C36" i="15"/>
  <c r="Q49" i="15"/>
  <c r="C57" i="68"/>
  <c r="C56" i="68" s="1"/>
  <c r="C56" i="11"/>
  <c r="C57" i="11" s="1"/>
  <c r="C57" i="69"/>
  <c r="C56" i="69" s="1"/>
  <c r="C58" i="67" l="1"/>
  <c r="C67" i="67" s="1"/>
  <c r="C68" i="67" s="1"/>
  <c r="Q70" i="15"/>
  <c r="J13" i="67"/>
  <c r="J23" i="67" s="1"/>
  <c r="J16" i="67" s="1"/>
  <c r="J25" i="67" s="1"/>
  <c r="J13" i="15"/>
  <c r="J23" i="15" s="1"/>
  <c r="J16" i="15" s="1"/>
  <c r="J25" i="15" s="1"/>
  <c r="C75" i="67"/>
  <c r="C30" i="15"/>
  <c r="C39" i="15" s="1"/>
  <c r="C40" i="15" s="1"/>
  <c r="C56" i="15"/>
  <c r="C65" i="15" s="1"/>
  <c r="C58" i="15" s="1"/>
  <c r="C67" i="15" s="1"/>
  <c r="C68" i="15" s="1"/>
  <c r="C71" i="15" s="1"/>
  <c r="Q70" i="67"/>
  <c r="C75" i="15"/>
  <c r="C37" i="67"/>
  <c r="C30" i="67" s="1"/>
  <c r="C39" i="67" s="1"/>
  <c r="C40" i="67" s="1"/>
  <c r="Q48" i="15"/>
  <c r="C71" i="67"/>
  <c r="L51" i="67"/>
  <c r="L51" i="15"/>
  <c r="C80" i="15" l="1"/>
  <c r="C79" i="15" s="1"/>
  <c r="C46" i="15"/>
  <c r="Q69" i="15"/>
  <c r="Q68" i="15" s="1"/>
  <c r="Q69" i="67"/>
  <c r="Q68" i="67" s="1"/>
  <c r="C80" i="67"/>
  <c r="C79" i="67" s="1"/>
  <c r="Q67" i="15"/>
  <c r="L57" i="15"/>
  <c r="L60" i="15" s="1"/>
  <c r="Q67" i="67"/>
  <c r="Q56" i="67"/>
  <c r="Q62" i="67" s="1"/>
  <c r="D2" i="67"/>
  <c r="Q65" i="67"/>
  <c r="Q75" i="67" s="1"/>
  <c r="Q47" i="67"/>
  <c r="Q53" i="67" s="1"/>
  <c r="C43" i="67"/>
  <c r="C83" i="67"/>
  <c r="C82" i="67" s="1"/>
  <c r="C45" i="67"/>
  <c r="C46" i="67" s="1"/>
  <c r="Q47" i="15"/>
  <c r="Q53" i="15" s="1"/>
  <c r="B2" i="15"/>
  <c r="B3" i="15" s="1"/>
  <c r="Q56" i="15"/>
  <c r="Q65" i="15"/>
  <c r="C43" i="15"/>
  <c r="C83" i="15"/>
  <c r="C82" i="15" s="1"/>
  <c r="Q57" i="15" l="1"/>
  <c r="Q66" i="15"/>
  <c r="Q75" i="15" s="1"/>
  <c r="Q62" i="15"/>
  <c r="B2" i="67"/>
  <c r="B3" i="67"/>
  <c r="C19" i="9"/>
  <c r="AO6" i="1"/>
  <c r="C20" i="9"/>
  <c r="G20" i="9" l="1"/>
  <c r="C103" i="9"/>
  <c r="B6" i="70"/>
  <c r="B2" i="70" s="1"/>
  <c r="B3" i="70" s="1"/>
  <c r="C21" i="9"/>
  <c r="D22" i="9"/>
  <c r="C102" i="9"/>
  <c r="G19" i="9"/>
  <c r="G21" i="9" l="1"/>
  <c r="D14" i="74"/>
  <c r="G24" i="9"/>
  <c r="C32" i="9"/>
  <c r="G22" i="9"/>
  <c r="C35" i="9" l="1"/>
  <c r="C34" i="9" s="1"/>
  <c r="E14" i="74"/>
  <c r="B5" i="74"/>
  <c r="F14" i="74"/>
  <c r="D5" i="74" l="1"/>
  <c r="B20" i="72" l="1"/>
  <c r="I4" i="52"/>
  <c r="C105" i="9"/>
  <c r="P57" i="9"/>
  <c r="N58" i="9"/>
  <c r="C81" i="9"/>
  <c r="M48" i="9"/>
  <c r="D8" i="52"/>
  <c r="H5" i="52"/>
  <c r="C86" i="9"/>
  <c r="D5" i="53"/>
  <c r="D6" i="53"/>
  <c r="B22" i="72"/>
  <c r="B30" i="72"/>
  <c r="D53" i="9"/>
  <c r="D52" i="9"/>
  <c r="C93" i="9"/>
  <c r="C78" i="9"/>
  <c r="C73" i="9"/>
  <c r="C104" i="9"/>
  <c r="H4" i="52"/>
  <c r="H119" i="9"/>
  <c r="D54" i="9"/>
  <c r="N61" i="9"/>
  <c r="N59" i="9"/>
  <c r="N60" i="9"/>
  <c r="C5" i="74"/>
  <c r="E81" i="9"/>
  <c r="E96" i="9"/>
  <c r="E97" i="9"/>
  <c r="C6" i="74"/>
  <c r="F4" i="52"/>
  <c r="B51" i="72"/>
  <c r="D56" i="9"/>
  <c r="M54" i="9"/>
  <c r="E4" i="52"/>
  <c r="B48" i="72"/>
  <c r="D13" i="53"/>
  <c r="D14" i="53"/>
  <c r="B32" i="72"/>
  <c r="C68" i="9"/>
  <c r="F119" i="9"/>
  <c r="F5" i="52"/>
  <c r="B53" i="72"/>
  <c r="F118" i="9"/>
  <c r="G118" i="9"/>
  <c r="G4" i="52"/>
  <c r="B52" i="72"/>
  <c r="D55" i="9"/>
  <c r="M53" i="9"/>
  <c r="N57" i="9"/>
  <c r="H102" i="9"/>
  <c r="D7" i="53"/>
  <c r="B21" i="72"/>
  <c r="C72" i="9"/>
  <c r="C79" i="9"/>
  <c r="C80" i="9"/>
  <c r="E80" i="9"/>
  <c r="H108" i="9"/>
  <c r="D15" i="53"/>
  <c r="B31" i="72"/>
  <c r="B49" i="72"/>
  <c r="D119" i="9"/>
  <c r="D5" i="52"/>
  <c r="C96" i="9"/>
  <c r="D59" i="9"/>
  <c r="M55" i="9"/>
  <c r="C64" i="9"/>
  <c r="C63" i="9"/>
  <c r="C67" i="9"/>
  <c r="H107" i="9"/>
  <c r="D122" i="9"/>
  <c r="D123" i="9"/>
  <c r="D9" i="52"/>
  <c r="E118" i="9"/>
  <c r="D118" i="9"/>
  <c r="D4" i="52"/>
  <c r="B47" i="7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<sst xmlns="http://schemas.openxmlformats.org/spreadsheetml/2006/main" count="8486" uniqueCount="3684">
  <si>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</si>
  <si>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</si>
  <si>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</si>
  <si>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</si>
  <si>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</si>
  <si>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</si>
  <si>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</si>
  <si>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</si>
  <si>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</si>
  <si>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</si>
  <si>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</si>
  <si>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</si>
  <si>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</si>
  <si>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</si>
  <si>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</si>
  <si>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</si>
  <si>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</si>
  <si>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</si>
  <si>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</si>
  <si>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</si>
  <si>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</si>
  <si>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</si>
  <si>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</si>
  <si>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</si>
  <si>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</si>
  <si>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</si>
  <si>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</si>
  <si>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</si>
  <si>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</si>
  <si>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</si>
  <si>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</si>
  <si>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</si>
  <si>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</si>
  <si>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</si>
  <si>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</si>
  <si>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</si>
  <si>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</si>
  <si>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</si>
  <si>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</si>
  <si>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</si>
  <si>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</si>
  <si>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</si>
  <si>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</si>
  <si>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</si>
  <si>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</si>
  <si>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</si>
  <si>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</si>
  <si>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</si>
  <si>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</si>
  <si>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</si>
  <si>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</si>
  <si>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</si>
  <si>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</si>
  <si>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</si>
  <si>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</si>
  <si>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</si>
  <si>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</si>
  <si>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</si>
  <si>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</si>
  <si>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</si>
  <si>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</si>
  <si>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</si>
  <si>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</si>
  <si>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</si>
  <si>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</si>
  <si>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</si>
  <si>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</si>
  <si>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</si>
  <si>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</si>
  <si>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</si>
  <si>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</si>
  <si>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</si>
  <si>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</si>
  <si>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</si>
  <si>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</si>
  <si>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</si>
  <si>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</si>
  <si>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</si>
  <si>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</si>
  <si>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</si>
  <si>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</si>
  <si>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</si>
  <si>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</si>
  <si>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</si>
  <si>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</si>
  <si>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</si>
  <si>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</si>
  <si>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</si>
  <si>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</si>
  <si>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</si>
  <si>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</si>
  <si>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</si>
  <si>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</si>
  <si>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</si>
  <si>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</si>
  <si>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</si>
  <si>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</si>
  <si>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</si>
  <si>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</si>
  <si>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</si>
  <si>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</si>
  <si>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</si>
  <si>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</si>
  <si>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</si>
  <si>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</si>
  <si>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</si>
  <si>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</si>
  <si>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</si>
  <si>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</si>
  <si>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</si>
  <si>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</si>
  <si>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</si>
  <si>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</si>
  <si>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</si>
  <si>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</si>
  <si>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</si>
  <si>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</si>
  <si>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</si>
  <si>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</si>
  <si>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</si>
  <si>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</si>
  <si>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</si>
  <si>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</si>
  <si>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</si>
  <si>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</si>
  <si>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</si>
  <si>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</si>
  <si>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</si>
  <si>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</si>
  <si>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</si>
  <si>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</si>
  <si>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</si>
  <si>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</si>
  <si>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</si>
  <si>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</si>
  <si>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</si>
  <si>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</si>
  <si>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</si>
  <si>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</si>
  <si>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</si>
  <si>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</si>
  <si>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</si>
  <si>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</si>
  <si>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</si>
  <si>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</si>
  <si>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</si>
  <si>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</si>
  <si>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</si>
  <si>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</si>
  <si>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</si>
  <si>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</si>
  <si>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</si>
  <si>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</si>
  <si>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</si>
  <si>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</si>
  <si>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</si>
  <si>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</si>
  <si>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</si>
  <si>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</si>
  <si>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</si>
  <si>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</si>
  <si>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</si>
  <si>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</si>
  <si>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</si>
  <si>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</si>
  <si>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</si>
  <si>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</si>
  <si>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</si>
  <si>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</si>
  <si>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</si>
  <si>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</si>
  <si>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</si>
  <si>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</si>
  <si>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</si>
  <si>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</si>
  <si>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</si>
  <si>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</si>
  <si>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</si>
  <si>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</si>
  <si>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</si>
  <si>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</si>
  <si>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</si>
  <si>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</si>
  <si>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</si>
  <si>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</si>
  <si>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</si>
  <si>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</si>
  <si>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</si>
  <si>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</si>
  <si>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</si>
  <si>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</si>
  <si>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</si>
  <si>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</si>
  <si>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</si>
  <si>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</si>
  <si>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</si>
  <si>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</si>
  <si>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</si>
  <si>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</si>
  <si>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</si>
  <si>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</si>
  <si>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</si>
  <si>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</si>
  <si>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</si>
  <si>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</si>
  <si>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</si>
  <si>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</si>
  <si>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</si>
  <si>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</si>
  <si>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</si>
  <si>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</si>
  <si>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</si>
  <si>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</si>
  <si>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</si>
  <si>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</si>
  <si>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</si>
  <si>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</si>
  <si>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</si>
  <si>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</si>
  <si>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</si>
  <si>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</si>
  <si>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</si>
  <si>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</si>
  <si>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</si>
  <si>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</si>
  <si>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</si>
  <si>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</si>
  <si>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</si>
  <si>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</si>
  <si>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</si>
  <si>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</si>
  <si>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</si>
  <si>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</si>
  <si>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</si>
  <si>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</si>
  <si>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</si>
  <si>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</si>
  <si>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</si>
  <si>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</si>
  <si>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</si>
  <si>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</si>
  <si>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</si>
  <si>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</si>
  <si>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</si>
  <si>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</si>
  <si>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</si>
  <si>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</si>
  <si>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</si>
  <si>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</si>
  <si>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</si>
  <si>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</si>
  <si>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</si>
  <si>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</si>
  <si>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</si>
  <si>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</si>
  <si>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</si>
  <si>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</si>
  <si>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</si>
  <si>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</si>
  <si>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</si>
  <si>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</si>
  <si>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</si>
  <si>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</si>
  <si>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</si>
  <si>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</si>
  <si>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</si>
  <si>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</si>
  <si>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</si>
  <si>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</si>
  <si>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</si>
  <si>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</si>
  <si>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</si>
  <si>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</si>
  <si>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</si>
  <si>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</si>
  <si>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</si>
  <si>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</si>
  <si>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</si>
  <si>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</si>
  <si>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</si>
  <si>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</si>
  <si>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</si>
  <si>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</si>
  <si>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</si>
  <si>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</si>
  <si>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</si>
  <si>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</si>
  <si>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</si>
  <si>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</si>
  <si>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</si>
  <si>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</si>
  <si>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</si>
  <si>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</si>
  <si>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</si>
  <si>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</si>
  <si>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</si>
  <si>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</si>
  <si>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</si>
  <si>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</si>
  <si>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</si>
  <si>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</si>
  <si>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</si>
  <si>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</si>
  <si>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</si>
  <si>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</si>
  <si>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</si>
  <si>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</si>
  <si>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</si>
  <si>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</si>
  <si>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</si>
  <si>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</si>
  <si>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</si>
  <si>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</si>
  <si>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</si>
  <si>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</si>
  <si>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</si>
  <si>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</si>
  <si>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</si>
  <si>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</si>
  <si>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</si>
  <si>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</si>
  <si>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</si>
  <si>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</si>
  <si>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</si>
  <si>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</si>
  <si>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</si>
  <si>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</si>
  <si>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</si>
  <si>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</si>
  <si>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</si>
  <si>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</si>
  <si>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</si>
  <si>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</si>
  <si>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</si>
  <si>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</si>
  <si>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</si>
  <si>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</si>
  <si>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</si>
  <si>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</si>
  <si>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</si>
  <si>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</si>
  <si>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</si>
  <si>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</si>
  <si>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</si>
  <si>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</si>
  <si>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</si>
  <si>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</si>
  <si>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</si>
  <si>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</si>
  <si>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</si>
  <si>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</si>
  <si>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</si>
  <si>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</si>
  <si>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</si>
  <si>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</si>
  <si>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</si>
  <si>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</si>
  <si>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</si>
  <si>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</si>
  <si>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</si>
  <si>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</si>
  <si>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</si>
  <si>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</si>
  <si>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</si>
  <si>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</si>
  <si>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</si>
  <si>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</si>
  <si>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</si>
  <si>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</si>
  <si>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</si>
  <si>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</si>
  <si>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</si>
  <si>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</si>
  <si>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</si>
  <si>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</si>
  <si>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</si>
  <si>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</si>
  <si>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</si>
  <si>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</si>
  <si>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</si>
  <si>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</si>
  <si>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</si>
  <si>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</si>
  <si>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</si>
  <si>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</si>
  <si>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</si>
  <si>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</si>
  <si>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</si>
  <si>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</si>
  <si>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</si>
  <si>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</si>
  <si>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</si>
  <si>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</si>
  <si>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</si>
  <si>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</si>
  <si>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</si>
  <si>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</si>
  <si>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</si>
  <si>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</si>
  <si>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</si>
  <si>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</si>
  <si>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</si>
  <si>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</si>
  <si>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</si>
  <si>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</si>
  <si>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</si>
  <si>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</si>
  <si>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</si>
  <si>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</si>
  <si>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</si>
  <si>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</si>
  <si>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</si>
  <si>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</si>
  <si>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</si>
  <si>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</si>
  <si>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</si>
  <si>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</si>
  <si>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</si>
  <si>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</si>
  <si>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</si>
  <si>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</si>
  <si>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</si>
  <si>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</si>
  <si>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</si>
  <si>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</si>
  <si>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</si>
  <si>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</si>
  <si>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</si>
  <si>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</si>
  <si>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</si>
  <si>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</si>
  <si>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</si>
  <si>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</si>
  <si>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</si>
  <si>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</si>
  <si>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</si>
  <si>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</si>
  <si>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</si>
  <si>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</si>
  <si>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</si>
  <si>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</si>
  <si>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</si>
  <si>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</si>
  <si>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</si>
  <si>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</si>
  <si>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</si>
  <si>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</si>
  <si>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</si>
  <si>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</si>
  <si>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</si>
  <si>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</si>
  <si>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</si>
  <si>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</si>
  <si>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</si>
  <si>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</si>
  <si>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</si>
  <si>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</si>
  <si>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</si>
  <si>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</si>
  <si>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</si>
  <si>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</si>
  <si>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</si>
  <si>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</si>
  <si>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</si>
  <si>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</si>
  <si>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</si>
  <si>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</si>
  <si>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</si>
  <si>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</si>
  <si>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</si>
  <si>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</si>
  <si>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</si>
  <si>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</si>
  <si>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</si>
  <si>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</si>
  <si>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</si>
  <si>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</si>
  <si>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</si>
  <si>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</si>
  <si>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</si>
  <si>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</si>
  <si>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</si>
  <si>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</si>
  <si>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</si>
  <si>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</si>
  <si>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</si>
  <si>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</si>
  <si>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</si>
  <si>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</si>
  <si>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</si>
  <si>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</si>
  <si>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</si>
  <si>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</si>
  <si>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</si>
  <si>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</si>
  <si>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</si>
  <si>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</si>
  <si>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</si>
  <si>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</si>
  <si>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</si>
  <si>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</si>
  <si>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</si>
  <si>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</si>
  <si>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</si>
  <si>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</si>
  <si>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</si>
  <si>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</si>
  <si>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</si>
  <si>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</si>
  <si>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</si>
  <si>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</si>
  <si>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</si>
  <si>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</si>
  <si>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</si>
  <si>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</si>
  <si>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</si>
  <si>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</si>
  <si>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</si>
  <si>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</si>
  <si>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</si>
  <si>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</si>
  <si>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</si>
  <si>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</si>
  <si>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</si>
  <si>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</si>
  <si>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</si>
  <si>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</si>
  <si>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</si>
  <si>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</si>
  <si>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</si>
  <si>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</si>
  <si>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</si>
  <si>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</si>
  <si>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</si>
  <si>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</si>
  <si>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</si>
  <si>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</si>
  <si>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</si>
  <si>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</si>
  <si>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</si>
  <si>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</si>
  <si>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</si>
  <si>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</si>
  <si>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</si>
  <si>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</si>
  <si>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</si>
  <si>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</si>
  <si>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</si>
  <si>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</si>
  <si>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</si>
  <si>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</si>
  <si>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</si>
  <si>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</si>
  <si>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</si>
  <si>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</si>
  <si>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</si>
  <si>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</si>
  <si>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</si>
  <si>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</si>
  <si>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</si>
  <si>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</si>
  <si>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</si>
  <si>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</si>
  <si>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</si>
  <si>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</si>
  <si>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</si>
  <si>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</si>
  <si>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</si>
  <si>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</si>
  <si>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</si>
  <si>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</si>
  <si>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</si>
  <si>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</si>
  <si>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</si>
  <si>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</si>
  <si>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</si>
  <si>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</si>
  <si>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</si>
  <si>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</si>
  <si>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</si>
  <si>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</si>
  <si>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</si>
  <si>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</si>
  <si>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</si>
  <si>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</si>
  <si>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</si>
  <si>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</si>
  <si>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</si>
  <si>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</si>
  <si>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</si>
  <si>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</si>
  <si>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</si>
  <si>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</si>
  <si>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</si>
  <si>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</si>
  <si>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</si>
  <si>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</si>
  <si>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</si>
  <si>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</si>
  <si>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</si>
  <si>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</si>
  <si>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</si>
  <si>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</si>
  <si>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</si>
  <si>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</si>
  <si>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</si>
  <si>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</si>
  <si>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</si>
  <si>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</si>
  <si>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</si>
  <si>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</si>
  <si>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</si>
  <si>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</si>
  <si>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</si>
  <si>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</si>
  <si>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</si>
  <si>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</si>
  <si>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</si>
  <si>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</si>
  <si>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</si>
  <si>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</si>
  <si>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</si>
  <si>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</si>
  <si>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</si>
  <si>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</si>
  <si>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</si>
  <si>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</si>
  <si>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</si>
  <si>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</si>
  <si>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</si>
  <si>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</si>
  <si>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</si>
  <si>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</si>
  <si>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</si>
  <si>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</si>
  <si>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</si>
  <si>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</si>
  <si>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</si>
  <si>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</si>
  <si>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</si>
  <si>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</si>
  <si>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</si>
  <si>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</si>
  <si>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</si>
  <si>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</si>
  <si>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</si>
  <si>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</si>
  <si>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</si>
  <si>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</si>
  <si>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</si>
  <si>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</si>
  <si>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</si>
  <si>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</si>
  <si>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</si>
  <si>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</si>
  <si>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</si>
  <si>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</si>
  <si>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</si>
  <si>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</si>
  <si>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</si>
  <si>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</si>
  <si>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</si>
  <si>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</si>
  <si>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</si>
  <si>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</si>
  <si>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</si>
  <si>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</si>
  <si>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</si>
  <si>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</si>
  <si>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</si>
  <si>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</si>
  <si>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</si>
  <si>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</si>
  <si>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</si>
  <si>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</si>
  <si>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</si>
  <si>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</si>
  <si>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</si>
  <si>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</si>
  <si>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</si>
  <si>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</si>
  <si>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</si>
  <si>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</si>
  <si>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</si>
  <si>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</si>
  <si>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</si>
  <si>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</si>
  <si>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</si>
  <si>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</si>
  <si>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</si>
  <si>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</si>
  <si>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</si>
  <si>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</si>
  <si>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</si>
  <si>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</si>
  <si>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</si>
  <si>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</si>
  <si>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</si>
  <si>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</si>
  <si>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</si>
  <si>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</si>
  <si>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</si>
  <si>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</si>
  <si>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</si>
  <si>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</si>
  <si>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</si>
  <si>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</si>
  <si>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</si>
  <si>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</si>
  <si>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</si>
  <si>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</si>
  <si>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</si>
  <si>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</si>
  <si>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</si>
  <si>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</si>
  <si>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</si>
  <si>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</si>
  <si>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</si>
  <si>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</si>
  <si>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</si>
  <si>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</si>
  <si>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</si>
  <si>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</si>
  <si>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</si>
  <si>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</si>
  <si>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</si>
  <si>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</si>
  <si>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</si>
  <si>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</si>
  <si>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</si>
  <si>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</si>
  <si>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</si>
  <si>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</si>
  <si>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</si>
  <si>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</si>
  <si>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</si>
  <si>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</si>
  <si>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</si>
  <si>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</si>
  <si>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</si>
  <si>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</si>
  <si>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</si>
  <si>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</si>
  <si>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</si>
  <si>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</si>
  <si>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</si>
  <si>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</si>
  <si>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</si>
  <si>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</si>
  <si>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</si>
  <si>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</si>
  <si>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</si>
  <si>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</si>
  <si>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</si>
  <si>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</si>
  <si>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</si>
  <si>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</si>
  <si>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</si>
  <si>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</si>
  <si>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</si>
  <si>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</si>
  <si>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</si>
  <si>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</si>
  <si>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</si>
  <si>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</si>
  <si>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</si>
  <si>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</si>
  <si>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</si>
  <si>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</si>
  <si>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</si>
  <si>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</si>
  <si>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</si>
  <si>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</si>
  <si>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</si>
  <si>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</si>
  <si>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</si>
  <si>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</si>
  <si>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</si>
  <si>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</si>
  <si>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</si>
  <si>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</si>
  <si>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</si>
  <si>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</si>
  <si>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</si>
  <si>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</si>
  <si>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</si>
  <si>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</si>
  <si>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</si>
  <si>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</si>
  <si>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</si>
  <si>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</si>
  <si>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</si>
  <si>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</si>
  <si>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</si>
  <si>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</si>
  <si>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</si>
  <si>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</si>
  <si>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</si>
  <si>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</si>
  <si>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</si>
  <si>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</si>
  <si>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</si>
  <si>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</si>
  <si>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</si>
  <si>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</si>
  <si>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</si>
  <si>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</si>
  <si>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</si>
  <si>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</si>
  <si>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</si>
  <si>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</si>
  <si>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</si>
  <si>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</si>
  <si>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</si>
  <si>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</si>
  <si>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</si>
  <si>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</si>
  <si>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</si>
  <si>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</si>
  <si>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</si>
  <si>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</si>
  <si>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</si>
  <si>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</si>
  <si>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</si>
  <si>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</si>
  <si>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</si>
  <si>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</si>
  <si>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</si>
  <si>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</si>
  <si>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</si>
  <si>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</si>
  <si>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</si>
  <si>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</si>
  <si>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</si>
  <si>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</si>
  <si>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</si>
  <si>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</si>
  <si>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</si>
  <si>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</si>
  <si>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</si>
  <si>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</si>
  <si>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</si>
  <si>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</si>
  <si>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</si>
  <si>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</si>
  <si>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</si>
  <si>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</si>
  <si>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</si>
  <si>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</si>
  <si>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</si>
  <si>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</si>
  <si>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</si>
  <si>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</si>
  <si>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</si>
  <si>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</si>
  <si>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</si>
  <si>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</si>
  <si>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</si>
  <si>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</si>
  <si>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</si>
  <si>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</si>
  <si>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</si>
  <si>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</si>
  <si>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</si>
  <si>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</si>
  <si>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</si>
  <si>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</si>
  <si>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</si>
  <si>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</si>
  <si>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</si>
  <si>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</si>
  <si>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</si>
  <si>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</si>
  <si>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</si>
  <si>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</si>
  <si>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</si>
  <si>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</si>
  <si>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</si>
  <si>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</si>
  <si>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</si>
  <si>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</si>
  <si>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</si>
  <si>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</si>
  <si>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</si>
  <si>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</si>
  <si>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</si>
  <si>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</si>
  <si>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</si>
  <si>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</si>
  <si>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</si>
  <si>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</si>
  <si>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</si>
  <si>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</si>
  <si>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</si>
  <si>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</si>
  <si>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</si>
  <si>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</si>
  <si>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</si>
  <si>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</si>
  <si>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</si>
  <si>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</si>
  <si>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</si>
  <si>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</si>
  <si>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</si>
  <si>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</si>
  <si>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</si>
  <si>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</si>
  <si>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</si>
  <si>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</si>
  <si>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</si>
  <si>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</si>
  <si>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</si>
  <si>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</si>
  <si>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</si>
  <si>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</si>
  <si>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</si>
  <si>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</si>
  <si>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</si>
  <si>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</si>
  <si>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</si>
  <si>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</si>
  <si>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</si>
  <si>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</si>
  <si>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</si>
  <si>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</si>
  <si>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</si>
  <si>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</si>
  <si>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</si>
  <si>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</si>
  <si>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</si>
  <si>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</si>
  <si>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</si>
  <si>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</si>
  <si>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</si>
  <si>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</si>
  <si>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</si>
  <si>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</si>
  <si>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</si>
  <si>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</si>
  <si>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</si>
  <si>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</si>
  <si>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</si>
  <si>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</si>
  <si>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</si>
  <si>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</si>
  <si>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</si>
  <si>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</si>
  <si>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</si>
  <si>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</si>
  <si>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</si>
  <si>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</si>
  <si>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</si>
  <si>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</si>
  <si>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</si>
  <si>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</si>
  <si>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</si>
  <si>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</si>
  <si>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</si>
  <si>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</si>
  <si>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</si>
  <si>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</si>
  <si>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</si>
  <si>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</si>
  <si>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</si>
  <si>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</si>
  <si>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</si>
  <si>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</si>
  <si>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</si>
  <si>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</si>
  <si>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</si>
  <si>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</si>
  <si>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</si>
  <si>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</si>
  <si>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</si>
  <si>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</si>
  <si>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</si>
  <si>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</si>
  <si>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</si>
  <si>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</si>
  <si>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</si>
  <si>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</si>
  <si>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</si>
  <si>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</si>
  <si>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</si>
  <si>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</si>
  <si>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</si>
  <si>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</si>
  <si>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</si>
  <si>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</si>
  <si>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</si>
  <si>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</si>
  <si>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</si>
  <si>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</si>
  <si>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</si>
  <si>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</si>
  <si>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</si>
  <si>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</si>
  <si>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</si>
  <si>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</si>
  <si>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</si>
  <si>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</si>
  <si>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</si>
  <si>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</si>
  <si>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</si>
  <si>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</si>
  <si>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</si>
  <si>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</si>
  <si>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</si>
  <si>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</si>
  <si>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</si>
  <si>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</si>
  <si>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</si>
  <si>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</si>
  <si>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</si>
  <si>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</si>
  <si>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</si>
  <si>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</si>
  <si>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</si>
  <si>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</si>
  <si>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</si>
  <si>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</si>
  <si>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</si>
  <si>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</si>
  <si>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</si>
  <si>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</si>
  <si>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</si>
  <si>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</si>
  <si>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</si>
  <si>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</si>
  <si>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</si>
  <si>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</si>
  <si>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</si>
  <si>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</si>
  <si>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</si>
  <si>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</si>
  <si>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</si>
  <si>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</si>
  <si>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</si>
  <si>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</si>
  <si>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</si>
  <si>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</si>
  <si>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</si>
  <si>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</si>
  <si>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</si>
  <si>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</si>
  <si>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</si>
  <si>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</si>
  <si>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</si>
  <si>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</si>
  <si>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</si>
  <si>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</si>
  <si>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</si>
  <si>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</si>
  <si>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</si>
  <si>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</si>
  <si>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</si>
  <si>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</si>
  <si>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</si>
  <si>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</si>
  <si>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</si>
  <si>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</si>
  <si>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</si>
  <si>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</si>
  <si>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</si>
  <si>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</si>
  <si>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</si>
  <si>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</si>
  <si>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</si>
  <si>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</si>
  <si>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</si>
  <si>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</si>
  <si>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</si>
  <si>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</si>
  <si>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</si>
  <si>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</si>
  <si>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</si>
  <si>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</si>
  <si>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</si>
  <si>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</si>
  <si>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</si>
  <si>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</si>
  <si>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</si>
  <si>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</si>
  <si>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</si>
  <si>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</si>
  <si>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</si>
  <si>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</si>
  <si>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</si>
  <si>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</si>
  <si>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</si>
  <si>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</si>
  <si>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</si>
  <si>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</si>
  <si>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</si>
  <si>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</si>
  <si>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</si>
  <si>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</si>
  <si>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</si>
  <si>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</si>
  <si>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</si>
  <si>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</si>
  <si>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</si>
  <si>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</si>
  <si>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</si>
  <si>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</si>
  <si>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</si>
  <si>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</si>
  <si>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</si>
  <si>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</si>
  <si>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</si>
  <si>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</si>
  <si>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</si>
  <si>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</si>
  <si>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</si>
  <si>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</si>
  <si>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</si>
  <si>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</si>
  <si>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</si>
  <si>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</si>
  <si>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</si>
  <si>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</si>
  <si>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</si>
  <si>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</si>
  <si>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</si>
  <si>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</si>
  <si>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</si>
  <si>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</si>
  <si>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</si>
  <si>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</si>
  <si>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</si>
  <si>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</si>
  <si>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</si>
  <si>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</si>
  <si>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</si>
  <si>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</si>
  <si>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</si>
  <si>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</si>
  <si>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</si>
  <si>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</si>
  <si>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</si>
  <si>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</si>
  <si>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</si>
  <si>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</si>
  <si>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</si>
  <si>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</si>
  <si>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</si>
  <si>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</si>
  <si>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</si>
  <si>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</si>
  <si>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</si>
  <si>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</si>
  <si>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</si>
  <si>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</si>
  <si>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</si>
  <si>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</si>
  <si>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</si>
  <si>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</si>
  <si>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</si>
  <si>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</si>
  <si>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</si>
  <si>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</si>
  <si>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</si>
  <si>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</si>
  <si>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</si>
  <si>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</si>
  <si>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</si>
  <si>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</si>
  <si>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</si>
  <si>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</si>
  <si>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</si>
  <si>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</si>
  <si>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</si>
  <si>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</si>
  <si>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</si>
  <si>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</si>
  <si>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</si>
  <si>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</si>
  <si>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</si>
  <si>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</si>
  <si>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</si>
  <si>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</si>
  <si>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</si>
  <si>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</si>
  <si>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</si>
  <si>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</si>
  <si>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</si>
  <si>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</si>
  <si>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</si>
  <si>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</si>
  <si>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</si>
  <si>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</si>
  <si>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</si>
  <si>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</si>
  <si>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</si>
  <si>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</si>
  <si>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</si>
  <si>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</si>
  <si>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</si>
  <si>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</si>
  <si>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</si>
  <si>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</si>
  <si>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</si>
  <si>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</si>
  <si>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</si>
  <si>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</si>
  <si>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</si>
  <si>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</si>
  <si>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</si>
  <si>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</si>
  <si>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</si>
  <si>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</si>
  <si>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</si>
  <si>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</si>
  <si>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</si>
  <si>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</si>
  <si>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</si>
  <si>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</si>
  <si>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</si>
  <si>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</si>
  <si>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</si>
  <si>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</si>
  <si>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</si>
  <si>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</si>
  <si>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</si>
  <si>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</si>
  <si>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</si>
  <si>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</si>
  <si>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</si>
  <si>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</si>
  <si>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</si>
  <si>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</si>
  <si>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</si>
  <si>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</si>
  <si>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</si>
  <si>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</si>
  <si>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</si>
  <si>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</si>
  <si>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</si>
  <si>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</si>
  <si>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</si>
  <si>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</si>
  <si>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</si>
  <si>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</si>
  <si>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</si>
  <si>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</si>
  <si>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</si>
  <si>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</si>
  <si>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</si>
  <si>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</si>
  <si>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</si>
  <si>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</si>
  <si>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</si>
  <si>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</si>
  <si>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</si>
  <si>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</si>
  <si>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</si>
  <si>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</si>
  <si>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</si>
  <si>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</si>
  <si>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</si>
  <si>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</si>
  <si>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</si>
  <si>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</si>
  <si>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</si>
  <si>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</si>
  <si>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</si>
  <si>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</si>
  <si>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</si>
  <si>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</si>
  <si>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</si>
  <si>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</si>
  <si>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</si>
  <si>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</si>
  <si>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</si>
  <si>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</si>
  <si>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</si>
  <si>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</si>
  <si>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</si>
  <si>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</si>
  <si>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</si>
  <si>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</si>
  <si>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</si>
  <si>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</si>
  <si>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</si>
  <si>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</si>
  <si>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</si>
  <si>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</si>
  <si>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</si>
  <si>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</si>
  <si>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</si>
  <si>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</si>
  <si>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</si>
  <si>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</si>
  <si>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</si>
  <si>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</si>
  <si>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</si>
  <si>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</si>
  <si>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</si>
  <si>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</si>
  <si>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</si>
  <si>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</si>
  <si>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</si>
  <si>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</si>
  <si>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</si>
  <si>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</si>
  <si>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</si>
  <si>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</si>
  <si>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</si>
  <si>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</si>
  <si>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</si>
  <si>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</si>
  <si>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</si>
  <si>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</si>
  <si>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</si>
  <si>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</si>
  <si>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</si>
  <si>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</si>
  <si>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</si>
  <si>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</si>
  <si>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</si>
  <si>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</si>
  <si>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</si>
  <si>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</si>
  <si>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</si>
  <si>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</si>
  <si>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</si>
  <si>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</si>
  <si>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</si>
  <si>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</si>
  <si>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</si>
  <si>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</si>
  <si>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</si>
  <si>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</si>
  <si>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</si>
  <si>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</si>
  <si>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</si>
  <si>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</si>
  <si>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</si>
  <si>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</si>
  <si>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</si>
  <si>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</si>
  <si>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</si>
  <si>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</si>
  <si>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</si>
  <si>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</si>
  <si>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</si>
  <si>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</si>
  <si>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</si>
  <si>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</si>
  <si>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</si>
  <si>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</si>
  <si>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</si>
  <si>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</si>
  <si>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</si>
  <si>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</si>
  <si>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</si>
  <si>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</si>
  <si>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</si>
  <si>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</si>
  <si>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</si>
  <si>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</si>
  <si>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</si>
  <si>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</si>
  <si>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</si>
  <si>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</si>
  <si>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</si>
  <si>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</si>
  <si>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</si>
  <si>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</si>
  <si>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</si>
  <si>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</si>
  <si>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</si>
  <si>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</si>
  <si>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</si>
  <si>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</si>
  <si>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</si>
  <si>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</si>
  <si>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</si>
  <si>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</si>
  <si>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</si>
  <si>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</si>
  <si>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</si>
  <si>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</si>
  <si>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</si>
  <si>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</si>
  <si>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</si>
  <si>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</si>
  <si>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</si>
  <si>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</si>
  <si>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</si>
  <si>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</si>
  <si>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</si>
  <si>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</si>
  <si>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</si>
  <si>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</si>
  <si>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</si>
  <si>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</si>
  <si>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</si>
  <si>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</si>
  <si>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</si>
  <si>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</si>
  <si>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</si>
  <si>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</si>
  <si>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</si>
  <si>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</si>
  <si>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</si>
  <si>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</si>
  <si>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</si>
  <si>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</si>
  <si>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</si>
  <si>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</si>
  <si>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</si>
  <si>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</si>
  <si>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</si>
  <si>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</si>
  <si>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</si>
  <si>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</si>
  <si>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</si>
  <si>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</si>
  <si>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</si>
  <si>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</si>
  <si>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</si>
  <si>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</si>
  <si>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</si>
  <si>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</si>
  <si>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</si>
  <si>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</si>
  <si>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</si>
  <si>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</si>
  <si>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</si>
  <si>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</si>
  <si>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</si>
  <si>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</si>
  <si>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</si>
  <si>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</si>
  <si>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</si>
  <si>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</si>
  <si>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</si>
  <si>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</si>
  <si>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</si>
  <si>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</si>
  <si>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</si>
  <si>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</si>
  <si>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</si>
  <si>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</si>
  <si>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</si>
  <si>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</si>
  <si>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</si>
  <si>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</si>
  <si>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</si>
  <si>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</si>
  <si>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</si>
  <si>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</si>
  <si>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</si>
  <si>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</si>
  <si>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</si>
  <si>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</si>
  <si>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</si>
  <si>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</si>
  <si>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</si>
  <si>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</si>
  <si>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</si>
  <si>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</si>
  <si>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</si>
  <si>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</si>
  <si>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</si>
  <si>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</si>
  <si>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</si>
  <si>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</si>
  <si>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</si>
  <si>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</si>
  <si>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</si>
  <si>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</si>
  <si>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</si>
  <si>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</si>
  <si>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</si>
  <si>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</si>
  <si>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</si>
  <si>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</si>
  <si>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</si>
  <si>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</si>
  <si>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</si>
  <si>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</si>
  <si>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</si>
  <si>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</si>
  <si>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</si>
  <si>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</si>
  <si>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</si>
  <si>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</si>
  <si>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</si>
  <si>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</si>
  <si>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</si>
  <si>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</si>
  <si>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</si>
  <si>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</si>
  <si>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</si>
  <si>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</si>
  <si>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</si>
  <si>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</si>
  <si>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</si>
  <si>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</si>
  <si>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</si>
  <si>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</si>
  <si>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</si>
  <si>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</si>
  <si>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</si>
  <si>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</si>
  <si>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</si>
  <si>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</si>
  <si>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</si>
  <si>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</si>
  <si>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</si>
  <si>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</si>
  <si>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</si>
  <si>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</si>
  <si>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</si>
  <si>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</si>
  <si>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</si>
  <si>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</si>
  <si>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</si>
  <si>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</si>
  <si>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</si>
  <si>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</si>
  <si>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</si>
  <si>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</si>
  <si>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</si>
  <si>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</si>
  <si>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</si>
  <si>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</si>
  <si>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</si>
  <si>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</si>
  <si>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</si>
  <si>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</si>
  <si>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</si>
  <si>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</si>
  <si>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</si>
  <si>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</si>
  <si>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</si>
  <si>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</si>
  <si>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</si>
  <si>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</si>
  <si>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</si>
  <si>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</si>
  <si>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</si>
  <si>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</si>
  <si>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</si>
  <si>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</si>
  <si>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</si>
  <si>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</si>
  <si>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</si>
  <si>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</si>
  <si>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</si>
  <si>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</si>
  <si>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</si>
  <si>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</si>
  <si>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</si>
  <si>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</si>
  <si>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</si>
  <si>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</si>
  <si>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</si>
  <si>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</si>
  <si>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</si>
  <si>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</si>
  <si>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</si>
  <si>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</si>
  <si>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</si>
  <si>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</si>
  <si>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</si>
  <si>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</si>
  <si>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</si>
  <si>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</si>
  <si>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</si>
  <si>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</si>
  <si>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</si>
  <si>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</si>
  <si>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</si>
  <si>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</si>
  <si>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</si>
  <si>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</si>
  <si>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</si>
  <si>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</si>
  <si>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</si>
  <si>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</si>
  <si>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</si>
  <si>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</si>
  <si>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</si>
  <si>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</si>
  <si>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</si>
  <si>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</si>
  <si>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</si>
  <si>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</si>
  <si>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</si>
  <si>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</si>
  <si>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</si>
  <si>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</si>
  <si>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</si>
  <si>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</si>
  <si>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</si>
  <si>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</si>
  <si>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</si>
  <si>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</si>
  <si>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</si>
  <si>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</si>
  <si>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</si>
  <si>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</si>
  <si>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</si>
  <si>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</si>
  <si>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</si>
  <si>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</si>
  <si>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</si>
  <si>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</si>
  <si>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</si>
  <si>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</si>
  <si>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</si>
  <si>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</si>
  <si>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</si>
  <si>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</si>
  <si>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</si>
  <si>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</si>
  <si>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</si>
  <si>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</si>
  <si>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</si>
  <si>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</si>
  <si>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</si>
  <si>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</si>
  <si>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</si>
  <si>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</si>
  <si>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</si>
  <si>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</si>
  <si>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</si>
  <si>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</si>
  <si>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</si>
  <si>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</si>
  <si>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</si>
  <si>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</si>
  <si>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</si>
  <si>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</si>
  <si>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</si>
  <si>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</si>
  <si>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</si>
  <si>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</si>
  <si>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</si>
  <si>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</si>
  <si>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</si>
  <si>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</si>
  <si>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</si>
  <si>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</si>
  <si>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</si>
  <si>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</si>
  <si>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</si>
  <si>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</si>
  <si>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</si>
  <si>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</si>
  <si>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</si>
  <si>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</si>
  <si>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</si>
  <si>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</si>
  <si>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</si>
  <si>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</si>
  <si>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</si>
  <si>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</si>
  <si>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</si>
  <si>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</si>
  <si>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</si>
  <si>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</si>
  <si>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</si>
  <si>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</si>
  <si>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</si>
  <si>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</si>
  <si>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</si>
  <si>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</si>
  <si>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</si>
  <si>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</si>
  <si>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</si>
  <si>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</si>
  <si>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</si>
  <si>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</si>
  <si>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</si>
  <si>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</si>
  <si>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</si>
  <si>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</si>
  <si>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</si>
  <si>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</si>
  <si>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</si>
  <si>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</si>
  <si>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</si>
  <si>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</si>
  <si>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</si>
  <si>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</si>
  <si>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</si>
  <si>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</si>
  <si>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</si>
  <si>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</si>
  <si>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</si>
  <si>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</si>
  <si>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</si>
  <si>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</si>
  <si>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</si>
  <si>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</si>
  <si>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</si>
  <si>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</si>
  <si>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</si>
  <si>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</si>
  <si>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</si>
  <si>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</si>
  <si>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</si>
  <si>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</si>
  <si>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</si>
  <si>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</si>
  <si>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</si>
  <si>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</si>
  <si>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</si>
  <si>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</si>
  <si>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</si>
  <si>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</si>
  <si>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</si>
  <si>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</si>
  <si>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</si>
  <si>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</si>
  <si>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</si>
  <si>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</si>
  <si>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</si>
  <si>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</si>
  <si>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</si>
  <si>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</si>
  <si>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</si>
  <si>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</si>
  <si>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</si>
  <si>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</si>
  <si>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</si>
  <si>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</si>
  <si>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</si>
  <si>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</si>
  <si>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</si>
  <si>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</si>
  <si>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</si>
  <si>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</si>
  <si>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</si>
  <si>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</si>
  <si>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</si>
  <si>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</si>
  <si>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</si>
  <si>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</si>
  <si>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</si>
  <si>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</si>
  <si>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</si>
  <si>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</si>
  <si>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</si>
  <si>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</si>
  <si>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</si>
  <si>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</si>
  <si>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</si>
  <si>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</si>
  <si>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</si>
  <si>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</si>
  <si>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</si>
  <si>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</si>
  <si>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</si>
  <si>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</si>
  <si>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</si>
  <si>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</si>
  <si>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</si>
  <si>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</si>
  <si>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</si>
  <si>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</si>
  <si>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</si>
  <si>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</si>
  <si>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</si>
  <si>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</si>
  <si>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</si>
  <si>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</si>
  <si>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</si>
  <si>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</si>
  <si>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</si>
  <si>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</si>
  <si>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</si>
  <si>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</si>
  <si>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</si>
  <si>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</si>
  <si>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</si>
  <si>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</si>
  <si>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</si>
  <si>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</si>
  <si>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</si>
  <si>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</si>
  <si>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</si>
  <si>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</si>
  <si>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</si>
  <si>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</si>
  <si>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</si>
  <si>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</si>
  <si>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</si>
  <si>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</si>
  <si>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</si>
  <si>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</si>
  <si>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</si>
  <si>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</si>
  <si>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</si>
  <si>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</si>
  <si>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</si>
  <si>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</si>
  <si>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</si>
  <si>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</si>
  <si>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</si>
  <si>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</si>
  <si>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</si>
  <si>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</si>
  <si>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</si>
  <si>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</si>
  <si>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</si>
  <si>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</si>
  <si>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</si>
  <si>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</si>
  <si>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</si>
  <si>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</si>
  <si>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</si>
  <si>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</si>
  <si>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</si>
  <si>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</si>
  <si>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</si>
  <si>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</si>
  <si>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</si>
  <si>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</si>
  <si>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</si>
  <si>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</si>
  <si>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</si>
  <si>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</si>
  <si>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</si>
  <si>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</si>
  <si>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</si>
  <si>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</si>
  <si>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</si>
  <si>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</si>
  <si>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</si>
  <si>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</si>
  <si>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</si>
  <si>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</si>
  <si>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</si>
  <si>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</si>
  <si>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</si>
  <si>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</si>
  <si>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</si>
  <si>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</si>
  <si>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</si>
  <si>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</si>
  <si>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</si>
  <si>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</si>
  <si>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</si>
  <si>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</si>
  <si>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</si>
  <si>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</si>
  <si>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</si>
  <si>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</si>
  <si>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</si>
  <si>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</si>
  <si>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</si>
  <si>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</si>
  <si>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</si>
  <si>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</si>
  <si>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</si>
  <si>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</si>
  <si>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</si>
  <si>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</si>
  <si>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</si>
  <si>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</si>
  <si>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</si>
  <si>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</si>
  <si>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</si>
  <si>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</si>
  <si>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</si>
  <si>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</si>
  <si>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</si>
  <si>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</si>
  <si>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</si>
  <si>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</si>
  <si>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</si>
  <si>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</si>
  <si>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</si>
  <si>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</si>
  <si>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</si>
  <si>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</si>
  <si>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</si>
  <si>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</si>
  <si>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</si>
  <si>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</si>
  <si>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</si>
  <si>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</si>
  <si>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</si>
  <si>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</si>
  <si>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</si>
  <si>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</si>
  <si>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</si>
  <si>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</si>
  <si>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</si>
  <si>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</si>
  <si>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</si>
  <si>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</si>
  <si>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</si>
  <si>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</si>
  <si>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</si>
  <si>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</si>
  <si>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</si>
  <si>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</si>
  <si>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</si>
  <si>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</si>
  <si>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</si>
  <si>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</si>
  <si>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</si>
  <si>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</si>
  <si>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</si>
  <si>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</si>
  <si>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</si>
  <si>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</si>
  <si>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</si>
  <si>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</si>
  <si>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</si>
  <si>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</si>
  <si>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</si>
  <si>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</si>
  <si>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</si>
  <si>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</si>
  <si>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</si>
  <si>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</si>
  <si>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</si>
  <si>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</si>
  <si>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</si>
  <si>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</si>
  <si>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</si>
  <si>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</si>
  <si>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</si>
  <si>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</si>
  <si>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</si>
  <si>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</si>
  <si>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</si>
  <si>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</si>
  <si>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</si>
  <si>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</si>
  <si>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</si>
  <si>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</si>
  <si>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</si>
  <si>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</si>
  <si>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</si>
  <si>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</si>
  <si>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</si>
  <si>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</si>
  <si>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</si>
  <si>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</si>
  <si>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</si>
  <si>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</si>
  <si>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</si>
  <si>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</si>
  <si>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</si>
  <si>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</si>
  <si>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</si>
  <si>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</si>
  <si>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</si>
  <si>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</si>
  <si>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</si>
  <si>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</si>
  <si>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</si>
  <si>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</si>
  <si>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</si>
  <si>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</si>
  <si>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</si>
  <si>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</si>
  <si>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</si>
  <si>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</si>
  <si>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</si>
  <si>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</si>
  <si>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</si>
  <si>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</si>
  <si>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</si>
  <si>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</si>
  <si>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</si>
  <si>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</si>
  <si>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</si>
  <si>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</si>
  <si>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</si>
  <si>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</si>
  <si>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</si>
  <si>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</si>
  <si>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</si>
  <si>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</si>
  <si>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</si>
  <si>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</si>
  <si>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</si>
  <si>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</si>
  <si>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</si>
  <si>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</si>
  <si>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</si>
  <si>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</si>
  <si>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</si>
  <si>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</si>
  <si>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</si>
  <si>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</si>
  <si>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</si>
  <si>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</si>
  <si>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</si>
  <si>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</si>
  <si>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</si>
  <si>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</si>
  <si>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</si>
  <si>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</si>
  <si>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</si>
  <si>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</si>
  <si>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</si>
  <si>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</si>
  <si>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</si>
  <si>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</si>
  <si>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</si>
  <si>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</si>
  <si>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</si>
  <si>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</si>
  <si>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</si>
  <si>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</si>
  <si>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</si>
  <si>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</si>
  <si>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</si>
  <si>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</si>
  <si>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</si>
  <si>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</si>
  <si>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</si>
  <si>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</si>
  <si>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</si>
  <si>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</si>
  <si>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</si>
  <si>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</si>
  <si>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</si>
  <si>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</si>
  <si>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</si>
  <si>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</si>
  <si>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</si>
  <si>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</si>
  <si>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</si>
  <si>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</si>
  <si>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</si>
  <si>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</si>
  <si>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</si>
  <si>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</si>
  <si>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</si>
  <si>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</si>
  <si>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</si>
  <si>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</si>
  <si>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</si>
  <si>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</si>
  <si>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</si>
  <si>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</si>
  <si>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</si>
  <si>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</si>
  <si>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</si>
  <si>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</si>
  <si>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</si>
  <si>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</si>
  <si>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</si>
  <si>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</si>
  <si>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</si>
  <si>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</si>
  <si>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</si>
  <si>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</si>
  <si>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</si>
  <si>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</si>
  <si>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</si>
  <si>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</si>
  <si>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</si>
  <si>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</si>
  <si>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</si>
  <si>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</si>
  <si>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</si>
  <si>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</si>
  <si>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</si>
  <si>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</si>
  <si>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</si>
  <si>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</si>
  <si>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</si>
  <si>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</si>
  <si>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</si>
  <si>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</si>
  <si>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</si>
  <si>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</si>
  <si>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</si>
  <si>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</si>
  <si>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</si>
  <si>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</si>
  <si>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</si>
  <si>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</si>
  <si>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</si>
  <si>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</si>
  <si>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</si>
  <si>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</si>
  <si>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</si>
  <si>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</si>
  <si>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</si>
  <si>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</si>
  <si>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</si>
  <si>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</si>
  <si>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</si>
  <si>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</si>
  <si>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</si>
  <si>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</si>
  <si>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</si>
  <si>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</si>
  <si>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</si>
  <si>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</si>
  <si>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</si>
  <si>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</si>
  <si>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</si>
  <si>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</si>
  <si>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</si>
  <si>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</si>
  <si>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</si>
  <si>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</si>
  <si>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</si>
  <si>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</si>
  <si>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</si>
  <si>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</si>
  <si>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</si>
  <si>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</si>
  <si>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</si>
  <si>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</si>
  <si>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</si>
  <si>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</si>
  <si>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</si>
  <si>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</si>
  <si>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</si>
  <si>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</si>
  <si>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</si>
  <si>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</si>
  <si>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</si>
  <si>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</si>
  <si>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</si>
  <si>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</si>
  <si>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</si>
  <si>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</si>
  <si>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</si>
  <si>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</si>
  <si>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</si>
  <si>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</si>
  <si>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</si>
  <si>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</si>
  <si>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</si>
  <si>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</si>
  <si>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</si>
  <si>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</si>
  <si>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</si>
  <si>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</si>
  <si>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</si>
  <si>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</si>
  <si>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</si>
  <si>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</si>
  <si>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</si>
  <si>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</si>
  <si>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</si>
  <si>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</si>
  <si>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</si>
  <si>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</si>
  <si>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</si>
  <si>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</si>
  <si>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</si>
  <si>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</si>
  <si>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</si>
  <si>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</si>
  <si>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</si>
  <si>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</si>
  <si>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</si>
  <si>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</si>
  <si>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</si>
  <si>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</si>
  <si>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</si>
  <si>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</si>
  <si>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</si>
  <si>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</si>
  <si>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</si>
  <si>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</si>
  <si>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</si>
  <si>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</si>
  <si>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</si>
  <si>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</si>
  <si>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</si>
  <si>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</si>
  <si>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</si>
  <si>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</si>
  <si>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</si>
  <si>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</si>
  <si>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</si>
  <si>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</si>
  <si>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</si>
  <si>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</si>
  <si>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</si>
  <si>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</si>
  <si>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</si>
  <si>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</si>
  <si>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</si>
  <si>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</si>
  <si>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</si>
  <si>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</si>
  <si>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</si>
  <si>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</si>
  <si>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</si>
  <si>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</si>
  <si>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</si>
  <si>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</si>
  <si>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</si>
  <si>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</si>
  <si>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</si>
  <si>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</si>
  <si>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</si>
  <si>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</si>
  <si>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</si>
  <si>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</si>
  <si>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</si>
  <si>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</si>
  <si>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</si>
  <si>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</si>
  <si>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</si>
  <si>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</si>
  <si>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</si>
  <si>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</si>
  <si>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</si>
  <si>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</si>
  <si>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</si>
  <si>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</si>
  <si>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</si>
  <si>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</si>
  <si>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</si>
  <si>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</si>
  <si>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</si>
  <si>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</si>
  <si>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</si>
  <si>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</si>
  <si>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</si>
  <si>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</si>
  <si>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</si>
  <si>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</si>
  <si>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</si>
  <si>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</si>
  <si>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</si>
  <si>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</si>
  <si>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</si>
  <si>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</si>
  <si>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</si>
  <si>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</si>
  <si>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</si>
  <si>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</si>
  <si>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</si>
  <si>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</si>
  <si>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</si>
  <si>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</si>
  <si>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</si>
  <si>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</si>
  <si>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</si>
  <si>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</si>
  <si>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</si>
  <si>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</si>
  <si>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</si>
  <si>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</si>
  <si>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</si>
  <si>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</si>
  <si>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</si>
  <si>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</si>
  <si>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</si>
  <si>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</si>
  <si>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</si>
  <si>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</si>
  <si>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</si>
  <si>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</si>
  <si>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</si>
  <si>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</si>
  <si>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</si>
  <si>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</si>
  <si>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</si>
  <si>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</si>
  <si>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</si>
  <si>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</si>
  <si>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</si>
  <si>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</si>
  <si>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</si>
  <si>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</si>
  <si>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</si>
  <si>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</si>
  <si>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</si>
  <si>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</si>
  <si>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</si>
  <si>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</si>
  <si>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</si>
  <si>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</si>
  <si>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</si>
  <si>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</si>
  <si>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</si>
  <si>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</si>
  <si>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</si>
  <si>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</si>
  <si>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</si>
  <si>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</si>
  <si>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</si>
  <si>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</si>
  <si>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</si>
  <si>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</si>
  <si>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</si>
  <si>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</si>
  <si>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</si>
  <si>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</si>
  <si>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</si>
  <si>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</si>
  <si>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</si>
  <si>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</si>
  <si>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</si>
  <si>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</si>
  <si>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</si>
  <si>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</si>
  <si>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</si>
  <si>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</si>
  <si>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</si>
  <si>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</si>
  <si>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</si>
  <si>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</si>
  <si>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</si>
  <si>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</si>
  <si>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</si>
  <si>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</si>
  <si>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</si>
  <si>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</si>
  <si>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</si>
  <si>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</si>
  <si>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</si>
  <si>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</si>
  <si>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</si>
  <si>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</si>
  <si>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</si>
  <si>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</si>
  <si>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</si>
  <si>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</si>
  <si>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</si>
  <si>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</si>
  <si>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</si>
  <si>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</si>
  <si>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</si>
  <si>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</si>
  <si>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</si>
  <si>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</si>
  <si>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</si>
  <si>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</si>
  <si>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</si>
  <si>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</si>
  <si>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</si>
  <si>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</si>
  <si>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</si>
  <si>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</si>
  <si>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</si>
  <si>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</si>
  <si>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</si>
  <si>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</si>
  <si>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</si>
  <si>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</si>
  <si>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</si>
  <si>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</si>
  <si>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</si>
  <si>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</si>
  <si>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</si>
  <si>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</si>
  <si>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</si>
  <si>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</si>
  <si>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</si>
  <si>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</si>
  <si>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</si>
  <si>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</si>
  <si>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</si>
  <si>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</si>
  <si>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</si>
  <si>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</si>
  <si>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</si>
  <si>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</si>
  <si>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</si>
  <si>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</si>
  <si>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</si>
  <si>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</si>
  <si>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</si>
  <si>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</si>
  <si>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</si>
  <si>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</si>
  <si>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</si>
  <si>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</si>
  <si>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</si>
  <si>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</si>
  <si>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</si>
  <si>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</si>
  <si>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</si>
  <si>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</si>
  <si>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</si>
  <si>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</si>
  <si>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</si>
  <si>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</si>
  <si>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</si>
  <si>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</si>
  <si>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</si>
  <si>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</si>
  <si>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</si>
  <si>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</si>
  <si>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</si>
  <si>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</si>
  <si>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</si>
  <si>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</si>
  <si>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</si>
  <si>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</si>
  <si>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</si>
  <si>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</si>
  <si>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</si>
  <si>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</si>
  <si>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</si>
  <si>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</si>
  <si>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</si>
  <si>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</si>
  <si>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</si>
  <si>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</si>
  <si>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</si>
  <si>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</si>
  <si>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</si>
  <si>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</si>
  <si>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</si>
  <si>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</si>
  <si>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</si>
  <si>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</si>
  <si>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</si>
  <si>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</si>
  <si>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</si>
  <si>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</si>
  <si>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</si>
  <si>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</si>
  <si>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</si>
  <si>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</si>
  <si>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</si>
  <si>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</si>
  <si>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</si>
  <si>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</si>
  <si>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</si>
  <si>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</si>
  <si>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</si>
  <si>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</si>
  <si>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</si>
  <si>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</si>
  <si>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</si>
  <si>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</si>
  <si>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</si>
  <si>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</si>
  <si>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</si>
  <si>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</si>
  <si>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</si>
  <si>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</si>
  <si>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</si>
  <si>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</si>
  <si>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</si>
  <si>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</si>
  <si>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</si>
  <si>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</si>
  <si>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</si>
  <si>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</si>
  <si>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</si>
  <si>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</si>
  <si>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</si>
  <si>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</si>
  <si>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</si>
  <si>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</si>
  <si>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</si>
  <si>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</si>
  <si>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</si>
  <si>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</si>
  <si>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</si>
  <si>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</si>
  <si>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</si>
  <si>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</si>
  <si>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</si>
  <si>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</si>
  <si>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</si>
  <si>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</si>
  <si>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</si>
  <si>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</si>
  <si>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</si>
  <si>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</si>
  <si>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</si>
  <si>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</si>
  <si>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</si>
  <si>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</si>
  <si>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</si>
  <si>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</si>
  <si>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</si>
  <si>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</si>
  <si>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</si>
  <si>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</si>
  <si>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</si>
  <si>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</si>
  <si>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</si>
  <si>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</si>
  <si>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</si>
  <si>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</si>
  <si>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</si>
  <si>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</si>
  <si>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</si>
  <si>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</si>
  <si>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</si>
  <si>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</si>
  <si>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</si>
  <si>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</si>
  <si>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</si>
  <si>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</si>
  <si>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</si>
  <si>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</si>
  <si>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</si>
  <si>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</si>
  <si>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</si>
  <si>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</si>
  <si>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</si>
  <si>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</si>
  <si>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</si>
  <si>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</si>
  <si>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</si>
  <si>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</si>
  <si>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</si>
  <si>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</si>
  <si>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</si>
  <si>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</si>
  <si>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</si>
  <si>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</si>
  <si>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</si>
  <si>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</si>
  <si>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</si>
  <si>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</si>
  <si>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</si>
  <si>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</si>
  <si>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</si>
  <si>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</si>
  <si>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</si>
  <si>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</si>
  <si>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</si>
  <si>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</si>
  <si>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</si>
  <si>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</si>
  <si>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</si>
  <si>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</si>
  <si>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</si>
  <si>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</si>
  <si>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</si>
  <si>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</si>
  <si>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</si>
  <si>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</si>
  <si>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</si>
  <si>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</si>
  <si>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</si>
  <si>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</si>
  <si>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</si>
  <si>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</si>
  <si>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</si>
  <si>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</si>
  <si>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</si>
  <si>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</si>
  <si>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</si>
  <si>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</si>
  <si>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</si>
  <si>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</si>
  <si>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</si>
  <si>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</si>
  <si>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</si>
  <si>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</si>
  <si>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</si>
  <si>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</si>
  <si>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</si>
  <si>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</si>
  <si>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</si>
  <si>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</si>
  <si>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</si>
  <si>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</si>
  <si>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</si>
  <si>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</si>
  <si>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</si>
  <si>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</si>
  <si>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</si>
  <si>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</si>
  <si>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</si>
  <si>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</si>
  <si>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</si>
  <si>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</si>
  <si>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</si>
  <si>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</si>
  <si>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</si>
  <si>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</si>
  <si>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</si>
  <si>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</si>
  <si>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</si>
  <si>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</si>
  <si>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</si>
  <si>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</si>
  <si>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</si>
  <si>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</si>
  <si>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</si>
  <si>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</si>
  <si>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</si>
  <si>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</si>
  <si>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</si>
  <si>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</si>
  <si>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</si>
  <si>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</si>
  <si>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</si>
  <si>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</si>
  <si>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</si>
  <si>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</si>
  <si>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</si>
  <si>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</si>
  <si>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</si>
  <si>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</si>
  <si>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</si>
  <si>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</si>
  <si>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</si>
  <si>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</si>
  <si>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</si>
  <si>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</si>
  <si>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</si>
  <si>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</si>
  <si>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</si>
  <si>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</si>
  <si>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</si>
  <si>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</si>
  <si>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</si>
  <si>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</si>
  <si>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</si>
  <si>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</si>
  <si>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</si>
  <si>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</si>
  <si>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</si>
  <si>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</si>
  <si>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</si>
  <si>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</si>
  <si>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</si>
  <si>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</si>
  <si>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</si>
  <si>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</si>
  <si>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</si>
  <si>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</si>
  <si>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</si>
  <si>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</si>
  <si>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</si>
  <si>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</si>
  <si>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</si>
  <si>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</si>
  <si>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</si>
  <si>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</si>
  <si>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</si>
  <si>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</si>
  <si>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</si>
  <si>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</si>
  <si>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</si>
  <si>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</si>
  <si>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</si>
  <si>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</si>
  <si>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</si>
  <si>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</si>
  <si>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</si>
  <si>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</si>
  <si>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</si>
  <si>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</si>
  <si>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</si>
  <si>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</si>
  <si>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</si>
  <si>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</si>
  <si>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</si>
  <si>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</si>
  <si>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</si>
  <si>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</si>
  <si>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</si>
  <si>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</si>
  <si>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</si>
  <si>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</si>
  <si>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</si>
  <si>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</si>
  <si>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</si>
  <si>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</si>
  <si>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</si>
  <si>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</si>
  <si>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</si>
  <si>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</si>
  <si>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</si>
  <si>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</si>
  <si>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</si>
  <si>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</si>
  <si>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</si>
  <si>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</si>
  <si>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</si>
  <si>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</si>
  <si>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</si>
  <si>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</si>
  <si>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</si>
  <si>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</si>
  <si>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</si>
  <si>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</si>
  <si>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</si>
  <si>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</si>
  <si>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</si>
  <si>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</si>
  <si>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</si>
  <si>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</si>
  <si>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</si>
  <si>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</si>
  <si>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</si>
  <si>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</si>
  <si>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</si>
  <si>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</si>
  <si>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</si>
  <si>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</si>
  <si>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</si>
  <si>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</si>
  <si>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</si>
  <si>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</si>
  <si>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</si>
  <si>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</si>
  <si>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</si>
  <si>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</si>
  <si>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</si>
  <si>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</si>
  <si>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</si>
  <si>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</si>
  <si>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</si>
  <si>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</si>
  <si>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</si>
  <si>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</si>
  <si>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</si>
  <si>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</si>
  <si>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</si>
  <si>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</si>
  <si>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</si>
  <si>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</si>
  <si>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</si>
  <si>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</si>
  <si>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</si>
  <si>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</si>
  <si>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</si>
  <si>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</si>
  <si>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</si>
  <si>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</si>
  <si>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</si>
  <si>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</si>
  <si>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</si>
  <si>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</si>
  <si>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</si>
  <si>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</si>
  <si>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</si>
  <si>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</si>
  <si>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</si>
  <si>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</si>
  <si>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</si>
  <si>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</si>
  <si>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</si>
  <si>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</si>
  <si>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</si>
  <si>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</si>
  <si>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</si>
  <si>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</si>
  <si>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</si>
  <si>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</si>
  <si>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</si>
  <si>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</si>
  <si>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</si>
  <si>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</si>
  <si>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</si>
  <si>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</si>
  <si>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</si>
  <si>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</si>
  <si>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</si>
  <si>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</si>
  <si>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</si>
  <si>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</si>
  <si>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</si>
  <si>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</si>
  <si>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</si>
  <si>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</si>
  <si>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</si>
  <si>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</si>
  <si>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</si>
  <si>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</si>
  <si>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</si>
  <si>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</si>
  <si>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</si>
  <si>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</si>
  <si>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</si>
  <si>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</si>
  <si>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</si>
  <si>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</si>
  <si>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</si>
  <si>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</si>
  <si>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</si>
  <si>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</si>
  <si>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</si>
  <si>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</si>
  <si>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</si>
  <si>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</si>
  <si>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</si>
  <si>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</si>
  <si>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</si>
  <si>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</si>
  <si>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</si>
  <si>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</si>
  <si>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</si>
  <si>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</si>
  <si>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</si>
  <si>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</si>
  <si>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</si>
  <si>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</si>
  <si>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</si>
  <si>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</si>
  <si>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</si>
  <si>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</si>
  <si>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</si>
  <si>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</si>
  <si>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</si>
  <si>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</si>
  <si>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</si>
  <si>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</si>
  <si>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</si>
  <si>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</si>
  <si>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</si>
  <si>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</si>
  <si>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</si>
  <si>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</si>
  <si>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</si>
  <si>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</si>
  <si>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</si>
  <si>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</si>
  <si>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</si>
  <si>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</si>
  <si>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</si>
  <si>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</si>
  <si>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</si>
  <si>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</si>
  <si>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</si>
  <si>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</si>
  <si>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</si>
  <si>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</si>
  <si>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</si>
  <si>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</si>
  <si>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</si>
  <si>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</si>
  <si>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</si>
  <si>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</si>
  <si>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</si>
  <si>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</si>
  <si>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</si>
  <si>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</si>
  <si>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</si>
  <si>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</si>
  <si>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</si>
  <si>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</si>
  <si>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</si>
  <si>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</si>
  <si>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</si>
  <si>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</si>
  <si>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</si>
  <si>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</si>
  <si>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</si>
  <si>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</si>
  <si>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</si>
  <si>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</si>
  <si>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</si>
  <si>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</si>
  <si>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</si>
  <si>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</si>
  <si>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</si>
  <si>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</si>
  <si>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</si>
  <si>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</si>
  <si>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</si>
  <si>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</si>
  <si>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</si>
  <si>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</si>
  <si>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</si>
  <si>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</si>
  <si>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</si>
  <si>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</si>
  <si>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</si>
  <si>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</si>
  <si>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</si>
  <si>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</si>
  <si>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</si>
  <si>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</si>
  <si>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</si>
  <si>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</si>
  <si>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</si>
  <si>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</si>
  <si>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</si>
  <si>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</si>
  <si>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</si>
  <si>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</si>
  <si>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</si>
  <si>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</si>
  <si>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</si>
  <si>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</si>
  <si>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</si>
  <si>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</si>
  <si>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</si>
  <si>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</si>
  <si>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</si>
  <si>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</si>
  <si>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</si>
  <si>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</si>
  <si>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</si>
  <si>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</si>
  <si>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</si>
  <si>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</si>
  <si>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</si>
  <si>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</si>
  <si>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</si>
  <si>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</si>
  <si>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</si>
  <si>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</si>
  <si>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</si>
  <si>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</si>
  <si>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</si>
  <si>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</si>
  <si>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</si>
  <si>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</si>
  <si>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</si>
  <si>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</si>
  <si>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</si>
  <si>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</si>
  <si>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</si>
  <si>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</si>
  <si>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</si>
  <si>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</si>
  <si>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</si>
  <si>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</si>
  <si>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</si>
  <si>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</si>
  <si>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</si>
  <si>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</si>
  <si>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</si>
  <si>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</si>
  <si>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</si>
  <si>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</si>
  <si>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</si>
  <si>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</si>
  <si>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</si>
  <si>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</si>
  <si>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</si>
  <si>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</si>
  <si>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</si>
  <si>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</si>
  <si>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</si>
  <si>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</si>
  <si>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</si>
  <si>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</si>
  <si>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</si>
  <si>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</si>
  <si>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</si>
  <si>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</si>
  <si>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</si>
  <si>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</si>
  <si>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</si>
  <si>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</si>
  <si>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</si>
  <si>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</si>
  <si>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</si>
  <si>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</si>
  <si>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</si>
  <si>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</si>
  <si>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</si>
  <si>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</si>
  <si>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</si>
  <si>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</si>
  <si>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</si>
  <si>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</si>
  <si>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</si>
  <si>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</si>
  <si>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</si>
  <si>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</si>
  <si>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</si>
  <si>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</si>
  <si>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</si>
  <si>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</si>
  <si>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</si>
  <si>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</si>
  <si>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</si>
  <si>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</si>
  <si>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</si>
  <si>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</si>
  <si>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</si>
  <si>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</si>
  <si>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</si>
  <si>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</si>
  <si>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</si>
  <si>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</si>
  <si>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</si>
  <si>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</si>
  <si>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</si>
  <si>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</si>
  <si>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</si>
  <si>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</si>
  <si>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</si>
  <si>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</si>
  <si>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</si>
  <si>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</si>
  <si>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</si>
  <si>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</si>
  <si>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</si>
  <si>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</si>
  <si>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</si>
  <si>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</si>
  <si>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</si>
  <si>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</si>
  <si>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</si>
  <si>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</si>
  <si>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</si>
  <si>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</si>
  <si>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</si>
  <si>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</si>
  <si>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</si>
  <si>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</si>
  <si>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</si>
  <si>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</si>
  <si>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</si>
  <si>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</si>
  <si>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</si>
  <si>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</si>
  <si>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</si>
  <si>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</si>
  <si>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</si>
  <si>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</si>
  <si>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</si>
  <si>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</si>
  <si>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</si>
  <si>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</si>
  <si>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</si>
  <si>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</si>
  <si>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</si>
  <si>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</si>
  <si>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</si>
  <si>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</si>
  <si>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</si>
  <si>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</si>
  <si>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</si>
  <si>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</si>
  <si>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</si>
  <si>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</si>
  <si>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</si>
  <si>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</si>
  <si>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</si>
  <si>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</si>
  <si>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</si>
  <si>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</si>
  <si>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</si>
  <si>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</si>
  <si>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</si>
  <si>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</si>
  <si>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</si>
  <si>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</si>
  <si>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</si>
  <si>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</si>
  <si>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</si>
  <si>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</si>
  <si>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</si>
  <si>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</si>
  <si>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</si>
  <si>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</si>
  <si>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</si>
  <si>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</si>
  <si>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</si>
  <si>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</si>
  <si>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</si>
  <si>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</si>
  <si>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</si>
  <si>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</si>
  <si>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</si>
  <si>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</si>
  <si>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</si>
  <si>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</si>
  <si>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</si>
  <si>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</si>
  <si>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</si>
  <si>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</si>
  <si>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</si>
  <si>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</si>
  <si>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</si>
  <si>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</si>
  <si>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</si>
  <si>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</si>
  <si>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</si>
  <si>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</si>
  <si>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</si>
  <si>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</si>
  <si>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</si>
  <si>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</si>
  <si>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</si>
  <si>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</si>
  <si>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</si>
  <si>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</si>
  <si>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</si>
  <si>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</si>
  <si>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</si>
  <si>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</si>
  <si>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</si>
  <si>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</si>
  <si>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</si>
  <si>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</si>
  <si>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</si>
  <si>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</si>
  <si>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</si>
  <si>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</si>
  <si>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</si>
  <si>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</si>
  <si>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</si>
  <si>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</si>
  <si>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</si>
  <si>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</si>
  <si>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</si>
  <si>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</si>
  <si>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</si>
  <si>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</si>
  <si>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</si>
  <si>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</si>
  <si>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</si>
  <si>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</si>
  <si>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</si>
  <si>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</si>
  <si>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</si>
  <si>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</si>
  <si>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</si>
  <si>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</si>
  <si>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</si>
  <si>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</si>
  <si>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</si>
  <si>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</si>
  <si>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</si>
  <si>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</si>
  <si>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</si>
  <si>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</si>
  <si>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</si>
  <si>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</si>
  <si>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</si>
  <si>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</si>
  <si>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</si>
  <si>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</si>
  <si>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</si>
  <si>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</si>
  <si>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</si>
  <si>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</si>
  <si>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</si>
  <si>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</si>
  <si>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</si>
  <si>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</si>
  <si>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</si>
  <si>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</si>
  <si>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</si>
  <si>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</si>
  <si>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</si>
  <si>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</si>
  <si>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</si>
  <si>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</si>
  <si>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</si>
  <si>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</si>
  <si>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</si>
  <si>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</si>
  <si>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</si>
  <si>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</si>
  <si>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</si>
  <si>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</si>
  <si>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</si>
  <si>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</si>
  <si>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</si>
  <si>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</si>
  <si>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</si>
  <si>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</si>
  <si>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</si>
  <si>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</si>
  <si>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</si>
  <si>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</si>
  <si>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</si>
  <si>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</si>
  <si>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</si>
  <si>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</si>
  <si>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</si>
  <si>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</si>
  <si>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</si>
  <si>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</si>
  <si>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</si>
  <si>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</si>
  <si>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</si>
  <si>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</si>
  <si>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</si>
  <si>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</si>
  <si>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</si>
  <si>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</si>
  <si>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</si>
  <si>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</si>
  <si>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</si>
  <si>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</si>
  <si>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</si>
  <si>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</si>
  <si>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</si>
  <si>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</si>
  <si>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</si>
  <si>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</si>
  <si>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</si>
  <si>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</si>
  <si>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</si>
  <si>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</si>
  <si>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</si>
  <si>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</si>
  <si>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</si>
  <si>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</si>
  <si>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</si>
  <si>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</si>
  <si>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</si>
  <si>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</si>
  <si>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</si>
  <si>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</si>
  <si>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</si>
  <si>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</si>
  <si>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</si>
  <si>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</si>
  <si>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</si>
  <si>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</si>
  <si>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</si>
  <si>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</si>
  <si>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</si>
  <si>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</si>
  <si>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</si>
  <si>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</si>
  <si>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</si>
  <si>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</si>
  <si>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</si>
  <si>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</si>
  <si>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</si>
  <si>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</si>
  <si>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</si>
  <si>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</si>
  <si>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</si>
  <si>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</si>
  <si>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</si>
  <si>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</si>
  <si>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</si>
  <si>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</si>
  <si>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</si>
  <si>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</si>
  <si>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</si>
  <si>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</si>
  <si>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</si>
  <si>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</si>
  <si>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</si>
  <si>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</si>
  <si>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</si>
  <si>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</si>
  <si>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</si>
  <si>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</si>
  <si>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</si>
  <si>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</si>
  <si>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</si>
  <si>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</si>
  <si>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</si>
  <si>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</si>
  <si>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</si>
  <si>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</si>
  <si>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</si>
  <si>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</si>
  <si>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</si>
  <si>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</si>
  <si>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</si>
  <si>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</si>
  <si>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</si>
  <si>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</si>
  <si>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</si>
  <si>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</si>
  <si>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</si>
  <si>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</si>
  <si>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</si>
  <si>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</si>
  <si>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</si>
  <si>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</si>
  <si>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</si>
  <si>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</si>
  <si>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</si>
  <si>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</si>
  <si>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</si>
  <si>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</si>
  <si>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</si>
  <si>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</si>
  <si>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</si>
  <si>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</si>
  <si>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</si>
  <si>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</si>
  <si>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</si>
  <si>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</si>
  <si>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</si>
  <si>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</si>
  <si>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</si>
  <si>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</si>
  <si>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</si>
  <si>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</si>
  <si>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</si>
  <si>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</si>
  <si>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</si>
  <si>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</si>
  <si>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</si>
  <si>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</si>
  <si>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</si>
  <si>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</si>
  <si>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</si>
  <si>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</si>
  <si>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</si>
  <si>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</si>
  <si>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</si>
  <si>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</si>
  <si>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</si>
  <si>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</si>
  <si>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</si>
  <si>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</si>
  <si>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</si>
  <si>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</si>
  <si>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</si>
  <si>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</si>
  <si>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</si>
  <si>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</si>
  <si>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</si>
  <si>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</si>
  <si>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</si>
  <si>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</si>
  <si>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</si>
  <si>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</si>
  <si>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</si>
  <si>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</si>
  <si>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</si>
  <si>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</si>
  <si>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</si>
  <si>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</si>
  <si>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</si>
  <si>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</si>
  <si>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</si>
  <si>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</si>
  <si>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</si>
  <si>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</si>
  <si>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</si>
  <si>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</si>
  <si>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</si>
  <si>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</si>
  <si>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</si>
  <si>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</si>
  <si>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</si>
  <si>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</si>
  <si>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</si>
  <si>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</si>
  <si>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</si>
  <si>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</si>
  <si>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</si>
  <si>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</si>
  <si>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</si>
  <si>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</si>
  <si>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</si>
  <si>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</si>
  <si>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</si>
  <si>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</si>
  <si>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</si>
  <si>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</si>
  <si>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</si>
  <si>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</si>
  <si>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</si>
  <si>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</si>
  <si>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</si>
  <si>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</si>
  <si>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</si>
  <si>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</si>
  <si>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</si>
  <si>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</si>
  <si>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</si>
  <si>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</si>
  <si>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</si>
  <si>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</si>
  <si>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</si>
  <si>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</si>
  <si>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</si>
  <si>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</si>
  <si>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</si>
  <si>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</si>
  <si>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</si>
  <si>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</si>
  <si>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</si>
  <si>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</si>
  <si>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</si>
  <si>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</si>
  <si>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</si>
  <si>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</si>
  <si>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</si>
  <si>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</si>
  <si>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</si>
  <si>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</si>
  <si>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</si>
  <si>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</si>
  <si>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</si>
  <si>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</si>
  <si>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</si>
  <si>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</si>
  <si>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</si>
  <si>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</si>
  <si>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</si>
  <si>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</si>
  <si>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</si>
  <si>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</si>
  <si>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</si>
  <si>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</si>
  <si>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</si>
  <si>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</si>
  <si>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</si>
  <si>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</si>
  <si>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</si>
  <si>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</si>
  <si>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自然人</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</si>
  <si>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</si>
  <si>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</si>
  <si>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</si>
  <si>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</si>
  <si>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</si>
  <si>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</si>
  <si>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</si>
  <si>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</si>
  <si>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</si>
  <si>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</si>
  <si>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</si>
  <si>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</si>
  <si>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</si>
  <si>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</si>
  <si>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</si>
  <si>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</si>
  <si>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</si>
  <si>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北京市东城区</t>
  </si>
  <si>
    <t>工人体育场北路</t>
  </si>
  <si>
    <t>郑宇</t>
  </si>
  <si>
    <t>房改房（成本价）</t>
  </si>
  <si>
    <t>住宅</t>
  </si>
  <si>
    <t>16（实地查勘）</t>
  </si>
  <si>
    <t>姚化顺</t>
  </si>
  <si>
    <t>东中街40号1号楼9层909</t>
  </si>
  <si>
    <t>元嘉国际公寓</t>
  </si>
  <si>
    <t>商品房</t>
  </si>
  <si>
    <t>公寓</t>
  </si>
  <si>
    <t>瑞士公寓</t>
  </si>
  <si>
    <t>16（-04）</t>
  </si>
  <si>
    <t>地上</t>
  </si>
  <si>
    <t>是</t>
  </si>
  <si>
    <t>住宅</t>
    <phoneticPr fontId="7" type="noConversion"/>
  </si>
  <si>
    <t>住宅</t>
    <phoneticPr fontId="3" type="noConversion"/>
  </si>
  <si>
    <t>成新度</t>
  </si>
  <si>
    <t>收益法 (元)</t>
  </si>
  <si>
    <t>利息：取LPR加浮动点数</t>
  </si>
  <si>
    <t>押一</t>
  </si>
  <si>
    <t>钢混</t>
  </si>
  <si>
    <t>非生产用房</t>
  </si>
  <si>
    <t>否</t>
  </si>
  <si>
    <t>比较法</t>
  </si>
  <si>
    <t>正常</t>
  </si>
  <si>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</si>
  <si>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</si>
  <si>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</si>
  <si>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</si>
  <si>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</si>
  <si>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</si>
  <si>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</si>
  <si>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</si>
  <si>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</si>
  <si>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</si>
  <si>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</si>
  <si>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高速路</t>
  </si>
  <si>
    <t>快速路</t>
  </si>
  <si>
    <t>城市次干道</t>
    <phoneticPr fontId="3" type="noConversion"/>
  </si>
  <si>
    <t>支路</t>
  </si>
  <si>
    <t>楼层</t>
    <phoneticPr fontId="24" type="noConversion"/>
  </si>
  <si>
    <t>道路</t>
    <phoneticPr fontId="24" type="noConversion"/>
  </si>
  <si>
    <t>多层板楼</t>
  </si>
  <si>
    <t>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</si>
  <si>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</si>
  <si>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</si>
  <si>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</si>
  <si>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</si>
  <si>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</si>
  <si>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</si>
  <si>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</si>
  <si>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</si>
  <si>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</si>
  <si>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简单装修</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</si>
  <si>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</si>
  <si>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</si>
  <si>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</si>
  <si>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</si>
  <si>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</si>
  <si>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</si>
  <si>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</si>
  <si>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</si>
  <si>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</si>
  <si>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</si>
  <si>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</si>
  <si>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</si>
  <si>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精装修</t>
    <phoneticPr fontId="3" type="noConversion"/>
  </si>
  <si>
    <t>普通装修</t>
    <phoneticPr fontId="3" type="noConversion"/>
  </si>
  <si>
    <t>简单装修</t>
    <phoneticPr fontId="3" type="noConversion"/>
  </si>
  <si>
    <t>毛坯</t>
    <phoneticPr fontId="3" type="noConversion"/>
  </si>
  <si>
    <t>好</t>
  </si>
  <si>
    <t>北</t>
  </si>
  <si>
    <t>城市主干道</t>
    <phoneticPr fontId="24" type="noConversion"/>
  </si>
  <si>
    <t>城市主干道</t>
    <phoneticPr fontId="24" type="noConversion"/>
  </si>
  <si>
    <t>城市主干道</t>
    <phoneticPr fontId="24" type="noConversion"/>
  </si>
  <si>
    <t>城市主干道</t>
    <phoneticPr fontId="24" type="noConversion"/>
  </si>
  <si>
    <t>西北</t>
  </si>
  <si>
    <t>西北</t>
    <phoneticPr fontId="134" type="noConversion"/>
  </si>
  <si>
    <t>普通装修</t>
  </si>
  <si>
    <t>普通装修</t>
    <phoneticPr fontId="134" type="noConversion"/>
  </si>
  <si>
    <t>3室1厅1卫1厨1储</t>
    <phoneticPr fontId="134" type="noConversion"/>
  </si>
  <si>
    <t>工人体育场北路38号楼10-1号</t>
    <phoneticPr fontId="134" type="noConversion"/>
  </si>
  <si>
    <t>北</t>
    <phoneticPr fontId="134" type="noConversion"/>
  </si>
  <si>
    <t>2室1厅1卫1厨无储</t>
    <phoneticPr fontId="134" type="noConversion"/>
  </si>
  <si>
    <t>1室1厅1卫1厨无储</t>
    <phoneticPr fontId="134" type="noConversion"/>
  </si>
  <si>
    <t>北</t>
    <phoneticPr fontId="134" type="noConversion"/>
  </si>
  <si>
    <t>精装修</t>
    <phoneticPr fontId="134" type="noConversion"/>
  </si>
  <si>
    <t>高层板楼</t>
    <phoneticPr fontId="134" type="noConversion"/>
  </si>
  <si>
    <t>塔楼</t>
    <phoneticPr fontId="134" type="noConversion"/>
  </si>
  <si>
    <t>塔楼</t>
    <phoneticPr fontId="134" type="noConversion"/>
  </si>
  <si>
    <t>五通</t>
    <phoneticPr fontId="134" type="noConversion"/>
  </si>
  <si>
    <t>无热和燃气</t>
    <phoneticPr fontId="134" type="noConversion"/>
  </si>
  <si>
    <t>六通</t>
    <phoneticPr fontId="134" type="noConversion"/>
  </si>
  <si>
    <t>集中供暖</t>
    <phoneticPr fontId="134" type="noConversion"/>
  </si>
  <si>
    <r>
      <t>13/16</t>
    </r>
    <r>
      <rPr>
        <sz val="11"/>
        <color indexed="8"/>
        <rFont val="宋体"/>
        <family val="3"/>
        <charset val="134"/>
      </rPr>
      <t>（高楼层）</t>
    </r>
    <phoneticPr fontId="24" type="noConversion"/>
  </si>
  <si>
    <r>
      <t>3/16</t>
    </r>
    <r>
      <rPr>
        <sz val="11"/>
        <color indexed="8"/>
        <rFont val="宋体"/>
        <family val="3"/>
        <charset val="134"/>
      </rPr>
      <t>（低楼层）</t>
    </r>
    <phoneticPr fontId="24" type="noConversion"/>
  </si>
  <si>
    <t>公寓</t>
    <phoneticPr fontId="24" type="noConversion"/>
  </si>
  <si>
    <t>较好</t>
  </si>
  <si>
    <t>毛坯</t>
  </si>
  <si>
    <t>平层</t>
  </si>
  <si>
    <t>一般</t>
  </si>
  <si>
    <t>单套模式</t>
  </si>
  <si>
    <t>售价</t>
  </si>
  <si>
    <r>
      <t>10/16</t>
    </r>
    <r>
      <rPr>
        <sz val="11"/>
        <color indexed="8"/>
        <rFont val="宋体"/>
        <family val="3"/>
        <charset val="134"/>
      </rPr>
      <t>（中楼层）</t>
    </r>
    <phoneticPr fontId="24" type="noConversion"/>
  </si>
  <si>
    <t>比较法-住宅</t>
  </si>
  <si>
    <t>北京市朝阳区工人体育场北路8号院5号楼15层 15-1803公寓用途房地产</t>
    <phoneticPr fontId="134" type="noConversion"/>
  </si>
  <si>
    <t>三里屯SOHO</t>
    <phoneticPr fontId="134" type="noConversion"/>
  </si>
  <si>
    <t>建筑面积</t>
    <phoneticPr fontId="134" type="noConversion"/>
  </si>
  <si>
    <t>评估总价</t>
    <phoneticPr fontId="134" type="noConversion"/>
  </si>
  <si>
    <t>评估单价</t>
    <phoneticPr fontId="134" type="noConversion"/>
  </si>
  <si>
    <t>成交总价</t>
    <phoneticPr fontId="134" type="noConversion"/>
  </si>
  <si>
    <t>成交单价</t>
    <phoneticPr fontId="134" type="noConversion"/>
  </si>
  <si>
    <t>成交时间</t>
    <phoneticPr fontId="134" type="noConversion"/>
  </si>
  <si>
    <t>https://sf-item.taobao.com/sf_item/841949898167.htm?spm=a213w.7398504.paiList.1.11e3112bUVQElt&amp;track_id=e3f7bf62-4c89-4225-90e6-ab83c8db66fc</t>
    <phoneticPr fontId="134" type="noConversion"/>
  </si>
  <si>
    <t xml:space="preserve"> 北京市朝阳区工人体育场北路13号院2号楼22层3单元2503房及相应土地使用权</t>
    <phoneticPr fontId="134" type="noConversion"/>
  </si>
  <si>
    <t>世茂广场</t>
    <phoneticPr fontId="134" type="noConversion"/>
  </si>
  <si>
    <t>公寓</t>
    <phoneticPr fontId="134" type="noConversion"/>
  </si>
  <si>
    <t>酒店</t>
    <phoneticPr fontId="134" type="noConversion"/>
  </si>
  <si>
    <t>https://sf-item.taobao.com/sf_item/831484041680.htm?spm=a213w.7398504.paiList.3.11e3112bUVQElt&amp;track_id=e3f7bf62-4c89-4225-90e6-ab83c8db66fc</t>
    <phoneticPr fontId="134" type="noConversion"/>
  </si>
  <si>
    <t>北京市东城区工人体育场北路66号4层03单元502不动产</t>
    <phoneticPr fontId="134" type="noConversion"/>
  </si>
  <si>
    <t>瑞士公寓</t>
    <phoneticPr fontId="134" type="noConversion"/>
  </si>
  <si>
    <t>https://paimai.jd.com/307337076</t>
    <phoneticPr fontId="134" type="noConversion"/>
  </si>
  <si>
    <t>三居室</t>
    <phoneticPr fontId="24" type="noConversion"/>
  </si>
  <si>
    <t>二居室</t>
    <phoneticPr fontId="24" type="noConversion"/>
  </si>
  <si>
    <t>一居室</t>
    <phoneticPr fontId="24" type="noConversion"/>
  </si>
  <si>
    <t>工人体育场北路66号13层03单元1603</t>
  </si>
  <si>
    <t>工人体育场北路66号13层03单元1603</t>
    <phoneticPr fontId="134" type="noConversion"/>
  </si>
  <si>
    <t>序号</t>
  </si>
  <si>
    <t>   </t>
  </si>
  <si>
    <t>协议号</t>
  </si>
  <si>
    <t>委托方</t>
  </si>
  <si>
    <t>  </t>
  </si>
  <si>
    <t>2025-3-02816-RB</t>
  </si>
  <si>
    <t>闫慧颖、王纯亮</t>
  </si>
  <si>
    <t>北京市朝阳区</t>
  </si>
  <si>
    <t>工人体育场北路21号楼20层2单元2203</t>
  </si>
  <si>
    <t>永利国际中心(屯三里)</t>
  </si>
  <si>
    <t>裴筝</t>
  </si>
  <si>
    <t>21（-4）</t>
  </si>
  <si>
    <t>2025-3-01248-RB</t>
  </si>
  <si>
    <t>中国光大银行股份有限公司北京分行</t>
  </si>
  <si>
    <t>工人体育场北路8号院5号楼19层16-2201</t>
  </si>
  <si>
    <t>三里屯SOHO</t>
  </si>
  <si>
    <t>2024-3-55909-RB</t>
  </si>
  <si>
    <t>王静</t>
  </si>
  <si>
    <t>工人体育场东路5号楼3层4门9号</t>
  </si>
  <si>
    <t>工人体育场东路</t>
  </si>
  <si>
    <t>2024-3-53745-RB</t>
  </si>
  <si>
    <t>张奂珩</t>
  </si>
  <si>
    <t>2024-3-52195-RB</t>
  </si>
  <si>
    <t>工人体育场北路8号院4号楼11层11-1202</t>
  </si>
  <si>
    <t>2024-3-43601-RB</t>
  </si>
  <si>
    <t>工人体育场西路18号1号楼26层30A</t>
  </si>
  <si>
    <t>光彩国际公寓</t>
  </si>
  <si>
    <t>27（-03）</t>
  </si>
  <si>
    <t>京市朝私国用（2006出）第4200019号</t>
  </si>
  <si>
    <t>2024-3-36976-RB</t>
  </si>
  <si>
    <t>董庆翔</t>
  </si>
  <si>
    <t>工人体育场西路3号10层II段1002</t>
  </si>
  <si>
    <t>工体3号</t>
  </si>
  <si>
    <t>酒店式公寓</t>
  </si>
  <si>
    <t>21（-2）</t>
  </si>
  <si>
    <t>2024-3-29288-RB</t>
  </si>
  <si>
    <t>陈雁铭</t>
  </si>
  <si>
    <t>工人体育场北路8号院5号楼21层15-2505</t>
  </si>
  <si>
    <t>2024-3-24093-RB</t>
  </si>
  <si>
    <t>丁梦如</t>
  </si>
  <si>
    <t>工人体育场东路8号院2号楼4层6单元402</t>
  </si>
  <si>
    <t>康堡花园</t>
  </si>
  <si>
    <t>2024-3-22695-RB</t>
  </si>
  <si>
    <t>蔚妍妍</t>
  </si>
  <si>
    <t>工人体育场西路5号楼4层4门402号</t>
  </si>
  <si>
    <t>工人体育场西路</t>
  </si>
  <si>
    <t>2024-3-20790-RB</t>
  </si>
  <si>
    <t>邓秋红</t>
  </si>
  <si>
    <t>工人体育场北路8号院4号楼18层11-2105</t>
  </si>
  <si>
    <t>2024-3-20632-RB</t>
  </si>
  <si>
    <t>中信银行北京分行</t>
  </si>
  <si>
    <t>工人体育场西路3号6层II段613</t>
  </si>
  <si>
    <t>21（-02）</t>
  </si>
  <si>
    <t>2024-3-19564-RB</t>
  </si>
  <si>
    <t>刘春悦</t>
  </si>
  <si>
    <t>工人体育场西路18号4号楼13层16B</t>
  </si>
  <si>
    <t>28（-03）</t>
  </si>
  <si>
    <t>2024-3-16445-RA</t>
  </si>
  <si>
    <t>中国工商银行北京市分行</t>
  </si>
  <si>
    <t>工人体育场北路8号院5号楼21层17-2505</t>
  </si>
  <si>
    <t>张国威</t>
  </si>
  <si>
    <t>2024-3-12736-RB</t>
  </si>
  <si>
    <t>邓亚莉</t>
  </si>
  <si>
    <t>工人体育场北路38号楼13层13-2号</t>
  </si>
  <si>
    <t>2024-3-08517-RB</t>
  </si>
  <si>
    <t>高岩</t>
  </si>
  <si>
    <t>工人体育场北路38号楼10-1号</t>
  </si>
  <si>
    <t>2024-3-06976-RB</t>
  </si>
  <si>
    <t>吕维光</t>
  </si>
  <si>
    <t>工人体育场西路3号8层II段818</t>
  </si>
  <si>
    <t>2024-3-05971-RA</t>
  </si>
  <si>
    <t>招商银行北京分行</t>
  </si>
  <si>
    <t>工人体育场东路8号院1号楼2单元10层1005号</t>
  </si>
  <si>
    <t>李维琛</t>
  </si>
  <si>
    <t>2024-3-05628-RA</t>
  </si>
  <si>
    <t>国民银行（中国）有限公司北京分行</t>
  </si>
  <si>
    <t>工人体育场北路66号8层02单元903</t>
  </si>
  <si>
    <t>2024-3-05438-RB</t>
  </si>
  <si>
    <t>康燚</t>
  </si>
  <si>
    <t>工人体育场北路8号院5号楼20层16-2306</t>
  </si>
  <si>
    <t>2024-3-05328-RB</t>
  </si>
  <si>
    <t>孔鑫</t>
  </si>
  <si>
    <t>工人体育场东路8号院1号楼11层2单元1103</t>
  </si>
  <si>
    <t>22（-2）</t>
  </si>
  <si>
    <t>2025-3-04341-RB</t>
  </si>
  <si>
    <t>新中西街10号楼6层5门601号</t>
  </si>
  <si>
    <t>新中西街</t>
  </si>
  <si>
    <t>2025-3-02811-RB</t>
  </si>
  <si>
    <t>刘立新</t>
  </si>
  <si>
    <t>新中西街12号楼5层1门503号</t>
  </si>
  <si>
    <t>2024-3-49903-RB</t>
  </si>
  <si>
    <t>傅玉佩</t>
  </si>
  <si>
    <t>新中西街3号楼2层3单元202号</t>
  </si>
  <si>
    <t>2024-3-49854-RB</t>
  </si>
  <si>
    <t>史亚钊</t>
  </si>
  <si>
    <t>新中西街8号楼3层东单元309号</t>
  </si>
  <si>
    <t>2024-3-47319-RB</t>
  </si>
  <si>
    <t>董师倢</t>
  </si>
  <si>
    <t>新中西街16号楼2层4单元201号</t>
  </si>
  <si>
    <t>2024-3-47005-RB</t>
  </si>
  <si>
    <t>张研</t>
  </si>
  <si>
    <t>新中西街8号楼1层西109号</t>
  </si>
  <si>
    <t>2024-3-39590-RB</t>
  </si>
  <si>
    <t>兰雪丽</t>
  </si>
  <si>
    <t>新中西街16号楼3层7单元301号</t>
  </si>
  <si>
    <t>2024-3-32706-RB</t>
  </si>
  <si>
    <t>任玲</t>
  </si>
  <si>
    <t>新中西街14号楼2门601号</t>
  </si>
  <si>
    <t>2024-3-28319-RB</t>
  </si>
  <si>
    <t>刘桂莹</t>
  </si>
  <si>
    <t>新中西街8号楼2层东门210号</t>
  </si>
  <si>
    <t>2024-3-27326-RB</t>
  </si>
  <si>
    <t>徐燕</t>
  </si>
  <si>
    <t>新中西街8号楼4层西门404号</t>
  </si>
  <si>
    <t>2024-3-15354-RB</t>
  </si>
  <si>
    <t>国辉</t>
  </si>
  <si>
    <t>新中西街12号楼4层1单元401号</t>
  </si>
  <si>
    <t>2024-3-42992-RB</t>
  </si>
  <si>
    <t>潘宇辰</t>
  </si>
  <si>
    <t>新中西里</t>
  </si>
  <si>
    <t>2024-3-41144-RB</t>
  </si>
  <si>
    <t>任伟杰</t>
  </si>
  <si>
    <t>新中西里23号楼6层4单元603号</t>
  </si>
  <si>
    <t>2024-3-37085-RB</t>
  </si>
  <si>
    <t>宓永刚</t>
  </si>
  <si>
    <t>新中西里16号楼2单元202号</t>
  </si>
  <si>
    <t>南北</t>
  </si>
  <si>
    <r>
      <t>2/5</t>
    </r>
    <r>
      <rPr>
        <sz val="11"/>
        <color indexed="8"/>
        <rFont val="宋体"/>
        <family val="3"/>
        <charset val="134"/>
      </rPr>
      <t>（低楼层）</t>
    </r>
    <phoneticPr fontId="24" type="noConversion"/>
  </si>
  <si>
    <r>
      <t>2/5</t>
    </r>
    <r>
      <rPr>
        <sz val="11"/>
        <color indexed="8"/>
        <rFont val="宋体"/>
        <family val="3"/>
        <charset val="134"/>
      </rPr>
      <t>（低楼层）</t>
    </r>
    <phoneticPr fontId="24" type="noConversion"/>
  </si>
  <si>
    <t>工人体育场北路38号楼13层13-2号</t>
    <phoneticPr fontId="134" type="noConversion"/>
  </si>
  <si>
    <t>新中西里16号楼2层4单元201号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</si>
</sst>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
      <sz val="11"/>
      <color rgb="FFFF0000"/>
      <name val="宋体"/>
      <family val="3"/>
      <charset val="134"/>
      <scheme val="minor"/>
    </font>
    <font>
      <sz val="7"/>
      <color rgb="FFFF0000"/>
      <name val="Microsoft YaHei"/>
      <family val="2"/>
      <charset val="134"/>
    </font>
    <font>
      <sz val="11"/>
      <color rgb="FF000000"/>
      <name val="宋体"/>
      <family val="3"/>
      <charset val="134"/>
    </font>
    <font>
      <sz val="11"/>
      <name val="楷体_GB2312"/>
      <family val="3"/>
      <charset val="134"/>
    </font>
    <font>
      <u/>
      <sz val="11"/>
      <color theme="10"/>
      <name val="宋体"/>
      <family val="3"/>
      <charset val="134"/>
      <scheme val="minor"/>
    </font>
    <font>
      <sz val="10"/>
      <color rgb="FF333333"/>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FDFDC0"/>
        <bgColor indexed="64"/>
      </patternFill>
    </fill>
    <fill>
      <patternFill patternType="solid">
        <fgColor rgb="FFEAF6FC"/>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8" fillId="0" borderId="0" applyNumberFormat="0" applyFill="0" applyBorder="0" applyAlignment="0" applyProtection="0">
      <alignment vertical="center"/>
    </xf>
  </cellStyleXfs>
  <cellXfs count="38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272" fillId="22" borderId="176" xfId="0" applyFont="1" applyFill="1" applyBorder="1" applyAlignment="1">
      <alignment horizontal="center" vertical="center" wrapText="1"/>
    </xf>
    <xf numFmtId="0" fontId="273" fillId="23" borderId="176" xfId="0" applyFont="1" applyFill="1" applyBorder="1" applyAlignment="1">
      <alignment horizontal="center" vertical="center" wrapText="1"/>
    </xf>
    <xf numFmtId="31" fontId="273" fillId="23" borderId="176" xfId="0" applyNumberFormat="1" applyFont="1" applyFill="1" applyBorder="1" applyAlignment="1">
      <alignment horizontal="center" vertical="center" wrapText="1"/>
    </xf>
    <xf numFmtId="177" fontId="128" fillId="2" borderId="5" xfId="1" applyNumberFormat="1" applyFont="1" applyFill="1" applyBorder="1" applyAlignment="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82" fontId="47" fillId="12" borderId="0" xfId="0" applyNumberFormat="1" applyFont="1" applyFill="1" applyAlignment="1" applyProtection="1">
      <alignment vertical="center"/>
      <protection locked="0"/>
    </xf>
    <xf numFmtId="0" fontId="275" fillId="23" borderId="176" xfId="0" applyFont="1" applyFill="1" applyBorder="1" applyAlignment="1">
      <alignment horizontal="center" vertical="center" wrapText="1"/>
    </xf>
    <xf numFmtId="31" fontId="275" fillId="23" borderId="176" xfId="0" applyNumberFormat="1" applyFont="1" applyFill="1" applyBorder="1" applyAlignment="1">
      <alignment horizontal="center" vertical="center" wrapText="1"/>
    </xf>
    <xf numFmtId="0" fontId="274"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77" fillId="0" borderId="9" xfId="0" applyFont="1" applyBorder="1" applyAlignment="1" applyProtection="1">
      <alignment horizontal="center" vertical="center" wrapText="1"/>
      <protection locked="0"/>
    </xf>
    <xf numFmtId="0" fontId="277"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14" fontId="0" fillId="0" borderId="0" xfId="0" applyNumberFormat="1">
      <alignment vertical="center"/>
    </xf>
    <xf numFmtId="0" fontId="278" fillId="0" borderId="0" xfId="19">
      <alignment vertical="center"/>
    </xf>
    <xf numFmtId="0" fontId="128"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3" fillId="12" borderId="177" xfId="0" applyFont="1" applyFill="1" applyBorder="1" applyAlignment="1">
      <alignment horizontal="center" vertical="center" wrapText="1"/>
    </xf>
    <xf numFmtId="0" fontId="279" fillId="12" borderId="177" xfId="0" applyFont="1" applyFill="1" applyBorder="1" applyAlignment="1">
      <alignment horizontal="center" vertical="center" wrapText="1"/>
    </xf>
    <xf numFmtId="31" fontId="273" fillId="12" borderId="177" xfId="0" applyNumberFormat="1" applyFont="1" applyFill="1" applyBorder="1" applyAlignment="1">
      <alignment horizontal="center" vertical="center" wrapText="1"/>
    </xf>
    <xf numFmtId="0" fontId="273" fillId="22" borderId="177" xfId="0" applyFont="1" applyFill="1" applyBorder="1" applyAlignment="1">
      <alignment horizontal="center" vertical="center" wrapText="1"/>
    </xf>
    <xf numFmtId="0" fontId="279" fillId="22" borderId="177" xfId="0" applyFont="1" applyFill="1" applyBorder="1" applyAlignment="1">
      <alignment horizontal="center" vertical="center" wrapText="1"/>
    </xf>
    <xf numFmtId="31" fontId="273" fillId="22" borderId="177" xfId="0" applyNumberFormat="1" applyFont="1" applyFill="1" applyBorder="1" applyAlignment="1">
      <alignment horizontal="center" vertical="center" wrapText="1"/>
    </xf>
    <xf numFmtId="0" fontId="273" fillId="24" borderId="177" xfId="0" applyFont="1" applyFill="1" applyBorder="1" applyAlignment="1">
      <alignment horizontal="center" vertical="center" wrapText="1"/>
    </xf>
    <xf numFmtId="0" fontId="279" fillId="24" borderId="177" xfId="0" applyFont="1" applyFill="1" applyBorder="1" applyAlignment="1">
      <alignment horizontal="center" vertical="center" wrapText="1"/>
    </xf>
    <xf numFmtId="31" fontId="273" fillId="24" borderId="177" xfId="0" applyNumberFormat="1" applyFont="1" applyFill="1" applyBorder="1" applyAlignment="1">
      <alignment horizontal="center" vertical="center" wrapText="1"/>
    </xf>
    <xf numFmtId="0" fontId="272" fillId="23" borderId="178" xfId="0" applyFont="1" applyFill="1" applyBorder="1" applyAlignment="1">
      <alignment horizontal="center" vertical="center" wrapText="1"/>
    </xf>
    <xf numFmtId="0" fontId="273" fillId="12" borderId="176" xfId="0" applyFont="1" applyFill="1" applyBorder="1" applyAlignment="1">
      <alignment horizontal="center" vertical="center" wrapText="1"/>
    </xf>
    <xf numFmtId="0" fontId="279" fillId="12" borderId="176" xfId="0" applyFont="1" applyFill="1" applyBorder="1" applyAlignment="1">
      <alignment horizontal="center" vertical="center" wrapText="1"/>
    </xf>
    <xf numFmtId="31" fontId="273" fillId="12" borderId="176" xfId="0" applyNumberFormat="1" applyFont="1" applyFill="1" applyBorder="1" applyAlignment="1">
      <alignment horizontal="center" vertical="center" wrapText="1"/>
    </xf>
    <xf numFmtId="0" fontId="273" fillId="5" borderId="176" xfId="0" applyFont="1" applyFill="1" applyBorder="1" applyAlignment="1">
      <alignment horizontal="center" vertical="center" wrapText="1"/>
    </xf>
    <xf numFmtId="0" fontId="279" fillId="5" borderId="176" xfId="0" applyFont="1" applyFill="1" applyBorder="1" applyAlignment="1">
      <alignment horizontal="center" vertical="center" wrapText="1"/>
    </xf>
    <xf numFmtId="31" fontId="273" fillId="5" borderId="176" xfId="0" applyNumberFormat="1" applyFont="1" applyFill="1" applyBorder="1" applyAlignment="1">
      <alignment horizontal="center" vertical="center" wrapText="1"/>
    </xf>
    <xf numFmtId="0" fontId="0" fillId="5" borderId="0" xfId="0" applyFill="1">
      <alignment vertical="center"/>
    </xf>
    <xf numFmtId="0" fontId="273" fillId="5" borderId="177" xfId="0" applyFont="1" applyFill="1" applyBorder="1" applyAlignment="1">
      <alignment horizontal="center" vertical="center" wrapText="1"/>
    </xf>
    <xf numFmtId="0" fontId="279" fillId="5" borderId="177" xfId="0" applyFont="1" applyFill="1" applyBorder="1" applyAlignment="1">
      <alignment horizontal="center" vertical="center" wrapText="1"/>
    </xf>
    <xf numFmtId="31" fontId="273" fillId="5" borderId="177"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436936</xdr:colOff>
      <xdr:row>29</xdr:row>
      <xdr:rowOff>145612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42536" cy="5449132"/>
        </a:xfrm>
        <a:prstGeom prst="rect">
          <a:avLst/>
        </a:prstGeom>
      </xdr:spPr>
    </xdr:pic>
    <xdr:clientData/>
  </xdr:twoCellAnchor>
  <xdr:twoCellAnchor editAs="oneCell">
    <xdr:from>
      <xdr:col>0</xdr:col>
      <xdr:colOff>0</xdr:colOff>
      <xdr:row>29</xdr:row>
      <xdr:rowOff>75507</xdr:rowOff>
    </xdr:from>
    <xdr:to>
      <xdr:col>12</xdr:col>
      <xdr:colOff>410118</xdr:colOff>
      <xdr:row>37</xdr:row>
      <xdr:rowOff>115947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79027"/>
          <a:ext cx="7725318" cy="1465380"/>
        </a:xfrm>
        <a:prstGeom prst="rect">
          <a:avLst/>
        </a:prstGeom>
      </xdr:spPr>
    </xdr:pic>
    <xdr:clientData/>
  </xdr:twoCellAnchor>
  <xdr:twoCellAnchor editAs="oneCell">
    <xdr:from>
      <xdr:col>0</xdr:col>
      <xdr:colOff>0</xdr:colOff>
      <xdr:row>37</xdr:row>
      <xdr:rowOff>167476</xdr:rowOff>
    </xdr:from>
    <xdr:to>
      <xdr:col>14</xdr:col>
      <xdr:colOff>130058</xdr:colOff>
      <xdr:row>47</xdr:row>
      <xdr:rowOff>49256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895936"/>
          <a:ext cx="8664458" cy="1710580"/>
        </a:xfrm>
        <a:prstGeom prst="rect">
          <a:avLst/>
        </a:prstGeom>
      </xdr:spPr>
    </xdr:pic>
    <xdr:clientData/>
  </xdr:twoCellAnchor>
  <xdr:twoCellAnchor editAs="oneCell">
    <xdr:from>
      <xdr:col>0</xdr:col>
      <xdr:colOff>0</xdr:colOff>
      <xdr:row>47</xdr:row>
      <xdr:rowOff>171736</xdr:rowOff>
    </xdr:from>
    <xdr:to>
      <xdr:col>13</xdr:col>
      <xdr:colOff>63348</xdr:colOff>
      <xdr:row>54</xdr:row>
      <xdr:rowOff>142651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28996"/>
          <a:ext cx="7988148" cy="1251075"/>
        </a:xfrm>
        <a:prstGeom prst="rect">
          <a:avLst/>
        </a:prstGeom>
      </xdr:spPr>
    </xdr:pic>
    <xdr:clientData/>
  </xdr:twoCellAnchor>
  <xdr:twoCellAnchor editAs="oneCell">
    <xdr:from>
      <xdr:col>0</xdr:col>
      <xdr:colOff>0</xdr:colOff>
      <xdr:row>55</xdr:row>
      <xdr:rowOff>57888</xdr:rowOff>
    </xdr:from>
    <xdr:to>
      <xdr:col>13</xdr:col>
      <xdr:colOff>34848</xdr:colOff>
      <xdr:row>72</xdr:row>
      <xdr:rowOff>3293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078188"/>
          <a:ext cx="7959648" cy="30543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xdr:row>
      <xdr:rowOff>38100</xdr:rowOff>
    </xdr:from>
    <xdr:to>
      <xdr:col>11</xdr:col>
      <xdr:colOff>151543</xdr:colOff>
      <xdr:row>11</xdr:row>
      <xdr:rowOff>156127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0300"/>
          <a:ext cx="6857143" cy="666667"/>
        </a:xfrm>
        <a:prstGeom prst="rect">
          <a:avLst/>
        </a:prstGeom>
      </xdr:spPr>
    </xdr:pic>
    <xdr:clientData/>
  </xdr:twoCellAnchor>
  <xdr:twoCellAnchor editAs="oneCell">
    <xdr:from>
      <xdr:col>0</xdr:col>
      <xdr:colOff>0</xdr:colOff>
      <xdr:row>12</xdr:row>
      <xdr:rowOff>167640</xdr:rowOff>
    </xdr:from>
    <xdr:to>
      <xdr:col>14</xdr:col>
      <xdr:colOff>119171</xdr:colOff>
      <xdr:row>36</xdr:row>
      <xdr:rowOff>174350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61360"/>
          <a:ext cx="8653571" cy="4395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30480</xdr:colOff>
      <xdr:row>33</xdr:row>
      <xdr:rowOff>182465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36080" cy="6217505"/>
        </a:xfrm>
        <a:prstGeom prst="rect">
          <a:avLst/>
        </a:prstGeom>
      </xdr:spPr>
    </xdr:pic>
    <xdr:clientData/>
  </xdr:twoCellAnchor>
  <xdr:twoCellAnchor editAs="oneCell">
    <xdr:from>
      <xdr:col>11</xdr:col>
      <xdr:colOff>72009</xdr:colOff>
      <xdr:row>0</xdr:row>
      <xdr:rowOff>0</xdr:rowOff>
    </xdr:from>
    <xdr:to>
      <xdr:col>33</xdr:col>
      <xdr:colOff>70549</xdr:colOff>
      <xdr:row>48</xdr:row>
      <xdr:rowOff>86413</xdr:rowOff>
    </xdr:to>
    <xdr:pic>
      <xdr:nvPicPr>
        <xdr:cNvPr id="3" name="图片 2"/>
        <xdr:cNvPicPr>
          <a:picLocks noChangeAspect="1"/>
        </xdr:cNvPicPr>
      </xdr:nvPicPr>
      <xdr:blipFill>
        <a:blip xmlns:r="http://schemas.openxmlformats.org/officeDocument/2006/relationships" r:embed="rId2"/>
        <a:stretch>
          <a:fillRect/>
        </a:stretch>
      </xdr:blipFill>
      <xdr:spPr>
        <a:xfrm>
          <a:off x="6777609" y="0"/>
          <a:ext cx="13409740" cy="88646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68580</xdr:rowOff>
    </xdr:from>
    <xdr:to>
      <xdr:col>10</xdr:col>
      <xdr:colOff>136611</xdr:colOff>
      <xdr:row>23</xdr:row>
      <xdr:rowOff>147864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0100"/>
          <a:ext cx="7055571" cy="3554004"/>
        </a:xfrm>
        <a:prstGeom prst="rect">
          <a:avLst/>
        </a:prstGeom>
      </xdr:spPr>
    </xdr:pic>
    <xdr:clientData/>
  </xdr:twoCellAnchor>
  <xdr:twoCellAnchor editAs="oneCell">
    <xdr:from>
      <xdr:col>0</xdr:col>
      <xdr:colOff>0</xdr:colOff>
      <xdr:row>29</xdr:row>
      <xdr:rowOff>54352</xdr:rowOff>
    </xdr:from>
    <xdr:to>
      <xdr:col>10</xdr:col>
      <xdr:colOff>38100</xdr:colOff>
      <xdr:row>47</xdr:row>
      <xdr:rowOff>155459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57872"/>
          <a:ext cx="6957060" cy="3392947"/>
        </a:xfrm>
        <a:prstGeom prst="rect">
          <a:avLst/>
        </a:prstGeom>
      </xdr:spPr>
    </xdr:pic>
    <xdr:clientData/>
  </xdr:twoCellAnchor>
  <xdr:twoCellAnchor editAs="oneCell">
    <xdr:from>
      <xdr:col>0</xdr:col>
      <xdr:colOff>0</xdr:colOff>
      <xdr:row>52</xdr:row>
      <xdr:rowOff>137160</xdr:rowOff>
    </xdr:from>
    <xdr:to>
      <xdr:col>9</xdr:col>
      <xdr:colOff>597993</xdr:colOff>
      <xdr:row>70</xdr:row>
      <xdr:rowOff>115494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46920"/>
          <a:ext cx="6907353" cy="32701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hyperlink" Target="https://paimai.jd.com/307337076" TargetMode="External"/><Relationship Id="rId2" Type="http://schemas.openxmlformats.org/officeDocument/2006/relationships/hyperlink" Target="https://sf-item.taobao.com/sf_item/831484041680.htm?spm=a213w.7398504.paiList.3.11e3112bUVQElt&amp;track_id=e3f7bf62-4c89-4225-90e6-ab83c8db66fc" TargetMode="External"/><Relationship Id="rId1" Type="http://schemas.openxmlformats.org/officeDocument/2006/relationships/hyperlink" Target="https://sf-item.taobao.com/sf_item/841949898167.htm?spm=a213w.7398504.paiList.1.11e3112bUVQElt&amp;track_id=e3f7bf62-4c89-4225-90e6-ab83c8db66fc" TargetMode="External"/><Relationship Id="rId4"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估价对象为北京市房地产，为所有。根据《国有土地使用证》[]，估价对象（分摊）出让国有建设用地使用权面积为0平方米，建筑面积为64.67平方米。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估价对象为北京市房地产,属开发建设的，该项目尚在开发建设中。根据《国有土地使用证》[]，估价对象（分摊）出让国有建设用地使用权面积为0平方米，规划建筑面积为64.67平方米。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2025年2月11日（评估专业人员实地查勘之日）</v>
      </c>
    </row>
    <row r="13" spans="1:2" s="1203" customFormat="1">
      <c r="A13" s="1201" t="s">
        <v>529</v>
      </c>
      <c r="B13" s="1202" t="str">
        <f>'预评函-1'!A18</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本次评估采用的主估价方法为收益法和比较法。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64.67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6"/>
      <c r="B54" s="1554" t="s">
        <v>385</v>
      </c>
      <c r="C54" s="1551" t="s">
        <v>583</v>
      </c>
    </row>
    <row r="55" spans="1:4">
      <c r="A55" s="3546"/>
      <c r="B55" s="1554" t="s">
        <v>386</v>
      </c>
      <c r="C55" s="1551" t="s">
        <v>584</v>
      </c>
    </row>
    <row r="56" spans="1:4">
      <c r="A56" s="3546"/>
      <c r="B56" s="1554" t="s">
        <v>387</v>
      </c>
      <c r="C56" s="1551" t="s">
        <v>588</v>
      </c>
    </row>
    <row r="57" spans="1:4">
      <c r="A57" s="354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47" t="s">
        <v>2579</v>
      </c>
      <c r="J2" s="3547"/>
      <c r="K2" s="3547"/>
      <c r="L2" s="3547"/>
      <c r="M2" s="3547"/>
      <c r="N2" s="3547"/>
      <c r="O2" s="3547"/>
      <c r="P2" s="3547"/>
      <c r="Q2" s="3547"/>
      <c r="R2" s="3547"/>
    </row>
    <row r="3" spans="1:18">
      <c r="A3" s="3017" t="s">
        <v>2500</v>
      </c>
      <c r="B3" s="3018">
        <f>项目基本情况!D3</f>
        <v>45699</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1.85</v>
      </c>
      <c r="D5" s="3022">
        <f>IF(ISERROR(ROUND(POWER(1+E5,A5-C5)*(POWER(1+E5,C5)-1)/(POWER(1+E5,A5)-1),3)),0,ROUND(POWER(1+E5,A5-C5)*(POWER(1+E5,C5)-1)/(POWER(1+E5,A5)-1),4))</f>
        <v>8.8400000000000006E-2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11.86</v>
      </c>
      <c r="D6" s="3022">
        <f>IF(ISERROR(ROUND(POWER(1+E6,A6-C6)*(POWER(1+E6,C6)-1)/(POWER(1+E6,A6)-1),3)),0,ROUND(POWER(1+E6,A6-C6)*(POWER(1+E6,C6)-1)/(POWER(1+E6,A6)-1),4))</f>
        <v>0.43290000000000001</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31.87</v>
      </c>
      <c r="D7" s="3022">
        <f>IF(ISERROR(ROUND(POWER(1+E7,A7-C7)*(POWER(1+E7,C7)-1)/(POWER(1+E7,A7)-1),3)),0,ROUND(POWER(1+E7,A7-C7)*(POWER(1+E7,C7)-1)/(POWER(1+E7,A7)-1),4))</f>
        <v>0.76239999999999997</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5" thickBot="1">
      <c r="A18" s="3028" t="s">
        <v>2515</v>
      </c>
      <c r="B18" s="3029">
        <f>ROUND(B17*F11/F12,2)</f>
        <v>5541.87</v>
      </c>
      <c r="C18" s="3029">
        <f>ROUND(F11/F12,4)</f>
        <v>1.1521999999999999</v>
      </c>
      <c r="D18" s="3030"/>
      <c r="E18" s="3030"/>
      <c r="F18" s="3031"/>
    </row>
    <row r="19" spans="1:14" ht="15" thickBot="1"/>
    <row r="20" spans="1:14" s="3066" customFormat="1" ht="1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5" thickBot="1"/>
    <row r="49" spans="1:4">
      <c r="A49" s="3010" t="s">
        <v>3389</v>
      </c>
    </row>
    <row r="50" spans="1:4">
      <c r="A50" s="3446" t="s">
        <v>3390</v>
      </c>
      <c r="B50" s="3446" t="s">
        <v>3391</v>
      </c>
      <c r="C50" s="3446" t="s">
        <v>3392</v>
      </c>
      <c r="D50" s="3446" t="s">
        <v>3393</v>
      </c>
    </row>
    <row r="51" spans="1:4">
      <c r="A51" s="3446" t="s">
        <v>3394</v>
      </c>
      <c r="B51" s="3019">
        <f>B52+B53</f>
        <v>15000</v>
      </c>
      <c r="C51" s="3447">
        <f>D51/B51</f>
        <v>2666.6666666666665</v>
      </c>
      <c r="D51" s="3019">
        <f>D52+D53</f>
        <v>40000000</v>
      </c>
    </row>
    <row r="52" spans="1:4">
      <c r="A52" s="3448" t="s">
        <v>3395</v>
      </c>
      <c r="B52" s="3449">
        <v>10000</v>
      </c>
      <c r="C52" s="3449">
        <v>1500</v>
      </c>
      <c r="D52" s="3450">
        <f>C52*B52</f>
        <v>15000000</v>
      </c>
    </row>
    <row r="53" spans="1:4">
      <c r="A53" s="3448" t="s">
        <v>3396</v>
      </c>
      <c r="B53" s="3449">
        <v>5000</v>
      </c>
      <c r="C53" s="3449">
        <v>5000</v>
      </c>
      <c r="D53" s="3450">
        <f>C53*B53</f>
        <v>25000000</v>
      </c>
    </row>
    <row r="54" spans="1:4">
      <c r="A54" s="3446" t="s">
        <v>3397</v>
      </c>
      <c r="B54" s="3019">
        <f>B51</f>
        <v>15000</v>
      </c>
      <c r="C54" s="3026">
        <v>700</v>
      </c>
      <c r="D54" s="3019">
        <f t="shared" ref="D54:D55" si="5">C54*B54</f>
        <v>10500000</v>
      </c>
    </row>
    <row r="55" spans="1:4">
      <c r="A55" s="3446" t="s">
        <v>3398</v>
      </c>
      <c r="B55" s="3019">
        <f>B51</f>
        <v>15000</v>
      </c>
      <c r="C55" s="3026">
        <v>1500</v>
      </c>
      <c r="D55" s="3019">
        <f t="shared" si="5"/>
        <v>22500000</v>
      </c>
    </row>
    <row r="56" spans="1:4">
      <c r="A56" s="3446" t="s">
        <v>3399</v>
      </c>
      <c r="B56" s="3019">
        <f>B51</f>
        <v>15000</v>
      </c>
      <c r="C56" s="3451">
        <f>C51+C54+C55</f>
        <v>4866.6666666666661</v>
      </c>
      <c r="D56" s="3019">
        <f>D51+D54+D55</f>
        <v>73000000</v>
      </c>
    </row>
    <row r="58" spans="1:4">
      <c r="A58" s="3446" t="s">
        <v>3400</v>
      </c>
      <c r="B58" s="3452">
        <v>0.05</v>
      </c>
      <c r="C58" s="3019">
        <f>C56*(1+B58)</f>
        <v>5110</v>
      </c>
      <c r="D58" s="3019">
        <f>D56*B58</f>
        <v>3650000</v>
      </c>
    </row>
    <row r="60" spans="1:4">
      <c r="A60" s="3446" t="s">
        <v>3401</v>
      </c>
      <c r="B60" s="3026">
        <v>3500</v>
      </c>
      <c r="C60" s="3026">
        <f>C53</f>
        <v>5000</v>
      </c>
      <c r="D60" s="3019">
        <f>C60*B60</f>
        <v>17500000</v>
      </c>
    </row>
    <row r="62" spans="1:4">
      <c r="A62" s="3446" t="s">
        <v>3402</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A7" sqref="A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3" t="s">
        <v>2168</v>
      </c>
      <c r="B1" s="3548" t="str">
        <f>IF(B10="北京市","北京市",C10)&amp;F10&amp;IF(结果表!G1="在建","出让国有建设用地使用权及在建建筑物",IF(结果表!G1="土地","出让国有建设用地使用权",))&amp;B9&amp;"预评估"</f>
        <v>北京市房地产市场价值预评估</v>
      </c>
      <c r="C1" s="3549"/>
      <c r="D1" s="3549"/>
      <c r="E1" s="3549"/>
      <c r="F1" s="3549"/>
      <c r="G1" s="3549"/>
      <c r="H1" s="3549"/>
      <c r="I1" s="3550"/>
      <c r="J1" s="2468"/>
      <c r="K1" s="2365"/>
      <c r="L1" s="2366"/>
      <c r="M1" s="2366"/>
      <c r="N1" s="2367"/>
      <c r="O1" s="1576"/>
      <c r="P1" s="2367"/>
      <c r="Q1" s="2367"/>
      <c r="R1" s="2367"/>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4" t="s">
        <v>2169</v>
      </c>
      <c r="B2" s="2368"/>
      <c r="C2" s="2369"/>
      <c r="D2" s="2667"/>
      <c r="E2" s="2659"/>
      <c r="F2" s="2659"/>
      <c r="G2" s="2660"/>
      <c r="H2" s="2660"/>
      <c r="I2" s="2660"/>
      <c r="J2" s="2468"/>
      <c r="K2" s="2365"/>
      <c r="L2" s="2366"/>
      <c r="M2" s="2366"/>
      <c r="N2" s="2367"/>
      <c r="O2" s="1576"/>
      <c r="P2" s="2367"/>
      <c r="Q2" s="2367"/>
      <c r="R2" s="2367"/>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0">
        <v>45699</v>
      </c>
      <c r="C3" s="2371" t="s">
        <v>2171</v>
      </c>
      <c r="D3" s="2370">
        <f>B3</f>
        <v>45699</v>
      </c>
      <c r="E3" s="2660"/>
      <c r="F3" s="2660"/>
      <c r="G3" s="2660"/>
      <c r="H3" s="2660"/>
      <c r="I3" s="2660"/>
      <c r="J3" s="2468"/>
      <c r="K3" s="2365"/>
      <c r="L3" s="2366"/>
      <c r="M3" s="2366"/>
      <c r="N3" s="2367"/>
      <c r="O3" s="1576"/>
      <c r="P3" s="2367"/>
      <c r="Q3" s="2367"/>
      <c r="R3" s="2367"/>
      <c r="S3" s="1682"/>
      <c r="T3" s="1745"/>
      <c r="U3" s="1745"/>
      <c r="V3" s="1745"/>
      <c r="W3" s="1745"/>
      <c r="X3" s="1745"/>
      <c r="Y3" s="1745"/>
      <c r="Z3" s="1745"/>
      <c r="AA3" s="1745"/>
      <c r="AB3" s="1745"/>
    </row>
    <row r="4" spans="1:30" ht="13.8"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2"/>
      <c r="T4" s="1745"/>
      <c r="U4" s="1745"/>
      <c r="V4" s="1745"/>
      <c r="W4" s="1745"/>
      <c r="X4" s="1745"/>
      <c r="Y4" s="1745"/>
      <c r="Z4" s="1745"/>
      <c r="AA4" s="1745"/>
      <c r="AB4" s="1745"/>
    </row>
    <row r="5" spans="1:30" ht="13.8"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6"/>
      <c r="P5" s="2367"/>
      <c r="Q5" s="2367"/>
      <c r="R5" s="2367"/>
      <c r="S5" s="1745"/>
      <c r="T5" s="1745"/>
      <c r="U5" s="1745"/>
      <c r="V5" s="1745"/>
      <c r="W5" s="1745"/>
      <c r="X5" s="1745"/>
      <c r="Y5" s="1745"/>
      <c r="Z5" s="1745"/>
      <c r="AA5" s="1745"/>
      <c r="AB5" s="1745"/>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3404</v>
      </c>
      <c r="C8" s="2387"/>
      <c r="D8" s="3551" t="s">
        <v>2177</v>
      </c>
      <c r="E8" s="2388"/>
      <c r="F8" s="2389"/>
      <c r="G8" s="2660"/>
      <c r="H8" s="2660"/>
      <c r="I8" s="2660"/>
      <c r="J8" s="2436"/>
      <c r="K8" s="2611"/>
      <c r="L8" s="2610"/>
      <c r="M8" s="2610"/>
      <c r="N8" s="2436"/>
      <c r="O8" s="2447"/>
      <c r="P8" s="2436"/>
      <c r="Q8" s="2436"/>
      <c r="R8" s="2436"/>
    </row>
    <row r="9" spans="1:30" ht="13.8" thickBot="1">
      <c r="A9" s="2390" t="s">
        <v>2178</v>
      </c>
      <c r="B9" s="2391" t="s">
        <v>3405</v>
      </c>
      <c r="C9" s="2392"/>
      <c r="D9" s="3552"/>
      <c r="E9" s="2391"/>
      <c r="F9" s="2393"/>
      <c r="G9" s="2662"/>
      <c r="H9" s="2662"/>
      <c r="I9" s="2662"/>
      <c r="J9" s="2436"/>
      <c r="K9" s="2613"/>
      <c r="L9" s="2610"/>
      <c r="M9" s="2610"/>
      <c r="N9" s="2436"/>
      <c r="O9" s="2447"/>
      <c r="P9" s="2436"/>
      <c r="Q9" s="2436"/>
      <c r="R9" s="2436"/>
    </row>
    <row r="10" spans="1:30" ht="13.8" thickTop="1">
      <c r="A10" s="2394" t="s">
        <v>2179</v>
      </c>
      <c r="B10" s="2395" t="s">
        <v>3406</v>
      </c>
      <c r="C10" s="2396"/>
      <c r="D10" s="2379"/>
      <c r="E10" s="2397" t="s">
        <v>2180</v>
      </c>
      <c r="F10" s="2663"/>
      <c r="G10" s="2664"/>
      <c r="H10" s="2665"/>
      <c r="I10" s="2666"/>
      <c r="J10" s="2436"/>
      <c r="K10" s="2613"/>
      <c r="L10" s="2610"/>
      <c r="M10" s="2610"/>
      <c r="N10" s="2436"/>
      <c r="O10" s="2447"/>
      <c r="P10" s="2436"/>
      <c r="Q10" s="2436"/>
      <c r="R10" s="2436"/>
    </row>
    <row r="11" spans="1:30">
      <c r="A11" s="2398" t="s">
        <v>2181</v>
      </c>
      <c r="B11" s="2399" t="s">
        <v>3407</v>
      </c>
      <c r="C11" s="2400"/>
      <c r="D11" s="2401"/>
      <c r="E11" s="2367"/>
      <c r="F11" s="2367"/>
      <c r="G11" s="2367"/>
      <c r="H11" s="2367"/>
      <c r="I11" s="2367"/>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2575</v>
      </c>
      <c r="J12" s="3059"/>
      <c r="K12" s="2610"/>
      <c r="L12" s="2610"/>
      <c r="M12" s="2436"/>
      <c r="N12" s="2447"/>
      <c r="O12" s="2436"/>
      <c r="P12" s="2436"/>
      <c r="Q12" s="2436"/>
      <c r="AD12" s="1745"/>
    </row>
    <row r="13" spans="1:30">
      <c r="A13" s="3420" t="s">
        <v>3331</v>
      </c>
      <c r="B13" s="2404" t="s">
        <v>2190</v>
      </c>
      <c r="C13" s="856">
        <v>56285</v>
      </c>
      <c r="D13" s="856"/>
      <c r="E13" s="856"/>
      <c r="F13" s="856"/>
      <c r="G13" s="856"/>
      <c r="H13" s="856"/>
      <c r="I13" s="856"/>
      <c r="J13" s="3059"/>
      <c r="K13" s="2610"/>
      <c r="L13" s="2610"/>
      <c r="M13" s="2436"/>
      <c r="N13" s="2447"/>
      <c r="O13" s="2436"/>
      <c r="P13" s="2436"/>
      <c r="Q13" s="2436"/>
      <c r="AD13" s="1745"/>
    </row>
    <row r="14" spans="1:30">
      <c r="A14" s="1081"/>
      <c r="B14" s="2404" t="s">
        <v>2191</v>
      </c>
      <c r="C14" s="2405">
        <v>70</v>
      </c>
      <c r="D14" s="2405"/>
      <c r="E14" s="2405"/>
      <c r="F14" s="2405"/>
      <c r="G14" s="2405"/>
      <c r="H14" s="2405"/>
      <c r="I14" s="2405"/>
      <c r="J14" s="3060"/>
      <c r="K14" s="2610"/>
      <c r="L14" s="2610"/>
      <c r="M14" s="2436"/>
      <c r="N14" s="2447"/>
      <c r="O14" s="2436"/>
      <c r="P14" s="2436"/>
      <c r="Q14" s="2436"/>
      <c r="AD14" s="1745"/>
    </row>
    <row r="15" spans="1:30">
      <c r="A15" s="320"/>
      <c r="B15" s="2406" t="s">
        <v>2192</v>
      </c>
      <c r="C15" s="2407">
        <f>IF(A13="出让",IF(C13="","",ROUNDDOWN(MIN((C13-$D$3)/365,C14),2)),C14)</f>
        <v>29</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2193</v>
      </c>
      <c r="B16" s="3558"/>
      <c r="C16" s="3559"/>
      <c r="D16" s="3560"/>
      <c r="E16" s="2410" t="s">
        <v>2194</v>
      </c>
      <c r="F16" s="3561"/>
      <c r="G16" s="3562"/>
      <c r="H16" s="3562"/>
      <c r="I16" s="3563"/>
      <c r="J16" s="2436"/>
      <c r="K16" s="2614"/>
      <c r="L16" s="2448"/>
      <c r="M16" s="2448"/>
      <c r="N16" s="2506"/>
      <c r="O16" s="2448"/>
      <c r="P16" s="2506"/>
      <c r="Q16" s="2436"/>
      <c r="R16" s="2436"/>
    </row>
    <row r="17" spans="1:28">
      <c r="A17" s="313" t="s">
        <v>2195</v>
      </c>
      <c r="B17" s="302" t="s">
        <v>2196</v>
      </c>
      <c r="C17" s="8">
        <f>'数据-汇总表'!E3</f>
        <v>64.67</v>
      </c>
      <c r="D17" s="2319" t="s">
        <v>2197</v>
      </c>
      <c r="E17" s="3564" t="s">
        <v>2198</v>
      </c>
      <c r="F17" s="3565"/>
      <c r="G17" s="3565"/>
      <c r="H17" s="3565"/>
      <c r="I17" s="3566"/>
      <c r="J17" s="2436"/>
      <c r="K17" s="2615"/>
      <c r="L17" s="2448"/>
      <c r="M17" s="2448"/>
      <c r="N17" s="2506"/>
      <c r="O17" s="2448"/>
      <c r="P17" s="2506"/>
      <c r="Q17" s="2436"/>
      <c r="R17" s="2436"/>
      <c r="S17" s="2436"/>
      <c r="T17" s="2436"/>
      <c r="U17" s="2436"/>
      <c r="V17" s="2436"/>
    </row>
    <row r="18" spans="1:28" ht="24.6" thickBot="1">
      <c r="A18" s="2411" t="s">
        <v>2199</v>
      </c>
      <c r="B18" s="1090" t="s">
        <v>2200</v>
      </c>
      <c r="C18" s="2412">
        <f>'数据-汇总表'!D3</f>
        <v>0</v>
      </c>
      <c r="D18" s="1092" t="s">
        <v>2201</v>
      </c>
      <c r="E18" s="3567" t="s">
        <v>2202</v>
      </c>
      <c r="F18" s="3568"/>
      <c r="G18" s="3568"/>
      <c r="H18" s="3568"/>
      <c r="I18" s="3569"/>
      <c r="J18" s="2436"/>
      <c r="K18" s="2615"/>
      <c r="L18" s="2448"/>
      <c r="M18" s="2448"/>
      <c r="N18" s="2506"/>
      <c r="O18" s="2448"/>
      <c r="P18" s="2506"/>
      <c r="Q18" s="2436"/>
      <c r="R18" s="2436"/>
      <c r="S18" s="2436"/>
      <c r="T18" s="2436"/>
      <c r="U18" s="2436"/>
      <c r="V18" s="2436"/>
    </row>
    <row r="19" spans="1:28" ht="37.200000000000003" thickTop="1" thickBot="1">
      <c r="A19" s="327" t="s">
        <v>1055</v>
      </c>
      <c r="B19" s="307" t="s">
        <v>2203</v>
      </c>
      <c r="C19" s="1563"/>
      <c r="D19" s="1564" t="s">
        <v>2204</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2205</v>
      </c>
      <c r="B20" s="3554" t="s">
        <v>2206</v>
      </c>
      <c r="C20" s="3555"/>
      <c r="D20" s="3556" t="s">
        <v>2207</v>
      </c>
      <c r="E20" s="3557"/>
      <c r="F20" s="2644" t="s">
        <v>1056</v>
      </c>
      <c r="G20" s="2661"/>
      <c r="H20" s="2661"/>
      <c r="I20" s="2661"/>
      <c r="J20" s="2436"/>
      <c r="K20" s="355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5"/>
      <c r="X20" s="1745"/>
      <c r="Y20" s="1745"/>
      <c r="Z20" s="1745"/>
      <c r="AA20" s="1745"/>
      <c r="AB20" s="1745"/>
    </row>
    <row r="21" spans="1:28" ht="36.6" thickBot="1">
      <c r="A21" s="2629"/>
      <c r="B21" s="2630" t="s">
        <v>2209</v>
      </c>
      <c r="C21" s="2631" t="s">
        <v>1057</v>
      </c>
      <c r="D21" s="1568" t="s">
        <v>2210</v>
      </c>
      <c r="E21" s="2632" t="s">
        <v>1057</v>
      </c>
      <c r="F21" s="2645"/>
      <c r="G21" s="2661"/>
      <c r="H21" s="2661"/>
      <c r="I21" s="2661"/>
      <c r="J21" s="2436"/>
      <c r="K21" s="355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5"/>
      <c r="X21" s="1745"/>
      <c r="Y21" s="1745"/>
      <c r="Z21" s="1745"/>
      <c r="AA21" s="1745"/>
      <c r="AB21" s="1745"/>
    </row>
    <row r="22" spans="1:28" ht="36.6" thickBot="1">
      <c r="A22" s="2629"/>
      <c r="B22" s="2633" t="s">
        <v>2211</v>
      </c>
      <c r="C22" s="2631" t="s">
        <v>1058</v>
      </c>
      <c r="D22" s="2660"/>
      <c r="E22" s="2660"/>
      <c r="F22" s="2660"/>
      <c r="G22" s="2661"/>
      <c r="H22" s="2661"/>
      <c r="I22" s="2661"/>
      <c r="J22" s="2436"/>
      <c r="K22" s="355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5"/>
      <c r="X22" s="1745"/>
      <c r="Y22" s="1745"/>
      <c r="Z22" s="1745"/>
      <c r="AA22" s="1745"/>
      <c r="AB22" s="1745"/>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571"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71"/>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71"/>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72"/>
      <c r="B30" s="302" t="s">
        <v>2218</v>
      </c>
      <c r="C30" s="3573"/>
      <c r="D30" s="3574"/>
      <c r="E30" s="2661"/>
      <c r="F30" s="2661"/>
      <c r="G30" s="2661"/>
      <c r="H30" s="2661"/>
      <c r="I30" s="2661"/>
      <c r="J30" s="2436"/>
      <c r="K30" s="2613"/>
      <c r="L30" s="2610"/>
      <c r="M30" s="2610"/>
      <c r="N30" s="2436"/>
      <c r="O30" s="2447"/>
      <c r="P30" s="2436"/>
      <c r="Q30" s="2436"/>
      <c r="R30" s="2436"/>
      <c r="S30" s="2436"/>
      <c r="T30" s="2436"/>
      <c r="U30" s="2436"/>
      <c r="V30" s="2436"/>
    </row>
    <row r="31" spans="1:28">
      <c r="A31" s="3575" t="s">
        <v>2219</v>
      </c>
      <c r="B31" s="2419"/>
      <c r="C31" s="2320"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76"/>
      <c r="B32" s="2419"/>
      <c r="C32" s="2320"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76"/>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3"/>
      <c r="C34" s="2023"/>
      <c r="D34" s="2023"/>
      <c r="E34" s="2023"/>
      <c r="F34" s="2023"/>
      <c r="G34" s="2023"/>
      <c r="H34" s="2023"/>
      <c r="I34" s="2661"/>
      <c r="J34" s="2436"/>
      <c r="K34" s="2424">
        <f>COUNTIF(B34:H34,"——")</f>
        <v>0</v>
      </c>
      <c r="L34" s="323" t="s">
        <v>2221</v>
      </c>
      <c r="M34" s="323" t="s">
        <v>2222</v>
      </c>
      <c r="N34" s="323" t="s">
        <v>2223</v>
      </c>
      <c r="O34" s="323" t="s">
        <v>2224</v>
      </c>
      <c r="P34" s="323" t="s">
        <v>2225</v>
      </c>
      <c r="Q34" s="323" t="s">
        <v>2226</v>
      </c>
      <c r="R34" s="323" t="s">
        <v>2227</v>
      </c>
      <c r="S34" s="3570" t="s">
        <v>2228</v>
      </c>
      <c r="T34" s="2425" t="str">
        <f>NUMBERSTRING(7-K34,1)&amp;"通"</f>
        <v>七通</v>
      </c>
      <c r="U34" s="2436"/>
      <c r="V34" s="2436"/>
    </row>
    <row r="35" spans="1:30">
      <c r="A35" s="2426"/>
      <c r="B35" s="3577" t="s">
        <v>2229</v>
      </c>
      <c r="C35" s="3577"/>
      <c r="D35" s="3577"/>
      <c r="E35" s="3577"/>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0"/>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2" t="s">
        <v>2578</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t="s">
        <v>184</v>
      </c>
      <c r="E37" s="2428"/>
      <c r="F37" s="2428"/>
      <c r="G37" s="2661"/>
      <c r="H37" s="2661"/>
      <c r="I37" s="2661"/>
      <c r="J37" s="2436"/>
      <c r="K37" s="2613"/>
      <c r="L37" s="2610"/>
      <c r="M37" s="2610"/>
      <c r="N37" s="2436"/>
      <c r="O37" s="2447"/>
      <c r="P37" s="2436"/>
      <c r="Q37" s="2436"/>
      <c r="R37" s="2436"/>
      <c r="S37" s="2436"/>
      <c r="T37" s="2436"/>
      <c r="U37" s="2436"/>
      <c r="V37" s="2436"/>
    </row>
    <row r="38" spans="1:30" ht="13.8" thickBot="1">
      <c r="A38" s="2628" t="s">
        <v>2231</v>
      </c>
      <c r="B38" s="2429"/>
      <c r="C38" s="2429"/>
      <c r="D38" s="2429" t="s">
        <v>235</v>
      </c>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8"/>
      <c r="J40" s="2506"/>
      <c r="K40" s="2612"/>
      <c r="L40" s="2448"/>
      <c r="M40" s="2448"/>
      <c r="N40" s="2506"/>
      <c r="O40" s="2448"/>
      <c r="P40" s="2436"/>
      <c r="Q40" s="2436"/>
      <c r="R40" s="2436"/>
      <c r="S40" s="2436"/>
      <c r="T40" s="2436"/>
      <c r="U40" s="2436"/>
      <c r="V40" s="2436"/>
    </row>
    <row r="41" spans="1:30">
      <c r="A41" s="2433" t="s">
        <v>2233</v>
      </c>
      <c r="B41" s="1757"/>
      <c r="C41" s="1373"/>
      <c r="D41" s="2367"/>
      <c r="E41" s="2367"/>
      <c r="F41" s="2367"/>
      <c r="G41" s="2367"/>
      <c r="H41" s="2367"/>
      <c r="I41" s="1576"/>
      <c r="J41" s="2436"/>
      <c r="K41" s="2613"/>
      <c r="L41" s="2610"/>
      <c r="M41" s="2610"/>
      <c r="N41" s="2436"/>
      <c r="O41" s="2447"/>
      <c r="P41" s="2436"/>
      <c r="Q41" s="2436"/>
      <c r="R41" s="2436"/>
      <c r="S41" s="2436"/>
      <c r="T41" s="2436"/>
      <c r="U41" s="2436"/>
      <c r="V41" s="2436"/>
    </row>
    <row r="42" spans="1:30" ht="25.2">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7" sqref="A47:XFD4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64.67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64.67</v>
      </c>
      <c r="H5" s="13">
        <f t="shared" ref="H5:AT5" si="0">SUM(H13:H656)</f>
        <v>64.67</v>
      </c>
      <c r="I5" s="13">
        <f t="shared" si="0"/>
        <v>64.67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64.67</v>
      </c>
      <c r="BA5" s="15">
        <f t="shared" si="1"/>
        <v>64.67</v>
      </c>
      <c r="BB5" s="15">
        <f t="shared" si="1"/>
        <v>64.67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3438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3429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3439</v>
      </c>
      <c r="E13" s="13">
        <f>IF($C$3="是",ROUND($A$3*G13/$B$3,2),ROUND($A$3*(G13-AT13)/$B$3,2))</f>
        <v>0</v>
      </c>
      <c r="F13" s="29"/>
      <c r="G13" s="30">
        <f>H13+AC13+AT13</f>
        <v>64.67</v>
      </c>
      <c r="H13" s="17">
        <f>SUMIF(I$12:AB$12,"总值",I13:AB13)</f>
        <v>64.67</v>
      </c>
      <c r="I13" s="1626">
        <v>64.67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64.67</v>
      </c>
      <c r="BA13" s="13">
        <f>SUM(BB13:BK13)</f>
        <v>64.67</v>
      </c>
      <c r="BB13" s="13">
        <f>IF($D13="是",I13-J13,0)</f>
        <v>64.67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8" sqref="I3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6"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87" t="s">
        <v>1131</v>
      </c>
      <c r="B2" s="3587"/>
      <c r="C2" s="3587"/>
      <c r="D2" s="796" t="s">
        <v>1107</v>
      </c>
      <c r="E2" s="1639" t="s">
        <v>1108</v>
      </c>
      <c r="F2" s="2656"/>
      <c r="G2" s="2647"/>
      <c r="H2" s="2648"/>
      <c r="I2" s="2322" t="s">
        <v>1132</v>
      </c>
      <c r="J2" s="2656"/>
      <c r="K2" s="2656"/>
      <c r="L2" s="2656"/>
      <c r="M2" s="2656"/>
      <c r="N2" s="2658"/>
      <c r="O2" s="2656"/>
      <c r="P2" s="2656"/>
    </row>
    <row r="3" spans="1:16" ht="15" thickBot="1">
      <c r="A3" s="3588" t="s">
        <v>1105</v>
      </c>
      <c r="B3" s="3588"/>
      <c r="C3" s="3588"/>
      <c r="D3" s="43">
        <f>'数据-基础表'!AY6</f>
        <v>0</v>
      </c>
      <c r="E3" s="43">
        <f>'数据-基础表'!AZ5</f>
        <v>64.67</v>
      </c>
      <c r="F3" s="2656"/>
      <c r="G3" s="1145"/>
      <c r="H3" s="1026" t="s">
        <v>1106</v>
      </c>
      <c r="I3" s="855" t="e">
        <f>ROUND('数据-基础表'!B3/'数据-基础表'!A3,2)</f>
        <v>#DIV/0!</v>
      </c>
      <c r="J3" s="2656"/>
      <c r="K3" s="2656"/>
      <c r="L3" s="2656"/>
      <c r="M3" s="2656"/>
      <c r="N3" s="2658"/>
      <c r="O3" s="2656"/>
      <c r="P3" s="2656"/>
    </row>
    <row r="4" spans="1:16" ht="14.4">
      <c r="A4" s="3589"/>
      <c r="B4" s="3590"/>
      <c r="C4" s="3591"/>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ht="14.4">
      <c r="A5" s="44" t="s">
        <v>1109</v>
      </c>
      <c r="B5" s="3592" t="s">
        <v>1110</v>
      </c>
      <c r="C5" s="3592"/>
      <c r="D5" s="45">
        <f>ROUND($D$3*E5/$E$3,2)</f>
        <v>0</v>
      </c>
      <c r="E5" s="46">
        <f>SUMIF('数据-基础表'!$11:$11,"住宅",'数据-基础表'!$5:$5)</f>
        <v>64.67</v>
      </c>
      <c r="F5" s="2656"/>
      <c r="G5" s="1145"/>
      <c r="H5" s="1026" t="s">
        <v>1106</v>
      </c>
      <c r="I5" s="855" t="e">
        <f>ROUND(E31/D31,2)</f>
        <v>#DIV/0!</v>
      </c>
      <c r="J5" s="2656"/>
      <c r="K5" s="2656"/>
      <c r="L5" s="2656"/>
      <c r="M5" s="2656"/>
      <c r="N5" s="2656"/>
      <c r="O5" s="2656"/>
      <c r="P5" s="2656"/>
    </row>
    <row r="6" spans="1:16" ht="15" thickBot="1">
      <c r="A6" s="1644"/>
      <c r="B6" s="3592" t="s">
        <v>1111</v>
      </c>
      <c r="C6" s="3592"/>
      <c r="D6" s="45">
        <f>ROUND($D$3*E6/$E$3,2)</f>
        <v>0</v>
      </c>
      <c r="E6" s="46">
        <f>E3-E5</f>
        <v>0</v>
      </c>
      <c r="F6" s="2656"/>
      <c r="G6" s="2650" t="s">
        <v>1112</v>
      </c>
      <c r="H6" s="1146" t="s">
        <v>1113</v>
      </c>
      <c r="I6" s="2651" t="e">
        <f>ROUND(F31/D31,2)</f>
        <v>#DIV/0!</v>
      </c>
      <c r="J6" s="2656"/>
      <c r="K6" s="2656"/>
      <c r="L6" s="2656"/>
      <c r="M6" s="2656"/>
      <c r="N6" s="2656"/>
      <c r="O6" s="2656"/>
      <c r="P6" s="2656"/>
    </row>
    <row r="7" spans="1:16" ht="15" thickBot="1">
      <c r="A7" s="3584"/>
      <c r="B7" s="3585"/>
      <c r="C7" s="3586"/>
      <c r="D7" s="1641" t="s">
        <v>1107</v>
      </c>
      <c r="E7" s="1645" t="s">
        <v>1114</v>
      </c>
      <c r="F7" s="2656"/>
      <c r="G7" s="2652" t="s">
        <v>1115</v>
      </c>
      <c r="H7" s="2653"/>
      <c r="I7" s="2654">
        <v>2.5</v>
      </c>
      <c r="J7" s="2656"/>
      <c r="K7" s="2656"/>
      <c r="L7" s="2656"/>
      <c r="M7" s="2656"/>
      <c r="N7" s="2656"/>
      <c r="O7" s="2656"/>
      <c r="P7" s="2656"/>
    </row>
    <row r="8" spans="1:16" ht="14.4">
      <c r="A8" s="44" t="s">
        <v>1116</v>
      </c>
      <c r="B8" s="47" t="s">
        <v>1117</v>
      </c>
      <c r="C8" s="45" t="s">
        <v>1118</v>
      </c>
      <c r="D8" s="45">
        <f t="shared" ref="D8:D15" si="0">ROUND($D$3*E8/$E$3,2)</f>
        <v>0</v>
      </c>
      <c r="E8" s="48">
        <f>SUMIF('数据-基础表'!BB10:BK10,"地上",'数据-基础表'!BB5:BK5)</f>
        <v>64.67</v>
      </c>
      <c r="F8" s="2656"/>
      <c r="G8" s="2657"/>
      <c r="H8" s="2657"/>
      <c r="I8" s="2656"/>
      <c r="J8" s="2656"/>
      <c r="K8" s="2656"/>
      <c r="L8" s="2656"/>
      <c r="M8" s="2656"/>
      <c r="N8" s="2656"/>
      <c r="O8" s="2656"/>
      <c r="P8" s="2656"/>
    </row>
    <row r="9" spans="1:16" ht="14.4">
      <c r="A9" s="1646"/>
      <c r="B9" s="1647"/>
      <c r="C9" s="45" t="s">
        <v>1119</v>
      </c>
      <c r="D9" s="45">
        <f t="shared" si="0"/>
        <v>0</v>
      </c>
      <c r="E9" s="49">
        <v>0</v>
      </c>
      <c r="F9" s="2656"/>
      <c r="G9" s="2657"/>
      <c r="H9" s="2657"/>
      <c r="I9" s="2656"/>
      <c r="J9" s="2656"/>
      <c r="K9" s="2656"/>
      <c r="L9" s="2656"/>
      <c r="M9" s="2656"/>
      <c r="N9" s="2656"/>
      <c r="O9" s="2656"/>
      <c r="P9" s="2656"/>
    </row>
    <row r="10" spans="1:16" ht="14.4">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4"/>
      <c r="B16" s="1647"/>
      <c r="C16" s="47" t="s">
        <v>1123</v>
      </c>
      <c r="D16" s="47">
        <f>SUM(D8:D15)</f>
        <v>0</v>
      </c>
      <c r="E16" s="50">
        <f>SUM(E8:E15)</f>
        <v>64.67</v>
      </c>
      <c r="F16" s="2656"/>
      <c r="G16" s="2657"/>
      <c r="H16" s="1648" t="s">
        <v>1135</v>
      </c>
      <c r="I16" s="1649"/>
      <c r="J16" s="1139"/>
      <c r="K16" s="3581" t="s">
        <v>1135</v>
      </c>
      <c r="L16" s="3582"/>
      <c r="M16" s="3582"/>
      <c r="N16" s="3582"/>
      <c r="O16" s="3582"/>
      <c r="P16" s="3583"/>
    </row>
    <row r="17" spans="1:19" ht="14.4">
      <c r="A17" s="1650" t="s">
        <v>1136</v>
      </c>
      <c r="B17" s="1651" t="s">
        <v>1137</v>
      </c>
      <c r="C17" s="1652" t="s">
        <v>1138</v>
      </c>
      <c r="D17" s="1653" t="s">
        <v>1126</v>
      </c>
      <c r="E17" s="1654" t="s">
        <v>1127</v>
      </c>
      <c r="F17" s="1655"/>
      <c r="G17" s="1656"/>
      <c r="H17" s="1657" t="s">
        <v>1139</v>
      </c>
      <c r="I17" s="1658" t="s">
        <v>1124</v>
      </c>
      <c r="J17" s="1139"/>
      <c r="K17" s="3578" t="s">
        <v>1140</v>
      </c>
      <c r="L17" s="3579"/>
      <c r="M17" s="3580"/>
      <c r="N17" s="3578" t="s">
        <v>1141</v>
      </c>
      <c r="O17" s="3579"/>
      <c r="P17" s="358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4" t="s">
        <v>3440</v>
      </c>
      <c r="D19" s="45">
        <f>ROUND($D$3*E19/$E$3,2)</f>
        <v>0</v>
      </c>
      <c r="E19" s="53">
        <f t="shared" ref="E19:E26" si="1">SUM(F19:G19)</f>
        <v>64.67</v>
      </c>
      <c r="F19" s="2792">
        <f>'数据-基础表'!I13</f>
        <v>64.67</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64.67</v>
      </c>
    </row>
    <row r="20" spans="1:19" ht="14.4">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64.67</v>
      </c>
      <c r="F27" s="1140">
        <f>IF(SUM(F19:F26)=E8,SUM(F19:F26),"地上面积有误")</f>
        <v>64.67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64.67</v>
      </c>
    </row>
    <row r="28" spans="1:19" ht="14.4">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 thickBot="1">
      <c r="A31" s="1676"/>
      <c r="B31" s="1677"/>
      <c r="C31" s="835" t="s">
        <v>1158</v>
      </c>
      <c r="D31" s="676">
        <f>D27+D30</f>
        <v>0</v>
      </c>
      <c r="E31" s="676">
        <f>E27+E30</f>
        <v>64.67</v>
      </c>
      <c r="F31" s="677">
        <f>F27+F30</f>
        <v>64.67</v>
      </c>
      <c r="G31" s="678">
        <f>G27+G30</f>
        <v>0</v>
      </c>
      <c r="H31" s="2656"/>
      <c r="I31" s="2656"/>
      <c r="J31" s="2656"/>
      <c r="K31" s="2656"/>
      <c r="L31" s="2656"/>
      <c r="M31" s="2656"/>
      <c r="N31" s="2656"/>
      <c r="O31" s="2656"/>
      <c r="P31" s="2656"/>
    </row>
    <row r="32" spans="1:19" ht="14.4">
      <c r="A32" s="1643"/>
      <c r="B32" s="1643" t="s">
        <v>1159</v>
      </c>
      <c r="C32" s="1643"/>
      <c r="D32" s="1643"/>
      <c r="E32" s="1053">
        <f>SUMIF(C19:C26,"*住宅*",E19:E26)</f>
        <v>64.67</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21" activePane="bottomRight" state="frozen"/>
      <selection activeCell="C50" sqref="C50"/>
      <selection pane="topRight" activeCell="C50" sqref="C50"/>
      <selection pane="bottomLeft" activeCell="C50" sqref="C50"/>
      <selection pane="bottomRight" activeCell="H33" sqref="H33"/>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0.55468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 thickBot="1">
      <c r="A2" s="1683" t="s">
        <v>1161</v>
      </c>
      <c r="B2" s="1045">
        <f>项目基本情况!D3</f>
        <v>45699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3442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4">
      <c r="A6" s="1712" t="str">
        <f>'数据-汇总表'!C19</f>
        <v>住宅</v>
      </c>
      <c r="B6" s="1713" t="str">
        <f>IF(A6=0,"","经营性")</f>
        <v>经营性</v>
      </c>
      <c r="C6" s="3458" t="s">
        <v>3441</v>
      </c>
      <c r="D6" s="858">
        <f>SUMIF(项目基本情况!C$12:I$12,C6,项目基本情况!C$14:I$14)</f>
        <v>70</v>
      </c>
      <c r="E6" s="857">
        <f>IF(B6="","",SUMIF(项目基本情况!C$12:I$12,C6,项目基本情况!C$13:I$13))</f>
        <v>56285</v>
      </c>
      <c r="F6" s="64">
        <f>SUMIF(项目基本情况!C$12:I$12,C6,项目基本情况!C$15:I$15)</f>
        <v>29</v>
      </c>
      <c r="G6" s="65">
        <f>IF(ISERROR(ROUND(POWER(1+H6,D6-F6)*(POWER(1+H6,F6)-1)/(POWER(1+H6,D6)-1),3)),0,ROUND(POWER(1+H6,D6-F6)*(POWER(1+H6,F6)-1)/(POWER(1+H6,D6)-1),3))</f>
        <v>0.72599999999999998</v>
      </c>
      <c r="H6" s="732">
        <v>0.04</v>
      </c>
      <c r="I6" s="732">
        <v>4.4999999999999998E-2</v>
      </c>
      <c r="J6" s="66">
        <v>0.06</v>
      </c>
      <c r="K6" s="1030">
        <f>SUMIF('数据-汇总表'!C$19:C$33,A6,'数据-汇总表'!E$19:E$33)</f>
        <v>64.67</v>
      </c>
      <c r="L6" s="733">
        <v>3200</v>
      </c>
      <c r="M6" s="67">
        <f t="shared" ref="M6:M14" si="0">ROUND(K6*L6/10000,0)</f>
        <v>21</v>
      </c>
      <c r="N6" s="731">
        <f>O21</f>
        <v>0.7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5">
        <v>9600</v>
      </c>
      <c r="V6" s="70">
        <v>0.03</v>
      </c>
      <c r="W6" s="70">
        <v>0.05</v>
      </c>
      <c r="X6" s="1040"/>
      <c r="Y6" s="71">
        <f>N6</f>
        <v>0.7</v>
      </c>
      <c r="Z6" s="72"/>
      <c r="AA6" s="66"/>
      <c r="AB6" s="66"/>
      <c r="AC6" s="1040"/>
      <c r="AD6" s="73"/>
      <c r="AE6" s="1041">
        <f ca="1">IF(AN6="",0,SUMIF(INDIRECT("'"&amp;AN6&amp;"'"&amp;"!E:E"),$AE$5,INDIRECT("'"&amp;AN6&amp;"'"&amp;"!F:F")))</f>
        <v>29</v>
      </c>
      <c r="AF6" s="1348"/>
      <c r="AG6" s="138">
        <f>IF(AF6="",0,AE6-AF6)</f>
        <v>0</v>
      </c>
      <c r="AH6" s="74">
        <v>1</v>
      </c>
      <c r="AI6" s="76">
        <v>12</v>
      </c>
      <c r="AJ6" s="77"/>
      <c r="AK6" s="78">
        <v>1E-3</v>
      </c>
      <c r="AL6" s="79">
        <v>1E-4</v>
      </c>
      <c r="AM6" s="80">
        <v>1E-3</v>
      </c>
      <c r="AN6" s="1715" t="s">
        <v>3443</v>
      </c>
      <c r="AO6" s="52">
        <f ca="1">SUMIF(INDIRECT("'"&amp;AN6&amp;"'"&amp;"!A:A"),"总价",INDIRECT("'"&amp;AN6&amp;"'"&amp;"!B:B"))</f>
        <v>243.14</v>
      </c>
      <c r="AP6" s="1716">
        <f>IF(C6="住宅",K6*L6,0)</f>
        <v>206944</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0.72599999999999998</v>
      </c>
      <c r="H16" s="90">
        <f>ROUND(SUMPRODUCT(H6:H13,K6:K13)/SUMPRODUCT((H6:H13&gt;0)*(K6:K13)),3)</f>
        <v>0.04</v>
      </c>
      <c r="I16" s="91"/>
      <c r="J16" s="91"/>
      <c r="K16" s="92">
        <f>SUM(K6:K15)</f>
        <v>64.67</v>
      </c>
      <c r="L16" s="93">
        <f>ROUND(M16*10000/SUM(K6:K14),0)</f>
        <v>3247</v>
      </c>
      <c r="M16" s="93">
        <f>SUM(M6:M14)</f>
        <v>21</v>
      </c>
      <c r="N16" s="94">
        <f>ROUND(SUMPRODUCT(M6:M14,N6:N14)/M16,3)</f>
        <v>0.7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v>2025</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2" t="s">
        <v>1211</v>
      </c>
      <c r="B19" s="103">
        <v>0</v>
      </c>
      <c r="C19" s="2796" t="s">
        <v>2302</v>
      </c>
      <c r="D19" s="2673"/>
      <c r="E19" s="2670"/>
      <c r="F19" s="2670"/>
      <c r="G19" s="2670"/>
      <c r="H19" s="2670"/>
      <c r="I19" s="2670"/>
      <c r="J19" s="2670"/>
      <c r="K19" s="2669"/>
      <c r="L19" s="2669"/>
      <c r="M19" s="2668"/>
      <c r="N19" s="2668">
        <v>1986</v>
      </c>
      <c r="O19" s="3459">
        <f>ROUND(1-(N18-N19)/60,2)</f>
        <v>0.35</v>
      </c>
      <c r="P19" s="3460">
        <v>0.3</v>
      </c>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3" t="s">
        <v>1212</v>
      </c>
      <c r="B20" s="104">
        <v>2</v>
      </c>
      <c r="C20" s="2797" t="s">
        <v>2300</v>
      </c>
      <c r="D20" s="2673"/>
      <c r="E20" s="2670"/>
      <c r="F20" s="2670"/>
      <c r="G20" s="2670"/>
      <c r="H20" s="2670"/>
      <c r="I20" s="2670"/>
      <c r="J20" s="2670"/>
      <c r="K20" s="2669"/>
      <c r="L20" s="2669"/>
      <c r="M20" s="2668"/>
      <c r="N20" s="2668"/>
      <c r="O20" s="3460">
        <v>0.85</v>
      </c>
      <c r="P20" s="3460">
        <v>0.7</v>
      </c>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4" t="s">
        <v>1213</v>
      </c>
      <c r="B21" s="104">
        <v>2</v>
      </c>
      <c r="C21" s="2670"/>
      <c r="D21" s="2673"/>
      <c r="E21" s="2670"/>
      <c r="F21" s="2670"/>
      <c r="G21" s="2670"/>
      <c r="H21" s="2670"/>
      <c r="I21" s="2670"/>
      <c r="J21" s="2670"/>
      <c r="K21" s="2669"/>
      <c r="L21" s="2669"/>
      <c r="M21" s="2668"/>
      <c r="N21" s="2668"/>
      <c r="O21" s="3461">
        <f>ROUND(O19*P19+O20*P20,2)</f>
        <v>0.7</v>
      </c>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8.8">
      <c r="A27" s="1727" t="s">
        <v>1220</v>
      </c>
      <c r="B27" s="107">
        <v>160</v>
      </c>
      <c r="C27" s="2798" t="s">
        <v>2304</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0" t="s">
        <v>3385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0" t="s">
        <v>2295</v>
      </c>
      <c r="D34" s="2681" t="s">
        <v>2301</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0" t="s">
        <v>3403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31" t="s">
        <v>1230</v>
      </c>
      <c r="B37" s="115">
        <v>0.01</v>
      </c>
      <c r="C37" s="2800" t="s">
        <v>3386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9" t="s">
        <v>1231</v>
      </c>
      <c r="B38" s="113">
        <v>0.03</v>
      </c>
      <c r="C38" s="2800" t="s">
        <v>3387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8.2" thickBot="1">
      <c r="A40" s="2812" t="s">
        <v>3444</v>
      </c>
      <c r="B40" s="1078">
        <f ca="1">IF(A40="利息：取LPR",存贷款利率!G1,存贷款利率!G1+C40)</f>
        <v>4.7500000000000001E-2</v>
      </c>
      <c r="C40" s="2811">
        <v>1.6500000000000001E-2</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4" t="s">
        <v>1236</v>
      </c>
      <c r="B44" s="119">
        <v>7.0000000000000007E-2</v>
      </c>
      <c r="C44" s="2800" t="s">
        <v>3388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4" t="s">
        <v>1237</v>
      </c>
      <c r="B45" s="117">
        <v>0.03</v>
      </c>
      <c r="C45" s="2799" t="s">
        <v>2297</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4" t="s">
        <v>1238</v>
      </c>
      <c r="B46" s="117">
        <v>0.02</v>
      </c>
      <c r="C46" s="2799" t="s">
        <v>2298</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6" t="s">
        <v>1240</v>
      </c>
      <c r="B48" s="121">
        <v>0.03</v>
      </c>
      <c r="C48" s="2799" t="s">
        <v>2297</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2299</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7" t="s">
        <v>1244</v>
      </c>
      <c r="B52" s="124">
        <f>SUMIF(A54:A63,B53,B54:B63)</f>
        <v>24</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9" t="s">
        <v>1245</v>
      </c>
      <c r="B53" s="1738" t="s">
        <v>184</v>
      </c>
      <c r="C53" s="2658" t="s">
        <v>1246</v>
      </c>
      <c r="D53" s="2801" t="s">
        <v>2303</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9" t="s">
        <v>1248</v>
      </c>
      <c r="B55" s="75">
        <f>C55</f>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9"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9"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7" customWidth="1"/>
    <col min="4" max="4" width="2.6640625" style="2507" customWidth="1"/>
    <col min="5" max="5" width="5.88671875" style="2507" customWidth="1"/>
    <col min="6" max="6" width="27" style="1572"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9"/>
    <col min="30" max="16384" width="9" style="1686"/>
  </cols>
  <sheetData>
    <row r="1" spans="1:29" s="2454" customFormat="1" ht="18" thickBot="1">
      <c r="A1" s="3593" t="s">
        <v>2286</v>
      </c>
      <c r="B1" s="3594"/>
      <c r="C1" s="3594"/>
      <c r="D1" s="3594"/>
      <c r="E1" s="3594"/>
      <c r="F1" s="3594"/>
      <c r="G1" s="359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7.200000000000003">
      <c r="A4" s="2439"/>
      <c r="B4" s="323" t="s">
        <v>2254</v>
      </c>
      <c r="C4" s="2465" t="s">
        <v>2255</v>
      </c>
      <c r="D4" s="2462"/>
      <c r="E4" s="2466"/>
      <c r="F4" s="1373" t="s">
        <v>2256</v>
      </c>
      <c r="G4" s="2467" t="s">
        <v>2257</v>
      </c>
      <c r="H4" s="799"/>
      <c r="I4" s="799"/>
      <c r="J4" s="799"/>
      <c r="K4" s="799"/>
      <c r="L4" s="799"/>
      <c r="M4" s="799"/>
      <c r="N4" s="799"/>
      <c r="O4" s="799"/>
      <c r="P4" s="799"/>
      <c r="Q4" s="799"/>
      <c r="R4" s="799"/>
    </row>
    <row r="5" spans="1:29" ht="37.200000000000003">
      <c r="A5" s="2439"/>
      <c r="B5" s="323" t="s">
        <v>2258</v>
      </c>
      <c r="C5" s="2465" t="s">
        <v>2259</v>
      </c>
      <c r="D5" s="2462"/>
      <c r="E5" s="2466"/>
      <c r="F5" s="323" t="s">
        <v>2260</v>
      </c>
      <c r="G5" s="2467" t="s">
        <v>2261</v>
      </c>
      <c r="H5" s="799"/>
      <c r="I5" s="799"/>
      <c r="J5" s="799"/>
      <c r="K5" s="799"/>
      <c r="L5" s="799"/>
      <c r="M5" s="799"/>
      <c r="N5" s="799"/>
      <c r="O5" s="799"/>
      <c r="P5" s="799"/>
      <c r="Q5" s="799"/>
      <c r="R5" s="799"/>
    </row>
    <row r="6" spans="1:29" ht="48">
      <c r="A6" s="2439"/>
      <c r="B6" s="323" t="s">
        <v>2262</v>
      </c>
      <c r="C6" s="2467" t="s">
        <v>2257</v>
      </c>
      <c r="D6" s="2462"/>
      <c r="E6" s="2466"/>
      <c r="F6" s="323" t="s">
        <v>2263</v>
      </c>
      <c r="G6" s="2467" t="s">
        <v>2264</v>
      </c>
      <c r="H6" s="799"/>
      <c r="I6" s="799"/>
      <c r="J6" s="799"/>
      <c r="K6" s="799"/>
      <c r="L6" s="799"/>
      <c r="M6" s="799"/>
      <c r="N6" s="799"/>
      <c r="O6" s="799"/>
      <c r="P6" s="799"/>
      <c r="Q6" s="799"/>
      <c r="R6" s="799"/>
    </row>
    <row r="7" spans="1:29" ht="36.6"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ht="24">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4.4"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2287</v>
      </c>
      <c r="B13" s="2481"/>
      <c r="C13" s="2481"/>
      <c r="D13" s="2479"/>
      <c r="E13" s="2481"/>
      <c r="F13" s="2481"/>
      <c r="G13" s="2481"/>
    </row>
    <row r="14" spans="1:29" ht="14.4" thickBot="1">
      <c r="A14" s="2491"/>
      <c r="B14" s="2491"/>
      <c r="C14" s="2492" t="s">
        <v>2270</v>
      </c>
      <c r="D14" s="2462"/>
      <c r="E14" s="2493"/>
      <c r="F14" s="2493"/>
      <c r="G14" s="2457" t="s">
        <v>2271</v>
      </c>
    </row>
    <row r="15" spans="1:29" ht="52.8">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9.6">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9.6">
      <c r="A17" s="2443"/>
      <c r="B17" s="2497" t="s">
        <v>2258</v>
      </c>
      <c r="C17" s="2498" t="str">
        <f>C5</f>
        <v>估价对象位于XX商圈，周边办公楼项目较多，入驻率高，办公集聚程度较好</v>
      </c>
      <c r="D17" s="2468"/>
      <c r="E17" s="2444"/>
      <c r="F17" s="2499" t="s">
        <v>2275</v>
      </c>
      <c r="G17" s="2501"/>
    </row>
    <row r="18" spans="1:18" ht="52.8">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6.4">
      <c r="A19" s="2443"/>
      <c r="B19" s="2499" t="s">
        <v>2276</v>
      </c>
      <c r="C19" s="2501"/>
      <c r="D19" s="2462"/>
      <c r="E19" s="2444"/>
      <c r="F19" s="323" t="s">
        <v>2260</v>
      </c>
      <c r="G19" s="2500" t="str">
        <f>G5</f>
        <v>估价对象所在区域公共配套设施齐备情况</v>
      </c>
    </row>
    <row r="20" spans="1:18" ht="26.4">
      <c r="A20" s="2443"/>
      <c r="B20" s="2499" t="s">
        <v>2277</v>
      </c>
      <c r="C20" s="2498" t="str">
        <f>C9</f>
        <v>区域自然环境：；人文环境；综合评价环境状况一般</v>
      </c>
      <c r="D20" s="2468"/>
      <c r="E20" s="2444"/>
      <c r="F20" s="323" t="s">
        <v>2263</v>
      </c>
      <c r="G20" s="2500" t="str">
        <f>G6</f>
        <v>估价对象所在区域基础设施水平</v>
      </c>
    </row>
    <row r="21" spans="1:18" ht="26.4">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4.4" thickBot="1">
      <c r="A23" s="2443"/>
      <c r="B23" s="2499" t="s">
        <v>2278</v>
      </c>
      <c r="C23" s="2502"/>
      <c r="D23" s="1741"/>
      <c r="E23" s="2445"/>
      <c r="F23" s="2503" t="s">
        <v>2279</v>
      </c>
      <c r="G23" s="2504"/>
      <c r="H23" s="2488"/>
      <c r="I23" s="2489"/>
      <c r="J23" s="2488"/>
      <c r="K23" s="2488"/>
      <c r="L23" s="2489"/>
      <c r="M23" s="2488"/>
      <c r="N23" s="2488"/>
      <c r="O23" s="2489"/>
      <c r="P23" s="2488"/>
      <c r="Q23" s="2488"/>
      <c r="R23" s="2490"/>
    </row>
    <row r="24" spans="1:18" s="799" customFormat="1" ht="14.4" thickBot="1">
      <c r="A24" s="2446"/>
      <c r="B24" s="2503" t="s">
        <v>2280</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1" sqref="D21"/>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64.67</v>
      </c>
      <c r="C1" s="2683"/>
      <c r="D1" s="2683"/>
      <c r="E1" s="2683"/>
      <c r="F1" s="2683"/>
      <c r="G1" s="2684"/>
      <c r="H1" s="2685"/>
      <c r="I1" s="2685"/>
      <c r="J1" s="2685"/>
      <c r="K1" s="2685"/>
    </row>
    <row r="2" spans="1:11" ht="16.2">
      <c r="A2" s="2509" t="s">
        <v>653</v>
      </c>
      <c r="B2" s="2509">
        <f>SUM(C14:C23)</f>
        <v>0</v>
      </c>
      <c r="C2" s="2683"/>
      <c r="D2" s="2683"/>
      <c r="E2" s="2683"/>
      <c r="F2" s="2683"/>
      <c r="G2" s="2684"/>
      <c r="H2" s="2685"/>
      <c r="I2" s="2685"/>
      <c r="J2" s="2685"/>
      <c r="K2" s="2685"/>
    </row>
    <row r="3" spans="1:11" ht="15.6">
      <c r="A3" s="2509" t="s">
        <v>662</v>
      </c>
      <c r="B3" s="2511">
        <f>项目基本情况!D3</f>
        <v>45699</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510</v>
      </c>
      <c r="C5" s="2509" t="e">
        <f ca="1">IF(B5=D14,结果表!H102,ROUND(B5*10000/$B$1,0))</f>
        <v>#DIV/0!</v>
      </c>
      <c r="D5" s="2509" t="e">
        <f ca="1">ROUND(B5*10000/$B$2,0)</f>
        <v>#DIV/0!</v>
      </c>
      <c r="E5" s="2683"/>
      <c r="F5" s="2684"/>
      <c r="G5" s="2684"/>
      <c r="H5" s="2685"/>
      <c r="I5" s="2685"/>
      <c r="J5" s="2685"/>
      <c r="K5" s="2685"/>
    </row>
    <row r="6" spans="1:11" ht="15.6">
      <c r="A6" s="2509" t="s">
        <v>656</v>
      </c>
      <c r="B6" s="2509">
        <f>SUM(G14:G23)</f>
        <v>0</v>
      </c>
      <c r="C6" s="2509">
        <f ca="1">IF(B6=G14,结果表!H108,ROUND(B6*10000/$B$1,0))</f>
        <v>0</v>
      </c>
      <c r="D6" s="2509" t="e">
        <f>ROUND(B6*10000/$B$2,0)</f>
        <v>#DIV/0!</v>
      </c>
      <c r="E6" s="2683"/>
      <c r="F6" s="2684"/>
      <c r="G6" s="2684"/>
      <c r="H6" s="2685"/>
      <c r="I6" s="2685"/>
      <c r="J6" s="2685"/>
      <c r="K6" s="2685"/>
    </row>
    <row r="7" spans="1:11" ht="15.6">
      <c r="A7" s="2509" t="s">
        <v>664</v>
      </c>
      <c r="B7" s="2509">
        <f>SUM(H14:H23)</f>
        <v>0</v>
      </c>
      <c r="C7" s="2509" t="str">
        <f>IF(B7=H14,结果表!H110,ROUND(B7*10000/$B$1,0))</f>
        <v>——</v>
      </c>
      <c r="D7" s="2509" t="e">
        <f>ROUND(B7*10000/$B$2,0)</f>
        <v>#DIV/0!</v>
      </c>
      <c r="E7" s="2683"/>
      <c r="F7" s="2684"/>
      <c r="G7" s="2684"/>
      <c r="H7" s="2685"/>
      <c r="I7" s="2685"/>
      <c r="J7" s="2685"/>
      <c r="K7" s="2685"/>
    </row>
    <row r="8" spans="1:11" ht="15.6">
      <c r="A8" s="2509" t="s">
        <v>587</v>
      </c>
      <c r="B8" s="2509">
        <f>SUM(I14:I23)</f>
        <v>0</v>
      </c>
      <c r="C8" s="2509" t="str">
        <f>IF(B8=I14,结果表!H112,ROUND(B8*10000/$B$1,0))</f>
        <v>——</v>
      </c>
      <c r="D8" s="2509" t="e">
        <f>ROUND(B8*10000/$B$2,0)</f>
        <v>#DIV/0!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3355</v>
      </c>
      <c r="D10" s="2509" t="s">
        <v>3356</v>
      </c>
      <c r="E10" s="3438"/>
      <c r="F10" s="3442" t="s">
        <v>3357</v>
      </c>
      <c r="G10" s="3439"/>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'数据-汇总表'!E19</f>
        <v>64.67</v>
      </c>
      <c r="C14" s="2515"/>
      <c r="D14" s="2515">
        <f ca="1">结果表!G19</f>
        <v>510</v>
      </c>
      <c r="E14" s="2515">
        <f ca="1">ROUND(D14*10000/B14,0)</f>
        <v>78862</v>
      </c>
      <c r="F14" s="2515" t="e">
        <f ca="1">ROUND(D14*10000/C14,0)</f>
        <v>#DIV/0!</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5.6">
      <c r="A16" s="2514" t="s">
        <v>648</v>
      </c>
      <c r="B16" s="2516"/>
      <c r="C16" s="2516"/>
      <c r="D16" s="2516"/>
      <c r="E16" s="2515" t="e">
        <f t="shared" si="0"/>
        <v>#DIV/0!</v>
      </c>
      <c r="F16" s="2515" t="e">
        <f t="shared" si="1"/>
        <v>#DIV/0!</v>
      </c>
      <c r="G16" s="1331"/>
      <c r="H16" s="1331"/>
      <c r="I16" s="2516"/>
      <c r="J16" s="2685"/>
      <c r="K16" s="2685"/>
    </row>
    <row r="17" spans="1:11" ht="15.6">
      <c r="A17" s="2514" t="s">
        <v>647</v>
      </c>
      <c r="B17" s="2516"/>
      <c r="C17" s="2516"/>
      <c r="D17" s="2516"/>
      <c r="E17" s="2515" t="e">
        <f t="shared" si="0"/>
        <v>#DIV/0!</v>
      </c>
      <c r="F17" s="2515" t="e">
        <f t="shared" si="1"/>
        <v>#DIV/0!</v>
      </c>
      <c r="G17" s="1331"/>
      <c r="H17" s="1331"/>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45" sqref="J45:O45"/>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3429</v>
      </c>
      <c r="D1" s="1747"/>
      <c r="E1" s="1747"/>
      <c r="F1" s="1749" t="s">
        <v>1263</v>
      </c>
      <c r="G1" s="1561"/>
      <c r="H1" s="1750" t="str">
        <f>IF(G1="现房","——","估价对象范围")</f>
        <v>估价对象范围</v>
      </c>
      <c r="I1" s="1751"/>
    </row>
    <row r="2" spans="1:12" ht="21.75" customHeight="1" thickBot="1">
      <c r="A2" s="3662" t="str">
        <f>项目基本情况!S2</f>
        <v>北京市房地产</v>
      </c>
      <c r="B2" s="3663"/>
      <c r="C2" s="3663"/>
      <c r="D2" s="3663"/>
      <c r="E2" s="3663"/>
      <c r="F2" s="3663"/>
      <c r="G2" s="3663"/>
      <c r="H2" s="3663"/>
      <c r="I2" s="3664"/>
    </row>
    <row r="3" spans="1:12" ht="13.2">
      <c r="A3" s="3666" t="s">
        <v>1264</v>
      </c>
      <c r="B3" s="3667"/>
      <c r="C3" s="3667"/>
      <c r="D3" s="3667"/>
      <c r="E3" s="3667"/>
      <c r="F3" s="3667"/>
      <c r="G3" s="3667"/>
      <c r="H3" s="3667"/>
      <c r="I3" s="3667"/>
    </row>
    <row r="4" spans="1:12" ht="14.4">
      <c r="A4" s="1754" t="s">
        <v>1265</v>
      </c>
      <c r="B4" s="1755" t="s">
        <v>1266</v>
      </c>
      <c r="C4" s="1756" t="s">
        <v>3443</v>
      </c>
      <c r="D4" s="1756" t="s">
        <v>3530</v>
      </c>
      <c r="E4" s="3671" t="s">
        <v>1267</v>
      </c>
      <c r="F4" s="3672"/>
      <c r="G4" s="3672"/>
      <c r="H4" s="3672"/>
      <c r="I4" s="3673"/>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10" t="s">
        <v>1268</v>
      </c>
      <c r="B5" s="3665">
        <v>25</v>
      </c>
      <c r="C5" s="3668">
        <v>2</v>
      </c>
      <c r="D5" s="3656">
        <f>10-C5</f>
        <v>8</v>
      </c>
      <c r="E5" s="131" t="s">
        <v>1269</v>
      </c>
      <c r="F5" s="1757"/>
      <c r="G5" s="1757"/>
      <c r="H5" s="1757"/>
      <c r="I5" s="1373"/>
    </row>
    <row r="6" spans="1:12" ht="13.8" thickBot="1">
      <c r="A6" s="3610"/>
      <c r="B6" s="3665"/>
      <c r="C6" s="3670"/>
      <c r="D6" s="3656"/>
      <c r="E6" s="131" t="s">
        <v>1270</v>
      </c>
      <c r="F6" s="1757"/>
      <c r="G6" s="1757"/>
      <c r="H6" s="1757"/>
      <c r="I6" s="1373"/>
    </row>
    <row r="7" spans="1:12" ht="13.2" hidden="1">
      <c r="A7" s="3610"/>
      <c r="B7" s="3665"/>
      <c r="C7" s="3669"/>
      <c r="D7" s="3656"/>
      <c r="E7" s="131" t="s">
        <v>1271</v>
      </c>
      <c r="F7" s="1757"/>
      <c r="G7" s="1757"/>
      <c r="H7" s="1757"/>
      <c r="I7" s="1373"/>
    </row>
    <row r="8" spans="1:12" ht="13.2" hidden="1">
      <c r="A8" s="3610" t="s">
        <v>1272</v>
      </c>
      <c r="B8" s="3665">
        <v>15</v>
      </c>
      <c r="C8" s="3668"/>
      <c r="D8" s="3656"/>
      <c r="E8" s="131" t="s">
        <v>1273</v>
      </c>
      <c r="F8" s="1757"/>
      <c r="G8" s="1757"/>
      <c r="H8" s="1757"/>
      <c r="I8" s="1373"/>
    </row>
    <row r="9" spans="1:12" ht="13.2" hidden="1">
      <c r="A9" s="3610"/>
      <c r="B9" s="3665"/>
      <c r="C9" s="3669"/>
      <c r="D9" s="3656"/>
      <c r="E9" s="131" t="s">
        <v>1274</v>
      </c>
      <c r="F9" s="1757"/>
      <c r="G9" s="1757"/>
      <c r="H9" s="1757"/>
      <c r="I9" s="1373"/>
    </row>
    <row r="10" spans="1:12" ht="13.2" hidden="1">
      <c r="A10" s="3610" t="s">
        <v>1275</v>
      </c>
      <c r="B10" s="3665">
        <v>15</v>
      </c>
      <c r="C10" s="3668"/>
      <c r="D10" s="3656"/>
      <c r="E10" s="131" t="s">
        <v>1276</v>
      </c>
      <c r="F10" s="1757"/>
      <c r="G10" s="1757"/>
      <c r="H10" s="1757"/>
      <c r="I10" s="1373"/>
    </row>
    <row r="11" spans="1:12" ht="13.2" hidden="1">
      <c r="A11" s="3610"/>
      <c r="B11" s="3665"/>
      <c r="C11" s="3669"/>
      <c r="D11" s="3656"/>
      <c r="E11" s="131" t="s">
        <v>1277</v>
      </c>
      <c r="F11" s="1757"/>
      <c r="G11" s="1757"/>
      <c r="H11" s="1757"/>
      <c r="I11" s="1373"/>
    </row>
    <row r="12" spans="1:12" ht="13.2" hidden="1">
      <c r="A12" s="3610" t="s">
        <v>1278</v>
      </c>
      <c r="B12" s="3665">
        <v>15</v>
      </c>
      <c r="C12" s="3668"/>
      <c r="D12" s="3656"/>
      <c r="E12" s="131" t="s">
        <v>1279</v>
      </c>
      <c r="F12" s="1757"/>
      <c r="G12" s="1757"/>
      <c r="H12" s="1757"/>
      <c r="I12" s="1373"/>
    </row>
    <row r="13" spans="1:12" ht="13.2" hidden="1">
      <c r="A13" s="3610"/>
      <c r="B13" s="3665"/>
      <c r="C13" s="3669"/>
      <c r="D13" s="3656"/>
      <c r="E13" s="131" t="s">
        <v>1280</v>
      </c>
      <c r="F13" s="1757"/>
      <c r="G13" s="1757"/>
      <c r="H13" s="1757"/>
      <c r="I13" s="1373"/>
    </row>
    <row r="14" spans="1:12" ht="13.2" hidden="1">
      <c r="A14" s="3610" t="s">
        <v>1281</v>
      </c>
      <c r="B14" s="3665">
        <v>30</v>
      </c>
      <c r="C14" s="3668"/>
      <c r="D14" s="3656"/>
      <c r="E14" s="131" t="s">
        <v>1282</v>
      </c>
      <c r="F14" s="1757"/>
      <c r="G14" s="1757"/>
      <c r="H14" s="1757"/>
      <c r="I14" s="1373"/>
    </row>
    <row r="15" spans="1:12" ht="13.2" hidden="1">
      <c r="A15" s="3610"/>
      <c r="B15" s="3665"/>
      <c r="C15" s="3670"/>
      <c r="D15" s="3656"/>
      <c r="E15" s="131" t="s">
        <v>1283</v>
      </c>
      <c r="F15" s="1757"/>
      <c r="G15" s="1757"/>
      <c r="H15" s="1757"/>
      <c r="I15" s="1373"/>
    </row>
    <row r="16" spans="1:12" ht="13.2" hidden="1">
      <c r="A16" s="3610"/>
      <c r="B16" s="3665"/>
      <c r="C16" s="3669"/>
      <c r="D16" s="3656"/>
      <c r="E16" s="131" t="s">
        <v>1284</v>
      </c>
      <c r="F16" s="1757"/>
      <c r="G16" s="1757"/>
      <c r="H16" s="1757"/>
      <c r="I16" s="1373"/>
    </row>
    <row r="17" spans="1:36" ht="14.4" hidden="1">
      <c r="A17" s="1758" t="s">
        <v>1285</v>
      </c>
      <c r="B17" s="56"/>
      <c r="C17" s="132">
        <f>SUM(C5:C16)</f>
        <v>2</v>
      </c>
      <c r="D17" s="132">
        <f>SUM(D5:D16)</f>
        <v>8</v>
      </c>
      <c r="E17" s="129"/>
      <c r="F17" s="129"/>
      <c r="G17" s="129"/>
      <c r="H17" s="129"/>
      <c r="I17" s="129"/>
      <c r="K17" s="302"/>
      <c r="L17" s="302" t="s">
        <v>1286</v>
      </c>
      <c r="M17" s="302" t="s">
        <v>1287</v>
      </c>
    </row>
    <row r="18" spans="1:36" ht="31.95" hidden="1" customHeight="1" thickBot="1">
      <c r="A18" s="1759" t="s">
        <v>1288</v>
      </c>
      <c r="B18" s="1760"/>
      <c r="C18" s="133">
        <f>ROUND(C17/SUM(C17:D17),2)</f>
        <v>0.2</v>
      </c>
      <c r="D18" s="133">
        <f>1-C18</f>
        <v>0.8</v>
      </c>
      <c r="E18" s="3687" t="s">
        <v>2131</v>
      </c>
      <c r="F18" s="3688"/>
      <c r="G18" s="3688"/>
      <c r="H18" s="3688"/>
      <c r="I18" s="3688"/>
      <c r="K18" s="302" t="s">
        <v>1289</v>
      </c>
      <c r="L18" s="302">
        <f>IF(C1="",'数据-汇总表'!E3,SUMIF(项目类型,C1,'数据-汇总表'!E17:E26)+SUMIF(项目类型,C1,'数据-汇总表'!I17:I26))</f>
        <v>64.67</v>
      </c>
      <c r="M18" s="302">
        <f>IF(C1="",'数据-汇总表'!E3,SUMIF(项目类型,C1,'数据-汇总表'!E17:E26))</f>
        <v>64.67</v>
      </c>
    </row>
    <row r="19" spans="1:36" ht="14.4">
      <c r="A19" s="1761" t="s">
        <v>1290</v>
      </c>
      <c r="B19" s="1762" t="s">
        <v>1291</v>
      </c>
      <c r="C19" s="134">
        <f ca="1">SUMIF(INDIRECT("'"&amp;C4&amp;"'"&amp;"!A:A"),结果表!B19,INDIRECT("'"&amp;C4&amp;"'"&amp;"!B:B"))</f>
        <v>243.14</v>
      </c>
      <c r="D19" s="135">
        <f ca="1">SUMIF(INDIRECT("'"&amp;D4&amp;"'"&amp;"!A:A"),结果表!B19,INDIRECT("'"&amp;D4&amp;"'"&amp;"!B:B"))</f>
        <v>576.1644</v>
      </c>
      <c r="E19" s="1761" t="s">
        <v>1292</v>
      </c>
      <c r="F19" s="1762" t="s">
        <v>1291</v>
      </c>
      <c r="G19" s="136">
        <f ca="1">ROUND(C19*$C$18+D19*$D$18,0)</f>
        <v>510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37597</v>
      </c>
      <c r="D20" s="138">
        <f ca="1">SUMIF(INDIRECT("'"&amp;D4&amp;"'"&amp;"!A:A"),结果表!B20,INDIRECT("'"&amp;D4&amp;"'"&amp;"!B:B"))</f>
        <v>89093</v>
      </c>
      <c r="E20" s="1764"/>
      <c r="F20" s="1026" t="s">
        <v>1295</v>
      </c>
      <c r="G20" s="139">
        <f ca="1">ROUND(C20*$C$18+D20*$D$18,0)</f>
        <v>78794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1.3696816648844288</v>
      </c>
      <c r="E22" s="129"/>
      <c r="F22" s="129"/>
      <c r="G22" s="129">
        <f ca="1">G20*'数据-汇总表'!E3</f>
        <v>5095607.9800000004</v>
      </c>
      <c r="H22" s="129"/>
      <c r="I22" s="129"/>
    </row>
    <row r="23" spans="1:36" ht="13.8" thickBot="1">
      <c r="A23" s="1747"/>
      <c r="B23" s="1747"/>
      <c r="C23" s="1747"/>
      <c r="D23" s="1747"/>
      <c r="E23" s="129"/>
      <c r="F23" s="129"/>
      <c r="G23" s="129"/>
      <c r="H23" s="129"/>
      <c r="I23" s="129"/>
    </row>
    <row r="24" spans="1:36" ht="14.4">
      <c r="A24" s="3680" t="s">
        <v>1299</v>
      </c>
      <c r="B24" s="1762" t="s">
        <v>1291</v>
      </c>
      <c r="C24" s="136">
        <f>IF(B30=0,0,D30)</f>
        <v>0</v>
      </c>
      <c r="D24" s="1769"/>
      <c r="E24" s="129"/>
      <c r="F24" s="129"/>
      <c r="G24" s="129">
        <f ca="1">G20/'比较法-住宅'!G47</f>
        <v>0.98943931688328002</v>
      </c>
      <c r="H24" s="129"/>
      <c r="I24" s="129"/>
    </row>
    <row r="25" spans="1:36" ht="14.4">
      <c r="A25" s="368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 customHeight="1" thickTop="1" thickBot="1">
      <c r="A31" s="2301"/>
      <c r="B31" s="2302"/>
      <c r="C31" s="2302"/>
      <c r="D31" s="2302"/>
      <c r="E31" s="2302"/>
      <c r="F31" s="2302"/>
      <c r="G31" s="2302"/>
      <c r="H31" s="2302"/>
      <c r="I31" s="2303" t="s">
        <v>2133</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5.6" thickTop="1" thickBot="1">
      <c r="A32" s="1773" t="s">
        <v>1305</v>
      </c>
      <c r="B32" s="1774"/>
      <c r="C32" s="144">
        <f ca="1">IF(D32="总价",G19-C24,G20-C25)</f>
        <v>78794</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57" t="s">
        <v>1312</v>
      </c>
      <c r="B36" s="1787" t="s">
        <v>1313</v>
      </c>
      <c r="C36" s="145"/>
      <c r="D36" s="1788"/>
      <c r="E36" s="1789"/>
      <c r="F36" s="1790"/>
      <c r="G36" s="129"/>
      <c r="H36" s="129"/>
      <c r="I36" s="129"/>
    </row>
    <row r="37" spans="1:15" ht="15" thickBot="1">
      <c r="A37" s="3658"/>
      <c r="B37" s="1674" t="s">
        <v>1314</v>
      </c>
      <c r="C37" s="147"/>
      <c r="D37" s="1139"/>
      <c r="E37" s="1139"/>
      <c r="F37" s="1790"/>
      <c r="G37" s="129"/>
      <c r="H37" s="129"/>
      <c r="I37" s="129"/>
    </row>
    <row r="38" spans="1:15" ht="15" thickBot="1">
      <c r="A38" s="3659"/>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77" t="s">
        <v>1326</v>
      </c>
      <c r="B45" s="3678"/>
      <c r="C45" s="3679"/>
      <c r="D45" s="155" t="e">
        <f ca="1">ROUND(H101*F45,0)</f>
        <v>#REF!</v>
      </c>
      <c r="E45" s="156" t="s">
        <v>1327</v>
      </c>
      <c r="F45" s="157">
        <v>1</v>
      </c>
      <c r="G45" s="158" t="s">
        <v>1328</v>
      </c>
      <c r="H45" s="129"/>
      <c r="I45" s="129"/>
      <c r="J45" s="3597" t="s">
        <v>1329</v>
      </c>
      <c r="K45" s="3597"/>
      <c r="L45" s="3597"/>
      <c r="M45" s="3597"/>
      <c r="N45" s="3597"/>
      <c r="O45" s="3597"/>
    </row>
    <row r="46" spans="1:15" ht="14.25" customHeight="1">
      <c r="A46" s="3674" t="s">
        <v>1330</v>
      </c>
      <c r="B46" s="3675"/>
      <c r="C46" s="3675"/>
      <c r="D46" s="3675"/>
      <c r="E46" s="3675"/>
      <c r="F46" s="3675"/>
      <c r="G46" s="3676"/>
      <c r="H46" s="1806"/>
      <c r="I46" s="159"/>
      <c r="J46" s="2520">
        <v>1</v>
      </c>
      <c r="K46" s="3598" t="s">
        <v>1331</v>
      </c>
      <c r="L46" s="3598"/>
      <c r="M46" s="3599"/>
      <c r="N46" s="3599"/>
      <c r="O46" s="3599"/>
    </row>
    <row r="47" spans="1:15" ht="12" customHeight="1">
      <c r="A47" s="160" t="s">
        <v>1332</v>
      </c>
      <c r="B47" s="161"/>
      <c r="C47" s="162"/>
      <c r="D47" s="1087" t="s">
        <v>1333</v>
      </c>
      <c r="E47" s="302" t="s">
        <v>1334</v>
      </c>
      <c r="F47" s="163" t="s">
        <v>1335</v>
      </c>
      <c r="G47" s="2543" t="s">
        <v>1336</v>
      </c>
      <c r="H47" s="2544"/>
      <c r="I47" s="159"/>
      <c r="J47" s="2520">
        <v>2</v>
      </c>
      <c r="K47" s="3598" t="s">
        <v>1337</v>
      </c>
      <c r="L47" s="3598"/>
      <c r="M47" s="3600">
        <f>'数据-取费表'!B2</f>
        <v>45699</v>
      </c>
      <c r="N47" s="3600"/>
      <c r="O47" s="3600"/>
    </row>
    <row r="48" spans="1:15" ht="26.4">
      <c r="A48" s="3660" t="s">
        <v>1338</v>
      </c>
      <c r="B48" s="3661"/>
      <c r="C48" s="3661"/>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6"/>
      <c r="J48" s="2520">
        <v>3</v>
      </c>
      <c r="K48" s="3598" t="s">
        <v>1340</v>
      </c>
      <c r="L48" s="3598"/>
      <c r="M48" s="3601" t="e">
        <f ca="1">H101</f>
        <v>#REF!</v>
      </c>
      <c r="N48" s="3601"/>
      <c r="O48" s="3601"/>
    </row>
    <row r="49" spans="1:35" ht="25.5" customHeight="1">
      <c r="A49" s="2330" t="s">
        <v>1341</v>
      </c>
      <c r="B49" s="3646" t="s">
        <v>1342</v>
      </c>
      <c r="C49" s="3646"/>
      <c r="D49" s="1590">
        <v>0</v>
      </c>
      <c r="E49" s="324" t="s">
        <v>1343</v>
      </c>
      <c r="F49" s="2421" t="s">
        <v>28</v>
      </c>
      <c r="G49" s="3629"/>
      <c r="H49" s="2307" t="s">
        <v>2134</v>
      </c>
      <c r="I49" s="2308"/>
      <c r="J49" s="2520">
        <v>4</v>
      </c>
      <c r="K49" s="3598" t="str">
        <f>IF(项目基本情况!E8="房地产抵押价值","房地产抵押价值","抵押担保权已注销时的房地产抵押价值")</f>
        <v>抵押担保权已注销时的房地产抵押价值</v>
      </c>
      <c r="L49" s="3598"/>
      <c r="M49" s="3601" t="str">
        <f>IF(项目基本情况!E8="房地产抵押价值",H107,H109)</f>
        <v>——</v>
      </c>
      <c r="N49" s="3601"/>
      <c r="O49" s="3601"/>
    </row>
    <row r="50" spans="1:35" ht="25.5" customHeight="1">
      <c r="A50" s="2548"/>
      <c r="B50" s="3646" t="s">
        <v>1344</v>
      </c>
      <c r="C50" s="3646"/>
      <c r="D50" s="2549"/>
      <c r="E50" s="332"/>
      <c r="F50" s="2421"/>
      <c r="G50" s="3630"/>
      <c r="H50" s="2309" t="s">
        <v>2135</v>
      </c>
      <c r="I50" s="2308"/>
      <c r="J50" s="3597" t="s">
        <v>1345</v>
      </c>
      <c r="K50" s="3597"/>
      <c r="L50" s="3597"/>
      <c r="M50" s="3597"/>
      <c r="N50" s="3597"/>
      <c r="O50" s="3597"/>
    </row>
    <row r="51" spans="1:35" ht="20.399999999999999" customHeight="1">
      <c r="A51" s="2550"/>
      <c r="B51" s="3646" t="s">
        <v>1346</v>
      </c>
      <c r="C51" s="3646"/>
      <c r="D51" s="1087"/>
      <c r="E51" s="327"/>
      <c r="F51" s="2421"/>
      <c r="G51" s="3631"/>
      <c r="H51" s="2309" t="s">
        <v>2136</v>
      </c>
      <c r="I51" s="2308"/>
      <c r="J51" s="2521" t="s">
        <v>1347</v>
      </c>
      <c r="K51" s="3598" t="s">
        <v>1348</v>
      </c>
      <c r="L51" s="3598"/>
      <c r="M51" s="2521" t="s">
        <v>1349</v>
      </c>
      <c r="N51" s="2521" t="s">
        <v>1350</v>
      </c>
      <c r="O51" s="2521" t="s">
        <v>1351</v>
      </c>
    </row>
    <row r="52" spans="1:35" ht="24" customHeight="1">
      <c r="A52" s="2332" t="s">
        <v>1352</v>
      </c>
      <c r="B52" s="3646" t="s">
        <v>1353</v>
      </c>
      <c r="C52" s="3646"/>
      <c r="D52" s="1087" t="e">
        <f ca="1">ROUND(D45*'数据-取费表'!B41/(1+'数据-取费表'!C42),0)</f>
        <v>#REF!</v>
      </c>
      <c r="E52" s="2331" t="s">
        <v>1354</v>
      </c>
      <c r="F52" s="2551">
        <f>'数据-取费表'!B41</f>
        <v>5.6000000000000001E-2</v>
      </c>
      <c r="G52" s="2552"/>
      <c r="H52" s="2541"/>
      <c r="I52" s="1807"/>
      <c r="J52" s="2520">
        <v>1</v>
      </c>
      <c r="K52" s="3623" t="s">
        <v>1355</v>
      </c>
      <c r="L52" s="3623"/>
      <c r="M52" s="2522" t="b">
        <f>D48</f>
        <v>0</v>
      </c>
      <c r="N52" s="2520" t="str">
        <f>E48</f>
        <v>销售额×税（费）率</v>
      </c>
      <c r="O52" s="2523">
        <f>F48</f>
        <v>5.6000000000000001E-2</v>
      </c>
    </row>
    <row r="53" spans="1:35" ht="12" customHeight="1">
      <c r="A53" s="2332" t="s">
        <v>1356</v>
      </c>
      <c r="B53" s="3647" t="s">
        <v>2291</v>
      </c>
      <c r="C53" s="3648"/>
      <c r="D53" s="1087" t="e">
        <f ca="1">ROUND(D45*'数据-取费表'!B41/(1+'数据-取费表'!C42),0)</f>
        <v>#REF!</v>
      </c>
      <c r="E53" s="2331" t="s">
        <v>1354</v>
      </c>
      <c r="F53" s="2551">
        <f>'数据-取费表'!B41</f>
        <v>5.6000000000000001E-2</v>
      </c>
      <c r="G53" s="2552"/>
      <c r="H53" s="2541"/>
      <c r="I53" s="1807"/>
      <c r="J53" s="2520">
        <v>2</v>
      </c>
      <c r="K53" s="3623" t="s">
        <v>1357</v>
      </c>
      <c r="L53" s="3623"/>
      <c r="M53" s="2522" t="e">
        <f t="shared" ref="M53:O54" ca="1" si="0">D55</f>
        <v>#REF!</v>
      </c>
      <c r="N53" s="2520" t="str">
        <f t="shared" si="0"/>
        <v>销售额×税（费）率</v>
      </c>
      <c r="O53" s="2523" t="str">
        <f t="shared" si="0"/>
        <v>免征</v>
      </c>
    </row>
    <row r="54" spans="1:35" ht="12" customHeight="1">
      <c r="A54" s="2332" t="s">
        <v>1358</v>
      </c>
      <c r="B54" s="3647" t="s">
        <v>2292</v>
      </c>
      <c r="C54" s="3648"/>
      <c r="D54" s="1087" t="e">
        <f ca="1">C68</f>
        <v>#REF!</v>
      </c>
      <c r="E54" s="327" t="s">
        <v>1359</v>
      </c>
      <c r="F54" s="2551">
        <f>'数据-取费表'!B41</f>
        <v>5.6000000000000001E-2</v>
      </c>
      <c r="G54" s="2552"/>
      <c r="H54" s="2553"/>
      <c r="I54" s="1807"/>
      <c r="J54" s="2520">
        <v>3</v>
      </c>
      <c r="K54" s="3623" t="s">
        <v>1360</v>
      </c>
      <c r="L54" s="3623"/>
      <c r="M54" s="2522" t="e">
        <f t="shared" ca="1" si="0"/>
        <v>#REF!</v>
      </c>
      <c r="N54" s="2520" t="str">
        <f t="shared" si="0"/>
        <v>增值额×税（费）率</v>
      </c>
      <c r="O54" s="2524" t="str">
        <f t="shared" si="0"/>
        <v>免征</v>
      </c>
    </row>
    <row r="55" spans="1:35" ht="24" customHeight="1">
      <c r="A55" s="3683" t="s">
        <v>1361</v>
      </c>
      <c r="B55" s="3661"/>
      <c r="C55" s="3661"/>
      <c r="D55" s="2321" t="e">
        <f ca="1">IF(H55="个人住宅",0,ROUND(D45*I55,0))</f>
        <v>#REF!</v>
      </c>
      <c r="E55" s="2331" t="s">
        <v>1362</v>
      </c>
      <c r="F55" s="2551" t="str">
        <f>IF(H55="正常",I55,"免征")</f>
        <v>免征</v>
      </c>
      <c r="G55" s="2552"/>
      <c r="H55" s="2547"/>
      <c r="I55" s="165">
        <f>'数据-取费表'!B49</f>
        <v>5.0000000000000001E-4</v>
      </c>
      <c r="J55" s="2520">
        <f>IF(H59="非个人房产","",4)</f>
        <v>4</v>
      </c>
      <c r="K55" s="3623" t="str">
        <f>IF(H59="非个人房产","——","个人所得税")</f>
        <v>个人所得税</v>
      </c>
      <c r="L55" s="3623"/>
      <c r="M55" s="2525" t="e">
        <f ca="1">D59</f>
        <v>#REF!</v>
      </c>
      <c r="N55" s="2037" t="str">
        <f>E59</f>
        <v>差额计税</v>
      </c>
      <c r="O55" s="2526">
        <f>F59</f>
        <v>0.01</v>
      </c>
    </row>
    <row r="56" spans="1:35" ht="25.2">
      <c r="A56" s="3683" t="s">
        <v>1363</v>
      </c>
      <c r="B56" s="3661"/>
      <c r="C56" s="3661"/>
      <c r="D56" s="2321" t="e">
        <f ca="1">IF(H56="个人住宅",D57,D58)</f>
        <v>#REF!</v>
      </c>
      <c r="E56" s="2331" t="s">
        <v>1364</v>
      </c>
      <c r="F56" s="2551" t="str">
        <f>IF(H56="正常",F58,"免征")</f>
        <v>免征</v>
      </c>
      <c r="G56" s="2554" t="s">
        <v>1365</v>
      </c>
      <c r="H56" s="2555"/>
      <c r="I56" s="1808"/>
      <c r="J56" s="2520" t="str">
        <f>IF(项目基本情况!K6="上海银行",IF(J55="",4,J55+1),"")</f>
        <v/>
      </c>
      <c r="K56" s="3604" t="str">
        <f>IF(项目基本情况!K6="上海银行","其他处置费用","")</f>
        <v/>
      </c>
      <c r="L56" s="3605"/>
      <c r="M56" s="2522" t="str">
        <f>IF(项目基本情况!K6="上海银行",M69,"")</f>
        <v/>
      </c>
      <c r="N56" s="3604" t="str">
        <f>IF(项目基本情况!K6="上海银行","包含处置中涉及的律师、诉讼、拍卖、评估等费用","")</f>
        <v/>
      </c>
      <c r="O56" s="3607"/>
    </row>
    <row r="57" spans="1:35" ht="13.2">
      <c r="A57" s="2332" t="s">
        <v>1341</v>
      </c>
      <c r="B57" s="3647" t="s">
        <v>1366</v>
      </c>
      <c r="C57" s="3648"/>
      <c r="D57" s="1590">
        <v>0</v>
      </c>
      <c r="E57" s="324" t="s">
        <v>1343</v>
      </c>
      <c r="F57" s="302"/>
      <c r="G57" s="2552"/>
      <c r="H57" s="2556"/>
      <c r="I57" s="1808"/>
      <c r="J57" s="3623">
        <f>IF(AND(J55="",J56=""),4,IF(项目基本情况!K6="上海银行",结果表!J56+1,结果表!J55+1))</f>
        <v>5</v>
      </c>
      <c r="K57" s="3623" t="s">
        <v>1367</v>
      </c>
      <c r="L57" s="2527" t="s">
        <v>1368</v>
      </c>
      <c r="M57" s="2528"/>
      <c r="N57" s="2529">
        <f ca="1">SUMIF(M52:M56,"&lt;9e307")</f>
        <v>0</v>
      </c>
      <c r="O57" s="2530"/>
      <c r="P57" s="2687" t="e">
        <f ca="1">N57/M49</f>
        <v>#VALUE!</v>
      </c>
    </row>
    <row r="58" spans="1:35" ht="25.2">
      <c r="A58" s="2332" t="s">
        <v>1352</v>
      </c>
      <c r="B58" s="3647" t="s">
        <v>1369</v>
      </c>
      <c r="C58" s="3646"/>
      <c r="D58" s="2321" t="e">
        <f ca="1">IF(H58="转让取得",C81,C97)</f>
        <v>#REF!</v>
      </c>
      <c r="E58" s="2331" t="s">
        <v>1364</v>
      </c>
      <c r="F58" s="302" t="s">
        <v>28</v>
      </c>
      <c r="G58" s="2552"/>
      <c r="H58" s="2555"/>
      <c r="I58" s="1808"/>
      <c r="J58" s="3623"/>
      <c r="K58" s="3623"/>
      <c r="L58" s="2527" t="s">
        <v>1370</v>
      </c>
      <c r="M58" s="2531"/>
      <c r="N58" s="2532" t="str">
        <f ca="1">NUMBERSTRING(INT(N57*10000),2)&amp;"元整"</f>
        <v>零元整</v>
      </c>
      <c r="O58" s="2533"/>
    </row>
    <row r="59" spans="1:35" ht="24.6" thickBot="1">
      <c r="A59" s="3627" t="s">
        <v>1371</v>
      </c>
      <c r="B59" s="3628"/>
      <c r="C59" s="3628"/>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625">
        <f>J57+1</f>
        <v>6</v>
      </c>
      <c r="K59" s="3623" t="s">
        <v>1372</v>
      </c>
      <c r="L59" s="2520" t="s">
        <v>1368</v>
      </c>
      <c r="M59" s="2534"/>
      <c r="N59" s="2535" t="e">
        <f ca="1">M49-N57</f>
        <v>#VALUE!</v>
      </c>
      <c r="O59" s="2536"/>
    </row>
    <row r="60" spans="1:35" ht="12" customHeight="1">
      <c r="A60" s="1809"/>
      <c r="B60" s="1747"/>
      <c r="C60" s="1747"/>
      <c r="D60" s="1747"/>
      <c r="E60" s="1578"/>
      <c r="F60" s="1808"/>
      <c r="G60" s="1808"/>
      <c r="H60" s="1810"/>
      <c r="I60" s="129"/>
      <c r="J60" s="3626"/>
      <c r="K60" s="3623"/>
      <c r="L60" s="2527" t="s">
        <v>1370</v>
      </c>
      <c r="M60" s="2531"/>
      <c r="N60" s="2532" t="e">
        <f ca="1">NUMBERSTRING(INT(N59*10000),2)&amp;"元整"</f>
        <v>#VALUE!</v>
      </c>
      <c r="O60" s="2533"/>
    </row>
    <row r="61" spans="1:35" ht="13.8" thickBot="1">
      <c r="A61" s="3682" t="s">
        <v>1373</v>
      </c>
      <c r="B61" s="3682"/>
      <c r="C61" s="3682"/>
      <c r="D61" s="3682"/>
      <c r="E61" s="3682"/>
      <c r="F61" s="1808"/>
      <c r="G61" s="1808"/>
      <c r="H61" s="1810"/>
      <c r="I61" s="129"/>
      <c r="J61" s="2520">
        <f>J59+1</f>
        <v>7</v>
      </c>
      <c r="K61" s="3623" t="s">
        <v>1374</v>
      </c>
      <c r="L61" s="3623"/>
      <c r="M61" s="2537"/>
      <c r="N61" s="2538" t="e">
        <f ca="1">ROUND(N59*10000/'数据-汇总表'!E3,0)</f>
        <v>#VALUE!</v>
      </c>
      <c r="O61" s="2539"/>
    </row>
    <row r="62" spans="1:35" ht="13.2">
      <c r="A62" s="3642" t="s">
        <v>1375</v>
      </c>
      <c r="B62" s="3643"/>
      <c r="C62" s="2018"/>
      <c r="D62" s="2018" t="s">
        <v>1376</v>
      </c>
      <c r="E62" s="166" t="s">
        <v>1377</v>
      </c>
      <c r="F62" s="1808"/>
      <c r="G62" s="1808"/>
      <c r="H62" s="1810"/>
      <c r="I62" s="129"/>
    </row>
    <row r="63" spans="1:35" ht="13.2">
      <c r="A63" s="173" t="s">
        <v>330</v>
      </c>
      <c r="B63" s="167" t="s">
        <v>1378</v>
      </c>
      <c r="C63" s="2561" t="e">
        <f ca="1">ROUND((C64+C65)/(1+'数据-取费表'!C42),0)</f>
        <v>#REF!</v>
      </c>
      <c r="D63" s="167"/>
      <c r="E63" s="168"/>
      <c r="F63" s="1808"/>
      <c r="G63" s="1808"/>
      <c r="H63" s="1810"/>
      <c r="I63" s="129"/>
      <c r="J63" s="3606" t="s">
        <v>1379</v>
      </c>
      <c r="K63" s="1332" t="s">
        <v>1380</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1381</v>
      </c>
      <c r="C64" s="2562" t="e">
        <f ca="1">D45</f>
        <v>#REF!</v>
      </c>
      <c r="D64" s="170" t="s">
        <v>26</v>
      </c>
      <c r="E64" s="172"/>
      <c r="F64" s="1808"/>
      <c r="G64" s="1808"/>
      <c r="H64" s="1810"/>
      <c r="I64" s="129"/>
      <c r="J64" s="3606"/>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2"/>
      <c r="AI64" s="1753"/>
    </row>
    <row r="65" spans="1:35" ht="14.25" customHeight="1">
      <c r="A65" s="169" t="s">
        <v>326</v>
      </c>
      <c r="B65" s="170" t="s">
        <v>1384</v>
      </c>
      <c r="C65" s="2563"/>
      <c r="D65" s="170"/>
      <c r="E65" s="172"/>
      <c r="F65" s="1808"/>
      <c r="G65" s="1808"/>
      <c r="H65" s="1810"/>
      <c r="I65" s="129"/>
      <c r="J65" s="3606"/>
      <c r="K65" s="1332" t="s">
        <v>1385</v>
      </c>
      <c r="L65" s="1332" t="e">
        <f>IF(M49&gt;1000,M49*0.1%,IF(AND(M49&gt;500,M49&lt;=1000),M49*0.5%,IF(AND(M49&gt;50,M49&lt;=500),M49*1%,IF(AND(M49&gt;1,M49&lt;=50),M49*1.5%))))</f>
        <v>#VALUE!</v>
      </c>
      <c r="M65" s="302" t="e">
        <f t="shared" si="1"/>
        <v>#VALUE!</v>
      </c>
      <c r="N65" s="2541" t="s">
        <v>1383</v>
      </c>
      <c r="Z65" s="1752"/>
      <c r="AI65" s="1753"/>
    </row>
    <row r="66" spans="1:35" ht="14.25" customHeight="1">
      <c r="A66" s="173" t="s">
        <v>327</v>
      </c>
      <c r="B66" s="174" t="s">
        <v>1386</v>
      </c>
      <c r="C66" s="2564"/>
      <c r="D66" s="174" t="s">
        <v>26</v>
      </c>
      <c r="E66" s="1338" t="s">
        <v>671</v>
      </c>
      <c r="F66" s="1808"/>
      <c r="G66" s="1808"/>
      <c r="H66" s="1810"/>
      <c r="I66" s="129"/>
      <c r="J66" s="3606"/>
      <c r="K66" s="1332" t="s">
        <v>1387</v>
      </c>
      <c r="L66" s="1332" t="e">
        <f>M49*0.5%</f>
        <v>#VALUE!</v>
      </c>
      <c r="M66" s="302" t="e">
        <f>IF(L66&gt;0.5,0.5,ROUND(L66,0))</f>
        <v>#VALUE!</v>
      </c>
      <c r="N66" s="2541" t="s">
        <v>1388</v>
      </c>
      <c r="Z66" s="1752"/>
      <c r="AI66" s="1753"/>
    </row>
    <row r="67" spans="1:35" ht="14.25" customHeight="1">
      <c r="A67" s="173" t="s">
        <v>328</v>
      </c>
      <c r="B67" s="174" t="s">
        <v>1389</v>
      </c>
      <c r="C67" s="2565" t="e">
        <f ca="1">C63-C66</f>
        <v>#REF!</v>
      </c>
      <c r="D67" s="170" t="s">
        <v>26</v>
      </c>
      <c r="E67" s="172"/>
      <c r="F67" s="1808"/>
      <c r="G67" s="1808"/>
      <c r="H67" s="1810"/>
      <c r="I67" s="129"/>
      <c r="J67" s="3606"/>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1391</v>
      </c>
      <c r="C68" s="2566" t="e">
        <f ca="1">IF(C67&lt;=0,0,ROUND(C67*D68,0))</f>
        <v>#REF!</v>
      </c>
      <c r="D68" s="2567">
        <f>'数据-取费表'!B41</f>
        <v>5.6000000000000001E-2</v>
      </c>
      <c r="E68" s="178"/>
      <c r="F68" s="1808"/>
      <c r="G68" s="1808"/>
      <c r="H68" s="1810"/>
      <c r="I68" s="129"/>
      <c r="J68" s="3606"/>
      <c r="K68" s="1332" t="s">
        <v>1392</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06"/>
      <c r="K69" s="1332" t="s">
        <v>1393</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50" t="s">
        <v>1394</v>
      </c>
      <c r="B70" s="3651"/>
      <c r="C70" s="3651"/>
      <c r="D70" s="3651"/>
      <c r="E70" s="3651"/>
      <c r="F70" s="3651"/>
      <c r="G70" s="3651"/>
      <c r="H70" s="3651"/>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42" t="s">
        <v>1375</v>
      </c>
      <c r="B71" s="3643"/>
      <c r="C71" s="2018"/>
      <c r="D71" s="2018"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5" t="e">
        <f ca="1">ROUND(D45/(1+'数据-取费表'!C42),0)</f>
        <v>#REF!</v>
      </c>
      <c r="D72" s="170" t="s">
        <v>26</v>
      </c>
      <c r="E72" s="2328"/>
      <c r="F72" s="2327"/>
      <c r="G72" s="2327"/>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5" t="e">
        <f ca="1">C74+C78</f>
        <v>#REF!</v>
      </c>
      <c r="D73" s="170" t="s">
        <v>26</v>
      </c>
      <c r="E73" s="2328"/>
      <c r="F73" s="2327"/>
      <c r="G73" s="232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8"/>
      <c r="F74" s="2327"/>
      <c r="G74" s="232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647" t="s">
        <v>1402</v>
      </c>
      <c r="F76" s="3646"/>
      <c r="G76" s="3646"/>
      <c r="H76" s="364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2"/>
      <c r="H77" s="232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t="e">
        <f ca="1">ROUND(D45*D78/(1+'数据-取费表'!C42),0)</f>
        <v>#REF!</v>
      </c>
      <c r="D78" s="2574">
        <f>'数据-取费表'!B43</f>
        <v>6.000000000000001E-3</v>
      </c>
      <c r="E78" s="3639" t="s">
        <v>1406</v>
      </c>
      <c r="F78" s="3640"/>
      <c r="G78" s="3640"/>
      <c r="H78" s="364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5" t="e">
        <f ca="1">C72-C73</f>
        <v>#REF!</v>
      </c>
      <c r="D79" s="170" t="s">
        <v>26</v>
      </c>
      <c r="E79" s="2328"/>
      <c r="F79" s="2327"/>
      <c r="G79" s="232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50" t="s">
        <v>1410</v>
      </c>
      <c r="B83" s="3651"/>
      <c r="C83" s="3651"/>
      <c r="D83" s="3651"/>
      <c r="E83" s="3651"/>
      <c r="F83" s="3651"/>
      <c r="G83" s="3651"/>
      <c r="H83" s="365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42" t="s">
        <v>1375</v>
      </c>
      <c r="B84" s="3643"/>
      <c r="C84" s="2018"/>
      <c r="D84" s="2018"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5" t="e">
        <f ca="1">ROUND(D45/(1+'数据-取费表'!C42),0)</f>
        <v>#REF!</v>
      </c>
      <c r="D85" s="170" t="s">
        <v>26</v>
      </c>
      <c r="E85" s="2328"/>
      <c r="F85" s="2327"/>
      <c r="G85" s="232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5" t="e">
        <f ca="1">IF(H88="仅含出让金",C87+C90+C91+C92+C93+C94,C87+C91+C92+C93+C94)</f>
        <v>#REF!</v>
      </c>
      <c r="D86" s="2578"/>
      <c r="E86" s="2328"/>
      <c r="F86" s="2327"/>
      <c r="G86" s="232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3">
        <f>C88+C89</f>
        <v>0</v>
      </c>
      <c r="D87" s="2574"/>
      <c r="E87" s="2323"/>
      <c r="F87" s="2324"/>
      <c r="G87" s="2324"/>
      <c r="H87" s="232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79"/>
      <c r="D88" s="2574"/>
      <c r="E88" s="193" t="s">
        <v>1413</v>
      </c>
      <c r="F88" s="2324"/>
      <c r="G88" s="194" t="s">
        <v>1414</v>
      </c>
      <c r="H88" s="1824"/>
      <c r="I88" s="1821"/>
      <c r="J88" s="2518"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3">
        <f>ROUND(C88*D89,0)</f>
        <v>0</v>
      </c>
      <c r="D89" s="2574">
        <f>'数据-取费表'!B48+'数据-取费表'!B49</f>
        <v>3.0499999999999999E-2</v>
      </c>
      <c r="E89" s="193" t="s">
        <v>1415</v>
      </c>
      <c r="F89" s="2324"/>
      <c r="G89" s="2324"/>
      <c r="H89" s="232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79"/>
      <c r="D90" s="2574"/>
      <c r="E90" s="193" t="str">
        <f>IF(H88="-","土地取得成本中已包含该笔费用"," ")</f>
        <v xml:space="preserve"> </v>
      </c>
      <c r="F90" s="2324"/>
      <c r="G90" s="3608" t="s">
        <v>2129</v>
      </c>
      <c r="H90" s="3609"/>
      <c r="I90" s="1821"/>
      <c r="J90" s="2518"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639" t="s">
        <v>1419</v>
      </c>
      <c r="F91" s="3640"/>
      <c r="G91" s="364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639" t="s">
        <v>1422</v>
      </c>
      <c r="F92" s="3640"/>
      <c r="G92" s="3640"/>
      <c r="H92" s="3641"/>
      <c r="I92" s="1821"/>
      <c r="J92" s="2519"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t="e">
        <f ca="1">ROUND(D45*D93/(1+'数据-取费表'!C42),0)</f>
        <v>#REF!</v>
      </c>
      <c r="D93" s="2574">
        <f>'数据-取费表'!B43</f>
        <v>6.000000000000001E-3</v>
      </c>
      <c r="E93" s="3639" t="s">
        <v>1406</v>
      </c>
      <c r="F93" s="3640"/>
      <c r="G93" s="3640"/>
      <c r="H93" s="364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684" t="s">
        <v>1426</v>
      </c>
      <c r="F94" s="3685"/>
      <c r="G94" s="3685"/>
      <c r="H94" s="368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5" t="e">
        <f ca="1">ROUND(C85-C86,0)</f>
        <v>#REF!</v>
      </c>
      <c r="D95" s="170" t="s">
        <v>26</v>
      </c>
      <c r="E95" s="2328"/>
      <c r="F95" s="2327"/>
      <c r="G95" s="232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9" t="s">
        <v>1428</v>
      </c>
      <c r="B100" s="3590"/>
      <c r="C100" s="3590"/>
      <c r="D100" s="3624"/>
      <c r="E100" s="3590" t="s">
        <v>1429</v>
      </c>
      <c r="F100" s="3590"/>
      <c r="G100" s="3590"/>
      <c r="H100" s="3624"/>
      <c r="I100" s="129"/>
    </row>
    <row r="101" spans="1:35" ht="18.75" customHeight="1">
      <c r="A101" s="3632" t="s">
        <v>1430</v>
      </c>
      <c r="B101" s="3633"/>
      <c r="C101" s="2582" t="str">
        <f>C4</f>
        <v>收益法 (元)</v>
      </c>
      <c r="D101" s="2583" t="str">
        <f>D4</f>
        <v>比较法-住宅</v>
      </c>
      <c r="E101" s="3602" t="s">
        <v>1431</v>
      </c>
      <c r="F101" s="3603"/>
      <c r="G101" s="1827" t="s">
        <v>1432</v>
      </c>
      <c r="H101" s="2592" t="e">
        <f ca="1">H118</f>
        <v>#REF!</v>
      </c>
      <c r="I101" s="129"/>
    </row>
    <row r="102" spans="1:35" ht="18.75" customHeight="1">
      <c r="A102" s="3634" t="s">
        <v>1433</v>
      </c>
      <c r="B102" s="2581" t="s">
        <v>1432</v>
      </c>
      <c r="C102" s="2582">
        <f ca="1">IF(D32="楼面单价",ROUND(C19,0),C19)</f>
        <v>243.14</v>
      </c>
      <c r="D102" s="2583">
        <f ca="1">IF(D32="楼面单价",ROUND(D19,0),D19)</f>
        <v>576.1644</v>
      </c>
      <c r="E102" s="3602"/>
      <c r="F102" s="3603"/>
      <c r="G102" s="1827" t="s">
        <v>1434</v>
      </c>
      <c r="H102" s="2552" t="e">
        <f ca="1">I118</f>
        <v>#REF!</v>
      </c>
      <c r="I102" s="129"/>
    </row>
    <row r="103" spans="1:35" ht="42.75" customHeight="1">
      <c r="A103" s="3634"/>
      <c r="B103" s="2581" t="s">
        <v>1434</v>
      </c>
      <c r="C103" s="2584">
        <f ca="1">C20</f>
        <v>37597</v>
      </c>
      <c r="D103" s="2585">
        <f ca="1">D20</f>
        <v>89093</v>
      </c>
      <c r="E103" s="3595" t="s">
        <v>1435</v>
      </c>
      <c r="F103" s="3596"/>
      <c r="G103" s="1828" t="s">
        <v>1436</v>
      </c>
      <c r="H103" s="2592">
        <f>IF(D36="正常操作",H104+H105+H106,H105+H106)</f>
        <v>0</v>
      </c>
      <c r="I103" s="129"/>
    </row>
    <row r="104" spans="1:35" ht="18.75" customHeight="1">
      <c r="A104" s="3634" t="s">
        <v>1437</v>
      </c>
      <c r="B104" s="2586" t="s">
        <v>1432</v>
      </c>
      <c r="C104" s="2587" t="e">
        <f ca="1">H118</f>
        <v>#REF!</v>
      </c>
      <c r="D104" s="2588"/>
      <c r="E104" s="1674" t="s">
        <v>1438</v>
      </c>
      <c r="F104" s="1666"/>
      <c r="G104" s="1828" t="s">
        <v>1436</v>
      </c>
      <c r="H104" s="2593">
        <f>IF(D36="同一抵押权人同一抵押物续贷",C36&amp;"（续贷，未扣减，详见特别提示）",C36)</f>
        <v>0</v>
      </c>
      <c r="I104" s="129"/>
    </row>
    <row r="105" spans="1:35" ht="18.75" customHeight="1" thickBot="1">
      <c r="A105" s="3644"/>
      <c r="B105" s="2589" t="s">
        <v>1434</v>
      </c>
      <c r="C105" s="2590" t="e">
        <f ca="1">I118</f>
        <v>#REF!</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635" t="str">
        <f>IF(项目基本情况!E8="已注销","——","3.房地产抵押价值")</f>
        <v>3.房地产抵押价值</v>
      </c>
      <c r="F107" s="3603"/>
      <c r="G107" s="1827" t="s">
        <v>1432</v>
      </c>
      <c r="H107" s="2592" t="e">
        <f ca="1">IF(E107="——","——",H101-H103)</f>
        <v>#REF!</v>
      </c>
      <c r="I107" s="129"/>
    </row>
    <row r="108" spans="1:35" ht="18.75" customHeight="1">
      <c r="A108" s="129"/>
      <c r="B108" s="129"/>
      <c r="C108" s="129"/>
      <c r="D108" s="129"/>
      <c r="E108" s="3635"/>
      <c r="F108" s="3603"/>
      <c r="G108" s="1827" t="s">
        <v>1434</v>
      </c>
      <c r="H108" s="2552">
        <f ca="1">IF(H107=H101,H102,ROUND(H107*10000/'数据-汇总表'!E3,0))</f>
        <v>0</v>
      </c>
      <c r="I108" s="129"/>
    </row>
    <row r="109" spans="1:35" ht="18.75" customHeight="1">
      <c r="A109" s="129"/>
      <c r="B109" s="129"/>
      <c r="C109" s="129"/>
      <c r="D109" s="129"/>
      <c r="E109" s="3635" t="str">
        <f>IF(项目基本情况!E8="已注销及未注销","4.抵押担保权已注销时的房地产抵押价值",IF(项目基本情况!E8="已注销","3.抵押担保权已注销时的房地产抵押价值","——"))</f>
        <v>——</v>
      </c>
      <c r="F109" s="3603"/>
      <c r="G109" s="1827" t="s">
        <v>1432</v>
      </c>
      <c r="H109" s="2595" t="str">
        <f>IF(E109="——","——",H101-H105-H106)</f>
        <v>——</v>
      </c>
      <c r="I109" s="129"/>
    </row>
    <row r="110" spans="1:35" ht="18.75" customHeight="1">
      <c r="A110" s="129"/>
      <c r="B110" s="129"/>
      <c r="C110" s="129"/>
      <c r="D110" s="129"/>
      <c r="E110" s="3635"/>
      <c r="F110" s="3603"/>
      <c r="G110" s="1827" t="s">
        <v>1434</v>
      </c>
      <c r="H110" s="2552" t="str">
        <f>IF(H109="——","——",ROUND(H109*10000/'数据-汇总表'!E3,0))</f>
        <v>——</v>
      </c>
      <c r="I110" s="129"/>
    </row>
    <row r="111" spans="1:35" ht="18.75" customHeight="1">
      <c r="A111" s="129"/>
      <c r="B111" s="129"/>
      <c r="C111" s="129"/>
      <c r="D111" s="129"/>
      <c r="E111" s="3636" t="str">
        <f>IF(项目基本情况!E9="抵押净值",IF(OR(项目基本情况!E8="已注销",项目基本情况!E8="房地产抵押价值"),"4.抵押净值","5.抵押净值"),"——")</f>
        <v>——</v>
      </c>
      <c r="F111" s="3622"/>
      <c r="G111" s="1827" t="s">
        <v>1432</v>
      </c>
      <c r="H111" s="2592" t="str">
        <f>IF(E111="——","——",N59)</f>
        <v>——</v>
      </c>
      <c r="I111" s="129"/>
    </row>
    <row r="112" spans="1:35" ht="18.75" customHeight="1" thickBot="1">
      <c r="A112" s="129"/>
      <c r="B112" s="129"/>
      <c r="C112" s="129"/>
      <c r="D112" s="129"/>
      <c r="E112" s="3637"/>
      <c r="F112" s="3638"/>
      <c r="G112" s="1830" t="s">
        <v>1434</v>
      </c>
      <c r="H112" s="2596" t="str">
        <f>IF(E111="——","——",N61)</f>
        <v>——</v>
      </c>
      <c r="I112" s="129"/>
    </row>
    <row r="113" spans="1:27" ht="18.75" customHeight="1">
      <c r="A113" s="129"/>
      <c r="B113" s="129"/>
      <c r="C113" s="129"/>
      <c r="D113" s="129"/>
      <c r="E113" s="3645" t="s">
        <v>1440</v>
      </c>
      <c r="F113" s="3645"/>
      <c r="G113" s="3645"/>
      <c r="H113" s="3645"/>
      <c r="I113" s="129"/>
    </row>
    <row r="114" spans="1:27" ht="3.75" customHeight="1">
      <c r="A114" s="1747"/>
      <c r="B114" s="1747"/>
      <c r="C114" s="1747"/>
      <c r="D114" s="1747"/>
      <c r="E114" s="1809"/>
      <c r="F114" s="1809"/>
      <c r="G114" s="1809"/>
      <c r="H114" s="1809"/>
      <c r="I114" s="1747"/>
    </row>
    <row r="115" spans="1:27" ht="18.75" customHeight="1">
      <c r="A115" s="3653" t="s">
        <v>1442</v>
      </c>
      <c r="B115" s="3654"/>
      <c r="C115" s="3654"/>
      <c r="D115" s="3654"/>
      <c r="E115" s="3654"/>
      <c r="F115" s="3654"/>
      <c r="G115" s="3654"/>
      <c r="H115" s="3654"/>
      <c r="I115" s="3655"/>
    </row>
    <row r="116" spans="1:27" ht="27" customHeight="1">
      <c r="A116" s="3610" t="s">
        <v>1443</v>
      </c>
      <c r="B116" s="3614" t="s">
        <v>1444</v>
      </c>
      <c r="C116" s="3614" t="s">
        <v>1445</v>
      </c>
      <c r="D116" s="3620" t="s">
        <v>1446</v>
      </c>
      <c r="E116" s="3621"/>
      <c r="F116" s="3652" t="s">
        <v>1447</v>
      </c>
      <c r="G116" s="3652"/>
      <c r="H116" s="3610" t="s">
        <v>1448</v>
      </c>
      <c r="I116" s="3610"/>
    </row>
    <row r="117" spans="1:27" ht="18.75" customHeight="1">
      <c r="A117" s="3610"/>
      <c r="B117" s="3615"/>
      <c r="C117" s="3615"/>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64.67</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610" t="s">
        <v>1452</v>
      </c>
      <c r="B119" s="3610"/>
      <c r="C119" s="3610"/>
      <c r="D119" s="3616" t="e">
        <f ca="1">NUMBERSTRING(INT(D118*10000),2)&amp;"元整"</f>
        <v>#REF!</v>
      </c>
      <c r="E119" s="3617"/>
      <c r="F119" s="3616" t="e">
        <f ca="1">NUMBERSTRING(INT(F118*10000),2)&amp;"元整"</f>
        <v>#REF!</v>
      </c>
      <c r="G119" s="3617"/>
      <c r="H119" s="3616" t="e">
        <f ca="1">NUMBERSTRING(INT(H118*10000),2)&amp;"元整"</f>
        <v>#REF!</v>
      </c>
      <c r="I119" s="3617"/>
    </row>
    <row r="120" spans="1:27" ht="18.75" customHeight="1">
      <c r="A120" s="3611" t="str">
        <f>IF(项目基本情况!B9="房地产市场价值","",MID(E103,3,LEN(E103)-2))</f>
        <v/>
      </c>
      <c r="B120" s="3612"/>
      <c r="C120" s="3613"/>
      <c r="D120" s="3611">
        <f>H103</f>
        <v>0</v>
      </c>
      <c r="E120" s="3612"/>
      <c r="F120" s="3612"/>
      <c r="G120" s="3612"/>
      <c r="H120" s="3612"/>
      <c r="I120" s="361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6" t="s">
        <v>1452</v>
      </c>
      <c r="B121" s="3618"/>
      <c r="C121" s="3617"/>
      <c r="D121" s="3616" t="str">
        <f>IF(D120=0,"零元整",NUMBERSTRING(INT(D120*10000),2)&amp;"元整")</f>
        <v>零元整</v>
      </c>
      <c r="E121" s="3618"/>
      <c r="F121" s="3618"/>
      <c r="G121" s="3618"/>
      <c r="H121" s="3618"/>
      <c r="I121" s="3617"/>
      <c r="AA121" s="725"/>
    </row>
    <row r="122" spans="1:27" ht="18.75" customHeight="1">
      <c r="A122" s="3622" t="str">
        <f>IF(项目基本情况!B9="房地产市场价值","",MID(E107,3,LEN(E107)-2))</f>
        <v/>
      </c>
      <c r="B122" s="3622"/>
      <c r="C122" s="3622"/>
      <c r="D122" s="3611" t="e">
        <f ca="1">H107</f>
        <v>#REF!</v>
      </c>
      <c r="E122" s="3612"/>
      <c r="F122" s="3612"/>
      <c r="G122" s="3612"/>
      <c r="H122" s="3612"/>
      <c r="I122" s="3613"/>
      <c r="AA122" s="725"/>
    </row>
    <row r="123" spans="1:27" ht="18.75" customHeight="1">
      <c r="A123" s="3610" t="s">
        <v>1452</v>
      </c>
      <c r="B123" s="3610"/>
      <c r="C123" s="3610"/>
      <c r="D123" s="3616" t="e">
        <f ca="1">NUMBERSTRING(INT(D122*10000),2)&amp;"元整"</f>
        <v>#REF!</v>
      </c>
      <c r="E123" s="3618"/>
      <c r="F123" s="3618"/>
      <c r="G123" s="3618"/>
      <c r="H123" s="3618"/>
      <c r="I123" s="3617"/>
      <c r="AA123" s="725"/>
    </row>
    <row r="124" spans="1:27" ht="18.75" customHeight="1">
      <c r="A124" s="3622" t="str">
        <f>IF(项目基本情况!B9="房地产市场价值","",MID(E109,3,LEN(E109)-2))</f>
        <v/>
      </c>
      <c r="B124" s="3622"/>
      <c r="C124" s="3622"/>
      <c r="D124" s="3611" t="str">
        <f>H109</f>
        <v>——</v>
      </c>
      <c r="E124" s="3612"/>
      <c r="F124" s="3612"/>
      <c r="G124" s="3612"/>
      <c r="H124" s="3612"/>
      <c r="I124" s="3613"/>
      <c r="AA124" s="725"/>
    </row>
    <row r="125" spans="1:27" ht="18.75" customHeight="1">
      <c r="A125" s="3610" t="s">
        <v>1452</v>
      </c>
      <c r="B125" s="3610"/>
      <c r="C125" s="3610"/>
      <c r="D125" s="3616" t="e">
        <f>NUMBERSTRING(INT(D124*10000),2)&amp;"元整"</f>
        <v>#VALUE!</v>
      </c>
      <c r="E125" s="3618"/>
      <c r="F125" s="3618"/>
      <c r="G125" s="3618"/>
      <c r="H125" s="3618"/>
      <c r="I125" s="3617"/>
      <c r="AA125" s="725"/>
    </row>
    <row r="126" spans="1:27" ht="18.75" customHeight="1">
      <c r="A126" s="3622" t="str">
        <f>IF(项目基本情况!B9="房地产市场价值","",MID(E111,3,LEN(E111)-2))</f>
        <v/>
      </c>
      <c r="B126" s="3622"/>
      <c r="C126" s="3622"/>
      <c r="D126" s="3611" t="str">
        <f>H111</f>
        <v>——</v>
      </c>
      <c r="E126" s="3612"/>
      <c r="F126" s="3612"/>
      <c r="G126" s="3612"/>
      <c r="H126" s="3612"/>
      <c r="I126" s="3613"/>
      <c r="AA126" s="725"/>
    </row>
    <row r="127" spans="1:27" ht="18.75" customHeight="1">
      <c r="A127" s="3610" t="s">
        <v>1452</v>
      </c>
      <c r="B127" s="3610"/>
      <c r="C127" s="3610"/>
      <c r="D127" s="3616" t="e">
        <f>NUMBERSTRING(INT(D126*10000),2)&amp;"元整"</f>
        <v>#VALUE!</v>
      </c>
      <c r="E127" s="3618"/>
      <c r="F127" s="3618"/>
      <c r="G127" s="3618"/>
      <c r="H127" s="3618"/>
      <c r="I127" s="3617"/>
      <c r="AA127" s="725"/>
    </row>
    <row r="128" spans="1:27" ht="21.75" customHeight="1">
      <c r="A128" s="3619" t="s">
        <v>1453</v>
      </c>
      <c r="B128" s="3619"/>
      <c r="C128" s="3619"/>
      <c r="D128" s="3619"/>
      <c r="E128" s="3619"/>
      <c r="F128" s="3619"/>
      <c r="G128" s="3619"/>
      <c r="H128" s="3619"/>
      <c r="I128" s="361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14" sqref="L14"/>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3866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64.67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64.67</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1.4E-3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6.4">
      <c r="A27" s="255" t="s">
        <v>1512</v>
      </c>
      <c r="B27" s="244" t="s">
        <v>1513</v>
      </c>
      <c r="C27" s="245">
        <f ca="1">C28</f>
        <v>0</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64.67</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89" t="s">
        <v>1544</v>
      </c>
    </row>
    <row r="43" spans="1:7" ht="13.5" customHeight="1">
      <c r="A43" s="780" t="s">
        <v>347</v>
      </c>
      <c r="B43" s="215" t="s">
        <v>1545</v>
      </c>
      <c r="C43" s="238">
        <f ca="1">ROUND(IF('数据-取费表'!B22&lt;=1,C39*F22*'数据-取费表'!B21/2,C39*(POWER((1+F22),'数据-取费表'!B21/2)-1)),0)</f>
        <v>0</v>
      </c>
      <c r="D43" s="238"/>
      <c r="E43" s="238"/>
      <c r="F43" s="239"/>
      <c r="G43" s="3690"/>
    </row>
    <row r="44" spans="1:7" ht="13.5" customHeight="1">
      <c r="A44" s="780" t="s">
        <v>348</v>
      </c>
      <c r="B44" s="215" t="s">
        <v>1546</v>
      </c>
      <c r="C44" s="238">
        <f ca="1">ROUND(IF('数据-取费表'!B22&lt;=1,C40*F22*'数据-取费表'!B21/2,C40*(POWER((1+F22),'数据-取费表'!B21/2)-1)),4)</f>
        <v>1.4E-3</v>
      </c>
      <c r="D44" s="238"/>
      <c r="E44" s="238"/>
      <c r="F44" s="239"/>
      <c r="G44" s="3691"/>
    </row>
    <row r="45" spans="1:7" s="214" customFormat="1" ht="13.5" customHeight="1">
      <c r="A45" s="255" t="s">
        <v>1547</v>
      </c>
      <c r="B45" s="244" t="s">
        <v>1513</v>
      </c>
      <c r="C45" s="245">
        <f ca="1">C46</f>
        <v>6</v>
      </c>
      <c r="D45" s="235">
        <f ca="1">C47</f>
        <v>7.4999999999999997E-3</v>
      </c>
      <c r="E45" s="236" t="s">
        <v>1539</v>
      </c>
      <c r="F45" s="246">
        <f ca="1">F27</f>
        <v>0.25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34</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24</v>
      </c>
      <c r="D51" s="232"/>
      <c r="E51" s="232"/>
      <c r="F51" s="264"/>
      <c r="G51" s="234" t="s">
        <v>1560</v>
      </c>
    </row>
    <row r="52" spans="1:7" s="208" customFormat="1" ht="16.8" thickBot="1">
      <c r="A52" s="265" t="s">
        <v>1561</v>
      </c>
      <c r="B52" s="266"/>
      <c r="C52" s="267">
        <f ca="1">C31+C51</f>
        <v>25</v>
      </c>
      <c r="D52" s="266"/>
      <c r="E52" s="266"/>
      <c r="F52" s="266"/>
      <c r="G52" s="268"/>
    </row>
    <row r="55" spans="1:7" ht="15">
      <c r="B55" s="270" t="s">
        <v>1562</v>
      </c>
      <c r="C55" s="271"/>
    </row>
    <row r="56" spans="1:7">
      <c r="B56" s="273" t="s">
        <v>802</v>
      </c>
      <c r="C56" s="275">
        <f ca="1">1-C57</f>
        <v>4.0000000000000036E-2</v>
      </c>
    </row>
    <row r="57" spans="1:7">
      <c r="B57" s="273" t="s">
        <v>803</v>
      </c>
      <c r="C57" s="274">
        <f ca="1">ROUND(C51/C52,3)</f>
        <v>0.96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06" t="str">
        <f>项目基本情况!B1</f>
        <v>北京市房地产市场价值预评估</v>
      </c>
      <c r="C37" s="3506"/>
      <c r="D37" s="3506"/>
      <c r="E37" s="3506"/>
      <c r="F37" s="3506"/>
      <c r="G37" s="3506"/>
      <c r="H37" s="3506"/>
      <c r="I37" s="350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14" sqref="L1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27.798300000000001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4298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10347</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10347</v>
      </c>
      <c r="D8" s="222"/>
      <c r="E8" s="220"/>
      <c r="F8" s="221"/>
      <c r="G8" s="1856"/>
    </row>
    <row r="9" spans="1:8" s="214" customFormat="1" ht="13.5" customHeight="1">
      <c r="A9" s="779" t="s">
        <v>355</v>
      </c>
      <c r="B9" s="224" t="s">
        <v>1478</v>
      </c>
      <c r="C9" s="225">
        <f ca="1">ROUND(D9*E9,0)</f>
        <v>10347</v>
      </c>
      <c r="D9" s="845">
        <f ca="1">IF(B1="",'数据-汇总表'!E5,IF(INDIRECT("'数据-取费表'!c"&amp;$G$1)="住宅",INDIRECT("'数据-取费表'!k"&amp;$G$1),0))</f>
        <v>64.67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12934</v>
      </c>
      <c r="D19" s="849">
        <f ca="1">D9+D10</f>
        <v>64.67</v>
      </c>
      <c r="E19" s="211">
        <f>'数据-取费表'!B31</f>
        <v>200</v>
      </c>
      <c r="F19" s="231"/>
      <c r="G19" s="1856"/>
    </row>
    <row r="20" spans="1:7" s="214" customFormat="1" ht="13.5" customHeight="1">
      <c r="A20" s="255" t="s">
        <v>1574</v>
      </c>
      <c r="B20" s="210" t="s">
        <v>1575</v>
      </c>
      <c r="C20" s="232">
        <f ca="1">ROUND((C5+C19)*F20,0)</f>
        <v>233</v>
      </c>
      <c r="D20" s="232"/>
      <c r="E20" s="232"/>
      <c r="F20" s="233">
        <f>'数据-取费表'!B37</f>
        <v>0.01</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2275</v>
      </c>
      <c r="D22" s="235">
        <f ca="1">C26</f>
        <v>1.4E-3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1006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1258</v>
      </c>
      <c r="D24" s="238"/>
      <c r="E24" s="238"/>
      <c r="F24" s="239"/>
      <c r="G24" s="240" t="s">
        <v>1586</v>
      </c>
    </row>
    <row r="25" spans="1:7" s="214" customFormat="1" ht="24">
      <c r="A25" s="780" t="s">
        <v>1476</v>
      </c>
      <c r="B25" s="215" t="s">
        <v>1587</v>
      </c>
      <c r="C25" s="1128">
        <f ca="1">ROUND(IF('数据-取费表'!B22&lt;=1,C20*F22*'数据-取费表'!B22/2,C20*(POWER((1+F22),'数据-取费表'!B22/2)-1)),0)</f>
        <v>11</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6.4">
      <c r="A27" s="255" t="s">
        <v>1512</v>
      </c>
      <c r="B27" s="244" t="s">
        <v>1513</v>
      </c>
      <c r="C27" s="245">
        <f ca="1">C28</f>
        <v>5879</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ROUND((C5+C19+C20)*F27,0)</f>
        <v>5879</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34884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240572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206944</v>
      </c>
      <c r="D34" s="217"/>
      <c r="E34" s="220"/>
      <c r="F34" s="257"/>
      <c r="G34" s="219"/>
    </row>
    <row r="35" spans="1:7" ht="13.5" customHeight="1">
      <c r="A35" s="780" t="s">
        <v>351</v>
      </c>
      <c r="B35" s="215" t="s">
        <v>1527</v>
      </c>
      <c r="C35" s="220">
        <f ca="1">ROUND(C34*F35,0)</f>
        <v>6208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10347</v>
      </c>
      <c r="D36" s="220"/>
      <c r="E36" s="220"/>
      <c r="F36" s="259">
        <f>'数据-取费表'!B34</f>
        <v>0.05</v>
      </c>
      <c r="G36" s="260" t="s">
        <v>1530</v>
      </c>
    </row>
    <row r="37" spans="1:7" s="258" customFormat="1" ht="13.5" customHeight="1">
      <c r="A37" s="780" t="s">
        <v>353</v>
      </c>
      <c r="B37" s="215" t="s">
        <v>1531</v>
      </c>
      <c r="C37" s="249">
        <f ca="1">ROUND(E37*D37,0)</f>
        <v>12934</v>
      </c>
      <c r="D37" s="217">
        <f ca="1">D19</f>
        <v>64.67</v>
      </c>
      <c r="E37" s="249">
        <f>'数据-取费表'!B35</f>
        <v>200</v>
      </c>
      <c r="F37" s="259"/>
      <c r="G37" s="261"/>
    </row>
    <row r="38" spans="1:7" ht="13.5" customHeight="1">
      <c r="A38" s="780" t="s">
        <v>354</v>
      </c>
      <c r="B38" s="215" t="s">
        <v>1533</v>
      </c>
      <c r="C38" s="220">
        <f ca="1">ROUND(C34*F38,0)</f>
        <v>4139</v>
      </c>
      <c r="D38" s="220"/>
      <c r="E38" s="220"/>
      <c r="F38" s="259">
        <f>'数据-取费表'!B36</f>
        <v>0.02</v>
      </c>
      <c r="G38" s="219" t="s">
        <v>1528</v>
      </c>
    </row>
    <row r="39" spans="1:7" s="214" customFormat="1" ht="13.5" customHeight="1">
      <c r="A39" s="255" t="s">
        <v>1534</v>
      </c>
      <c r="B39" s="210" t="s">
        <v>1535</v>
      </c>
      <c r="C39" s="232">
        <f ca="1">ROUND(C33*F20,0)</f>
        <v>2406</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11541</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11427</v>
      </c>
      <c r="D42" s="238"/>
      <c r="E42" s="238"/>
      <c r="F42" s="239"/>
      <c r="G42" s="3689" t="s">
        <v>1591</v>
      </c>
    </row>
    <row r="43" spans="1:7" ht="13.5" customHeight="1">
      <c r="A43" s="780" t="s">
        <v>347</v>
      </c>
      <c r="B43" s="215" t="s">
        <v>1545</v>
      </c>
      <c r="C43" s="238">
        <f ca="1">ROUND(IF('数据-取费表'!B22&lt;=1,C39*F22*'数据-取费表'!B20/2,C39*(POWER((1+F22),'数据-取费表'!B20/2)-1)),0)</f>
        <v>114</v>
      </c>
      <c r="D43" s="238"/>
      <c r="E43" s="238"/>
      <c r="F43" s="239"/>
      <c r="G43" s="3690"/>
    </row>
    <row r="44" spans="1:7" ht="13.5" customHeight="1">
      <c r="A44" s="780" t="s">
        <v>348</v>
      </c>
      <c r="B44" s="215" t="s">
        <v>1546</v>
      </c>
      <c r="C44" s="238">
        <f ca="1">ROUND(IF('数据-取费表'!B22&lt;=1,C40*F22*'数据-取费表'!B20/2,C40*(POWER((1+F22),'数据-取费表'!B20/2)-1)),4)</f>
        <v>1.4E-3</v>
      </c>
      <c r="D44" s="238"/>
      <c r="E44" s="238"/>
      <c r="F44" s="239"/>
      <c r="G44" s="3691"/>
    </row>
    <row r="45" spans="1:7" s="214" customFormat="1" ht="13.5" customHeight="1">
      <c r="A45" s="255" t="s">
        <v>1547</v>
      </c>
      <c r="B45" s="244" t="s">
        <v>1513</v>
      </c>
      <c r="C45" s="245">
        <f ca="1">C46</f>
        <v>60745</v>
      </c>
      <c r="D45" s="235">
        <f ca="1">C47</f>
        <v>7.4999999999999997E-3</v>
      </c>
      <c r="E45" s="236" t="s">
        <v>1539</v>
      </c>
      <c r="F45" s="246">
        <f ca="1">F27</f>
        <v>0.25</v>
      </c>
      <c r="G45" s="247" t="s">
        <v>1548</v>
      </c>
    </row>
    <row r="46" spans="1:7" s="214" customFormat="1" ht="13.5" customHeight="1">
      <c r="A46" s="780" t="s">
        <v>346</v>
      </c>
      <c r="B46" s="248" t="s">
        <v>1549</v>
      </c>
      <c r="C46" s="249">
        <f ca="1">ROUND((C33+C39)*F27,0)</f>
        <v>60745</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347284</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243099</v>
      </c>
      <c r="D51" s="232"/>
      <c r="E51" s="232"/>
      <c r="F51" s="264"/>
      <c r="G51" s="234" t="s">
        <v>1560</v>
      </c>
    </row>
    <row r="52" spans="1:7" s="208" customFormat="1" ht="16.8" thickBot="1">
      <c r="A52" s="265" t="s">
        <v>1561</v>
      </c>
      <c r="B52" s="266"/>
      <c r="C52" s="267">
        <f ca="1">C31+C51</f>
        <v>277983</v>
      </c>
      <c r="D52" s="266"/>
      <c r="E52" s="266"/>
      <c r="F52" s="266"/>
      <c r="G52" s="268"/>
    </row>
    <row r="55" spans="1:7" ht="15">
      <c r="B55" s="270" t="s">
        <v>1562</v>
      </c>
      <c r="C55" s="271"/>
    </row>
    <row r="56" spans="1:7">
      <c r="B56" s="273" t="s">
        <v>802</v>
      </c>
      <c r="C56" s="275">
        <f ca="1">1-C57</f>
        <v>0.125</v>
      </c>
    </row>
    <row r="57" spans="1:7">
      <c r="B57" s="273" t="s">
        <v>803</v>
      </c>
      <c r="C57" s="274">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L14" sqref="L1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3"/>
      <c r="F1" s="2803"/>
      <c r="G1" s="2668"/>
      <c r="H1" s="2803"/>
      <c r="I1" s="2803"/>
      <c r="J1" s="2803"/>
      <c r="K1" s="2804">
        <f>MATCH(C1,'数据-取费表'!A6:A16,0)+5</f>
        <v>7</v>
      </c>
    </row>
    <row r="2" spans="1:33" ht="18" customHeight="1">
      <c r="A2" s="201" t="s">
        <v>1462</v>
      </c>
      <c r="B2" s="204">
        <f ca="1">C32</f>
        <v>-1</v>
      </c>
      <c r="C2" s="276" t="s">
        <v>1595</v>
      </c>
      <c r="D2" s="276"/>
      <c r="E2" s="2803"/>
      <c r="F2" s="2803"/>
      <c r="G2" s="2803"/>
      <c r="H2" s="2803"/>
      <c r="I2" s="2803"/>
      <c r="J2" s="2803"/>
      <c r="K2" s="2803"/>
    </row>
    <row r="3" spans="1:33" ht="18" customHeight="1" thickBot="1">
      <c r="A3" s="203" t="s">
        <v>1464</v>
      </c>
      <c r="B3" s="204">
        <f ca="1">ROUND(B2*10000/IF(C1="",'数据-汇总表'!E3,INDIRECT("'数据-取费表'!K"&amp;$K$1)),0)</f>
        <v>-155</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64.67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64.67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64.67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L14" sqref="L1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4" t="s">
        <v>694</v>
      </c>
      <c r="C6" s="1074">
        <f ca="1">ROUND(F6*F8*F7*(1-F9)/10000,0)</f>
        <v>0</v>
      </c>
      <c r="D6" s="155" t="s">
        <v>2109</v>
      </c>
      <c r="E6" s="302" t="s">
        <v>696</v>
      </c>
      <c r="F6" s="303">
        <f ca="1">INDIRECT("'数据-取费表'!u"&amp;$G$1)</f>
        <v>0</v>
      </c>
      <c r="G6" s="1384"/>
      <c r="H6" s="1069" t="s">
        <v>398</v>
      </c>
      <c r="I6" s="3694" t="s">
        <v>694</v>
      </c>
      <c r="J6" s="301">
        <f ca="1">ROUND(M6*M8*M7*(1-M9)/10000,0)</f>
        <v>0</v>
      </c>
      <c r="K6" s="155" t="s">
        <v>2108</v>
      </c>
      <c r="L6" s="302" t="s">
        <v>696</v>
      </c>
      <c r="M6" s="303">
        <f ca="1">INDIRECT("'数据-取费表'!z"&amp;$G$1)</f>
        <v>0</v>
      </c>
    </row>
    <row r="7" spans="1:37" ht="18" customHeight="1">
      <c r="A7" s="1073"/>
      <c r="B7" s="3695"/>
      <c r="C7" s="1075"/>
      <c r="D7" s="307"/>
      <c r="E7" s="1076" t="s">
        <v>697</v>
      </c>
      <c r="F7" s="303">
        <f ca="1">IF(INDIRECT("'数据-取费表'!ah"&amp;$G$1)="",INDIRECT("'数据-取费表'!k"&amp;$G$1),INDIRECT("'数据-取费表'!ah"&amp;$G$1))</f>
        <v>0</v>
      </c>
      <c r="G7" s="1384"/>
      <c r="H7" s="304"/>
      <c r="I7" s="3695"/>
      <c r="J7" s="306"/>
      <c r="K7" s="307"/>
      <c r="L7" s="302" t="s">
        <v>697</v>
      </c>
      <c r="M7" s="303">
        <f ca="1">F7</f>
        <v>0</v>
      </c>
    </row>
    <row r="8" spans="1:37" ht="18" customHeight="1">
      <c r="A8" s="304"/>
      <c r="B8" s="3695"/>
      <c r="C8" s="306"/>
      <c r="D8" s="307"/>
      <c r="E8" s="302" t="s">
        <v>698</v>
      </c>
      <c r="F8" s="303">
        <f ca="1">INDIRECT("'数据-取费表'!ai"&amp;$G$1)</f>
        <v>0</v>
      </c>
      <c r="G8" s="1384"/>
      <c r="H8" s="304"/>
      <c r="I8" s="3695"/>
      <c r="J8" s="306"/>
      <c r="K8" s="307"/>
      <c r="L8" s="302" t="s">
        <v>698</v>
      </c>
      <c r="M8" s="303">
        <f ca="1">INDIRECT("'数据-取费表'!ai"&amp;$G$1)</f>
        <v>0</v>
      </c>
    </row>
    <row r="9" spans="1:37" ht="18" customHeight="1">
      <c r="A9" s="304"/>
      <c r="B9" s="3696"/>
      <c r="C9" s="306"/>
      <c r="D9" s="307"/>
      <c r="E9" s="302" t="s">
        <v>699</v>
      </c>
      <c r="F9" s="312">
        <f ca="1">INDIRECT("'数据-取费表'!w"&amp;$G$1)</f>
        <v>0</v>
      </c>
      <c r="G9" s="1384"/>
      <c r="H9" s="304"/>
      <c r="I9" s="369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3">
        <f ca="1">ROUND(IF(AND(项目基本情况!B11="自然人",项目基本情况!B10="北京市"),J6*M17/(1+'数据-取费表'!C42),J18+J19+J20),2)</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3">
        <f ca="1">ROUND(IF(AND(项目基本情况!B11="自然人",项目基本情况!B10="北京市"),C6*F31/(1+'数据-取费表'!C42),C32+C33+C34),2)</f>
        <v>0</v>
      </c>
      <c r="D31" s="1345" t="s">
        <v>720</v>
      </c>
      <c r="E31" s="1344" t="s">
        <v>770</v>
      </c>
      <c r="F31" s="2312">
        <f ca="1">IF(项目基本情况!B11="企业","——",IF(M47="住宅",IF(F6*F7*F8/12/(1+'数据-取费表'!F30)&gt;100000,4%,2.5%),IF(F6*F7*F8/12/(1+'数据-取费表'!F30)&gt;100000,12%,7%)))</f>
        <v>7.0000000000000007E-2</v>
      </c>
      <c r="G31" s="1384"/>
      <c r="H31" s="2805" t="s">
        <v>2306</v>
      </c>
      <c r="I31" s="1398"/>
      <c r="J31" s="1399"/>
      <c r="K31" s="2472"/>
      <c r="L31" s="2695"/>
      <c r="M31" s="2696"/>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5">
        <f ca="1">IF(M47="住宅",IF(D1="——",MAX(J51,L48),MAX(J51,L48-'数据-取费表'!B24)),IF(D1="——",MIN(J51,L48),MIN(J51,L48-'数据-取费表'!B24)))</f>
        <v>0</v>
      </c>
      <c r="K53" s="3692" t="s">
        <v>837</v>
      </c>
      <c r="L53" s="3693"/>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49" sqref="D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3429</v>
      </c>
      <c r="D1" s="1362" t="s">
        <v>43</v>
      </c>
      <c r="E1" s="1363" t="s">
        <v>678</v>
      </c>
      <c r="F1" s="1062">
        <f ca="1">J53</f>
        <v>29</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243.14</v>
      </c>
      <c r="C2" s="1387" t="s">
        <v>879</v>
      </c>
      <c r="D2" s="1471">
        <f ca="1">C40+J29+L46</f>
        <v>2431400</v>
      </c>
      <c r="E2" s="1388" t="s">
        <v>880</v>
      </c>
      <c r="F2" s="1389"/>
      <c r="G2" s="2703"/>
      <c r="H2" s="2692"/>
      <c r="I2" s="2692"/>
      <c r="J2" s="2692"/>
      <c r="K2" s="2693"/>
      <c r="L2" s="2692"/>
      <c r="M2" s="2692"/>
    </row>
    <row r="3" spans="1:37" ht="18" customHeight="1" thickBot="1">
      <c r="A3" s="1390" t="s">
        <v>881</v>
      </c>
      <c r="B3" s="1391">
        <f ca="1">IF(ISERROR(D2/F43),0,ROUND(D2/F43,0))</f>
        <v>37597</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109577</v>
      </c>
      <c r="D5" s="1364" t="s">
        <v>889</v>
      </c>
      <c r="E5" s="1071"/>
      <c r="F5" s="1072"/>
      <c r="G5" s="1384"/>
      <c r="H5" s="299">
        <v>1</v>
      </c>
      <c r="I5" s="300" t="s">
        <v>888</v>
      </c>
      <c r="J5" s="1070">
        <f ca="1">J6+J10+J12</f>
        <v>0</v>
      </c>
      <c r="K5" s="1364" t="s">
        <v>889</v>
      </c>
      <c r="L5" s="1071"/>
      <c r="M5" s="1072"/>
    </row>
    <row r="6" spans="1:37" ht="18" customHeight="1">
      <c r="A6" s="1069" t="s">
        <v>398</v>
      </c>
      <c r="B6" s="3694" t="s">
        <v>694</v>
      </c>
      <c r="C6" s="1074">
        <f ca="1">ROUND(F6*F8*F7*(1-F9),0)</f>
        <v>109440</v>
      </c>
      <c r="D6" s="155" t="s">
        <v>2106</v>
      </c>
      <c r="E6" s="302" t="s">
        <v>696</v>
      </c>
      <c r="F6" s="303">
        <f ca="1">INDIRECT("'数据-取费表'!u"&amp;$G$1)</f>
        <v>9600</v>
      </c>
      <c r="G6" s="1384"/>
      <c r="H6" s="1069" t="s">
        <v>398</v>
      </c>
      <c r="I6" s="3694" t="s">
        <v>694</v>
      </c>
      <c r="J6" s="301">
        <f ca="1">ROUND(M6*M8*M7*(1-M9),0)</f>
        <v>0</v>
      </c>
      <c r="K6" s="1376" t="s">
        <v>2107</v>
      </c>
      <c r="L6" s="302" t="s">
        <v>696</v>
      </c>
      <c r="M6" s="303">
        <f ca="1">INDIRECT("'数据-取费表'!z"&amp;$G$1)</f>
        <v>0</v>
      </c>
    </row>
    <row r="7" spans="1:37" ht="18" customHeight="1">
      <c r="A7" s="1073"/>
      <c r="B7" s="3695"/>
      <c r="C7" s="1075"/>
      <c r="D7" s="307"/>
      <c r="E7" s="1076" t="s">
        <v>697</v>
      </c>
      <c r="F7" s="303">
        <f ca="1">IF(INDIRECT("'数据-取费表'!ah"&amp;$G$1)="",INDIRECT("'数据-取费表'!k"&amp;$G$1),INDIRECT("'数据-取费表'!ah"&amp;$G$1))</f>
        <v>1</v>
      </c>
      <c r="G7" s="1384"/>
      <c r="H7" s="304"/>
      <c r="I7" s="3695"/>
      <c r="J7" s="306"/>
      <c r="K7" s="307"/>
      <c r="L7" s="302" t="s">
        <v>697</v>
      </c>
      <c r="M7" s="303">
        <f ca="1">F7</f>
        <v>1</v>
      </c>
    </row>
    <row r="8" spans="1:37" ht="18" customHeight="1">
      <c r="A8" s="304"/>
      <c r="B8" s="3695"/>
      <c r="C8" s="306"/>
      <c r="D8" s="307"/>
      <c r="E8" s="302" t="s">
        <v>698</v>
      </c>
      <c r="F8" s="303">
        <f ca="1">INDIRECT("'数据-取费表'!ai"&amp;$G$1)</f>
        <v>12</v>
      </c>
      <c r="G8" s="1384"/>
      <c r="H8" s="304"/>
      <c r="I8" s="3695"/>
      <c r="J8" s="306"/>
      <c r="K8" s="307"/>
      <c r="L8" s="302" t="s">
        <v>698</v>
      </c>
      <c r="M8" s="303">
        <f ca="1">INDIRECT("'数据-取费表'!ai"&amp;$G$1)</f>
        <v>12</v>
      </c>
    </row>
    <row r="9" spans="1:37" ht="18" customHeight="1">
      <c r="A9" s="304"/>
      <c r="B9" s="3696"/>
      <c r="C9" s="306"/>
      <c r="D9" s="307"/>
      <c r="E9" s="302" t="s">
        <v>699</v>
      </c>
      <c r="F9" s="312">
        <f ca="1">INDIRECT("'数据-取费表'!w"&amp;$G$1)</f>
        <v>0.05</v>
      </c>
      <c r="G9" s="1384"/>
      <c r="H9" s="304"/>
      <c r="I9" s="3696"/>
      <c r="J9" s="306"/>
      <c r="K9" s="307"/>
      <c r="L9" s="313" t="s">
        <v>699</v>
      </c>
      <c r="M9" s="314">
        <f ca="1">INDIRECT("'数据-取费表'!ab"&amp;$G$1)</f>
        <v>0</v>
      </c>
    </row>
    <row r="10" spans="1:37" ht="18" customHeight="1">
      <c r="A10" s="1069" t="s">
        <v>402</v>
      </c>
      <c r="B10" s="1365" t="s">
        <v>700</v>
      </c>
      <c r="C10" s="316">
        <f ca="1">ROUND(IF(F10="押一",C6/12*F11,IF(F10="押二",C6/12*2*F11,IF(F10="押三",C6/12*3*F11,C11*F11))),0)</f>
        <v>137</v>
      </c>
      <c r="D10" s="1366" t="s">
        <v>2116</v>
      </c>
      <c r="E10" s="313" t="s">
        <v>701</v>
      </c>
      <c r="F10" s="1116" t="s">
        <v>3445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243099</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206944</v>
      </c>
      <c r="D14" s="1345" t="s">
        <v>708</v>
      </c>
      <c r="E14" s="1342"/>
      <c r="F14" s="319"/>
      <c r="G14" s="1384"/>
      <c r="H14" s="982" t="s">
        <v>398</v>
      </c>
      <c r="I14" s="302" t="s">
        <v>709</v>
      </c>
      <c r="J14" s="21">
        <f ca="1">C29</f>
        <v>347284</v>
      </c>
      <c r="K14" s="12"/>
      <c r="L14" s="807"/>
      <c r="M14" s="808"/>
    </row>
    <row r="15" spans="1:37" s="1397" customFormat="1" ht="18" customHeight="1" thickBot="1">
      <c r="A15" s="982" t="s">
        <v>399</v>
      </c>
      <c r="B15" s="302" t="s">
        <v>710</v>
      </c>
      <c r="C15" s="21">
        <f ca="1">ROUND(C14*F15,0)</f>
        <v>6208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10347</v>
      </c>
      <c r="D16" s="302" t="s">
        <v>711</v>
      </c>
      <c r="E16" s="302" t="s">
        <v>712</v>
      </c>
      <c r="F16" s="322">
        <f ca="1">IF(INDIRECT("'数据-取费表'!c"&amp;$G$1)="住宅",'数据-取费表'!B34,0)</f>
        <v>0.05</v>
      </c>
      <c r="G16" s="1384"/>
      <c r="H16" s="1079" t="s">
        <v>393</v>
      </c>
      <c r="I16" s="1080" t="s">
        <v>714</v>
      </c>
      <c r="J16" s="310">
        <f ca="1">ROUND(J17+J22+J23+J24,0)</f>
        <v>347</v>
      </c>
      <c r="K16" s="1087" t="s">
        <v>715</v>
      </c>
      <c r="L16" s="1088"/>
      <c r="M16" s="1072"/>
    </row>
    <row r="17" spans="1:37" s="1397" customFormat="1" ht="18" customHeight="1">
      <c r="A17" s="982" t="s">
        <v>681</v>
      </c>
      <c r="B17" s="302" t="s">
        <v>716</v>
      </c>
      <c r="C17" s="21">
        <f ca="1">ROUND(F17*(F43+INDIRECT("'数据-取费表'!S"&amp;$G$1)),0)</f>
        <v>12934</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4139</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240572</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2406</v>
      </c>
      <c r="D20" s="323" t="s">
        <v>729</v>
      </c>
      <c r="E20" s="302" t="s">
        <v>712</v>
      </c>
      <c r="F20" s="322">
        <f>'数据-取费表'!B37</f>
        <v>0.01</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347</v>
      </c>
      <c r="K22" s="1344" t="s">
        <v>739</v>
      </c>
      <c r="L22" s="302" t="s">
        <v>712</v>
      </c>
      <c r="M22" s="328">
        <f ca="1">INDIRECT("'数据-取费表'!Ak"&amp;$G$1)</f>
        <v>1E-3</v>
      </c>
    </row>
    <row r="23" spans="1:37" s="1397" customFormat="1" ht="18" customHeight="1">
      <c r="A23" s="982" t="s">
        <v>397</v>
      </c>
      <c r="B23" s="302" t="s">
        <v>740</v>
      </c>
      <c r="C23" s="21">
        <f ca="1">IF('数据-取费表'!B22&lt;=1,ROUND(C19*F24*F23/2,0)+ROUND(C20*F24*F23/2,0),ROUND(C19*(POWER((1+F24),F23/2)-1),0)+ROUND(C20*(POWER((1+F24),F23/2)-1),0))</f>
        <v>11541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-347</v>
      </c>
      <c r="K25" s="1095" t="s">
        <v>753</v>
      </c>
      <c r="L25" s="1096"/>
      <c r="M25" s="1097"/>
    </row>
    <row r="26" spans="1:37" ht="18" customHeight="1">
      <c r="A26" s="982" t="s">
        <v>397</v>
      </c>
      <c r="B26" s="302" t="s">
        <v>754</v>
      </c>
      <c r="C26" s="21">
        <f ca="1">ROUND((C19+C20)*F26,0)</f>
        <v>60745</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7.4999999999999997E-3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347284</v>
      </c>
      <c r="D29" s="1092"/>
      <c r="E29" s="1090"/>
      <c r="F29" s="1093"/>
      <c r="G29" s="1396"/>
      <c r="H29" s="334" t="s">
        <v>396</v>
      </c>
      <c r="I29" s="335" t="s">
        <v>768</v>
      </c>
      <c r="J29" s="336">
        <f ca="1">ROUND(J26/(1+F40)^F41,0)</f>
        <v>0</v>
      </c>
      <c r="K29" s="337" t="s">
        <v>769</v>
      </c>
      <c r="L29" s="338"/>
      <c r="M29" s="339">
        <f ca="1">INDIRECT("'数据-取费表'!k"&amp;$G$1)</f>
        <v>64.67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3087</v>
      </c>
      <c r="D30" s="1087" t="s">
        <v>715</v>
      </c>
      <c r="E30" s="1088"/>
      <c r="F30" s="1072"/>
      <c r="G30" s="1384"/>
      <c r="H30" s="2694"/>
      <c r="I30" s="1398"/>
      <c r="J30" s="1399"/>
      <c r="K30" s="2472"/>
      <c r="L30" s="2695"/>
      <c r="M30" s="2696"/>
    </row>
    <row r="31" spans="1:37" ht="18" customHeight="1">
      <c r="A31" s="982" t="s">
        <v>398</v>
      </c>
      <c r="B31" s="302" t="s">
        <v>719</v>
      </c>
      <c r="C31" s="2313">
        <f ca="1">ROUND(IF(AND(项目基本情况!B11="自然人",项目基本情况!B10="北京市"),C6*F31/(1+'数据-取费表'!C42),C32+C33+C34),0)</f>
        <v>2606</v>
      </c>
      <c r="D31" s="1345" t="s">
        <v>720</v>
      </c>
      <c r="E31" s="1344" t="s">
        <v>770</v>
      </c>
      <c r="F31" s="2312">
        <f ca="1">IF(项目基本情况!B11="企业","——",IF(M47="住宅",IF(F6*F7*F8/12/(1+'数据-取费表'!F30)&gt;100000,4%,2.5%),IF(F6*F7*F8/12/(1+'数据-取费表'!F30)&gt;100000,12%,7%)))</f>
        <v>2.5000000000000001E-2</v>
      </c>
      <c r="G31" s="1384"/>
      <c r="H31" s="2805" t="s">
        <v>2306</v>
      </c>
      <c r="I31" s="1398"/>
      <c r="J31" s="1399"/>
      <c r="K31" s="2472"/>
      <c r="L31" s="2695"/>
      <c r="M31" s="2696"/>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IF(项目基本情况!B11="自然人","——",ROUND(F34*F35,0))</f>
        <v>——</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347</v>
      </c>
      <c r="D36" s="1344" t="s">
        <v>771</v>
      </c>
      <c r="E36" s="302" t="s">
        <v>712</v>
      </c>
      <c r="F36" s="328">
        <f ca="1">INDIRECT("'数据-取费表'!Ak"&amp;$G$1)</f>
        <v>1E-3</v>
      </c>
      <c r="G36" s="1384"/>
      <c r="H36" s="2697"/>
      <c r="I36" s="1398"/>
      <c r="J36" s="1399"/>
      <c r="K36" s="2541"/>
      <c r="L36" s="2697"/>
      <c r="M36" s="2697"/>
    </row>
    <row r="37" spans="1:18" ht="18" customHeight="1">
      <c r="A37" s="982" t="s">
        <v>437</v>
      </c>
      <c r="B37" s="302" t="s">
        <v>742</v>
      </c>
      <c r="C37" s="21">
        <f ca="1">ROUND(C13*F37,0)</f>
        <v>24</v>
      </c>
      <c r="D37" s="1344" t="s">
        <v>743</v>
      </c>
      <c r="E37" s="302" t="s">
        <v>744</v>
      </c>
      <c r="F37" s="330">
        <f ca="1">INDIRECT("'数据-取费表'!Al"&amp;$G$1)</f>
        <v>1E-4</v>
      </c>
      <c r="G37" s="1384"/>
      <c r="H37" s="2697"/>
      <c r="I37" s="1398"/>
      <c r="J37" s="1399"/>
      <c r="K37" s="2541"/>
      <c r="L37" s="2697"/>
      <c r="M37" s="2697"/>
    </row>
    <row r="38" spans="1:18" ht="18" customHeight="1" thickBot="1">
      <c r="A38" s="1089" t="s">
        <v>684</v>
      </c>
      <c r="B38" s="1090" t="s">
        <v>728</v>
      </c>
      <c r="C38" s="1091">
        <f ca="1">ROUND(C5*F38,0)</f>
        <v>110</v>
      </c>
      <c r="D38" s="1092" t="s">
        <v>748</v>
      </c>
      <c r="E38" s="1090" t="s">
        <v>744</v>
      </c>
      <c r="F38" s="1086">
        <f ca="1">INDIRECT("'数据-取费表'!Am"&amp;$G$1)</f>
        <v>1E-3</v>
      </c>
      <c r="G38" s="1384"/>
      <c r="H38" s="2697"/>
      <c r="I38" s="1398"/>
      <c r="J38" s="1399"/>
      <c r="K38" s="2701"/>
      <c r="L38" s="2697"/>
      <c r="M38" s="2697"/>
    </row>
    <row r="39" spans="1:18" ht="24.6" customHeight="1" thickTop="1">
      <c r="A39" s="1079" t="s">
        <v>394</v>
      </c>
      <c r="B39" s="1094" t="s">
        <v>772</v>
      </c>
      <c r="C39" s="310">
        <f ca="1">C5-C30</f>
        <v>106490</v>
      </c>
      <c r="D39" s="1095" t="s">
        <v>773</v>
      </c>
      <c r="E39" s="1096"/>
      <c r="F39" s="1097"/>
      <c r="G39" s="1384"/>
      <c r="H39" s="2697"/>
      <c r="I39" s="1398"/>
      <c r="J39" s="1399"/>
      <c r="K39" s="2701"/>
      <c r="L39" s="2697"/>
      <c r="M39" s="2697"/>
    </row>
    <row r="40" spans="1:18" ht="18" customHeight="1">
      <c r="A40" s="299" t="s">
        <v>395</v>
      </c>
      <c r="B40" s="300" t="s">
        <v>774</v>
      </c>
      <c r="C40" s="301">
        <f ca="1">ROUND(C39*(1-((1+F42)/(1+F40))^F41)/(F40-F42),0)</f>
        <v>2431400</v>
      </c>
      <c r="D40" s="324" t="s">
        <v>758</v>
      </c>
      <c r="E40" s="302" t="s">
        <v>759</v>
      </c>
      <c r="F40" s="312">
        <f ca="1">INDIRECT("'数据-取费表'!I"&amp;$G$1)</f>
        <v>4.4999999999999998E-2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29</v>
      </c>
      <c r="G41" s="1384"/>
      <c r="H41" s="1191"/>
      <c r="I41" s="1398"/>
      <c r="J41" s="1399"/>
      <c r="K41" s="2541"/>
      <c r="L41" s="1191"/>
      <c r="M41" s="1191"/>
    </row>
    <row r="42" spans="1:18" ht="18" customHeight="1">
      <c r="A42" s="308"/>
      <c r="B42" s="309"/>
      <c r="C42" s="310"/>
      <c r="D42" s="327"/>
      <c r="E42" s="302" t="s">
        <v>766</v>
      </c>
      <c r="F42" s="312">
        <f ca="1">INDIRECT("'数据-取费表'!v"&amp;$G$1)</f>
        <v>0.03</v>
      </c>
      <c r="G42" s="1384"/>
      <c r="H42" s="1191"/>
      <c r="I42" s="1398"/>
      <c r="J42" s="1399"/>
      <c r="K42" s="2541"/>
      <c r="L42" s="1191"/>
      <c r="M42" s="1191"/>
    </row>
    <row r="43" spans="1:18" ht="18" customHeight="1" thickBot="1">
      <c r="A43" s="334" t="s">
        <v>396</v>
      </c>
      <c r="B43" s="335" t="s">
        <v>776</v>
      </c>
      <c r="C43" s="336">
        <f ca="1">ROUND(C40/F43,0)</f>
        <v>37597</v>
      </c>
      <c r="D43" s="337" t="s">
        <v>777</v>
      </c>
      <c r="E43" s="338" t="s">
        <v>778</v>
      </c>
      <c r="F43" s="339">
        <f ca="1">INDIRECT("'数据-取费表'!k"&amp;$G$1)</f>
        <v>64.67</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3351</v>
      </c>
      <c r="B45" s="1400"/>
      <c r="C45" s="1472">
        <f ca="1">ROUND((C68-C40)/10000,4)</f>
        <v>-243.73439999999999</v>
      </c>
      <c r="D45" s="3429" t="s">
        <v>3352</v>
      </c>
      <c r="E45" s="1400"/>
      <c r="F45" s="1400"/>
      <c r="O45" s="1403" t="s">
        <v>808</v>
      </c>
      <c r="P45" s="1461"/>
      <c r="Q45" s="1461"/>
      <c r="R45" s="1461"/>
    </row>
    <row r="46" spans="1:18" s="1384" customFormat="1" ht="13.8" thickBot="1">
      <c r="A46" s="1404" t="s">
        <v>809</v>
      </c>
      <c r="C46" s="1405">
        <f ca="1">ROUND(C45,0)</f>
        <v>-244</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3446</v>
      </c>
      <c r="K47" s="1416" t="s">
        <v>816</v>
      </c>
      <c r="L47" s="1417">
        <f ca="1">INDIRECT("'数据-取费表'!d"&amp;$G$1)</f>
        <v>70</v>
      </c>
      <c r="M47" s="1380" t="str">
        <f>IF(ISNUMBER(FIND("住宅",C1)),"住宅","非住宅")</f>
        <v>住宅</v>
      </c>
      <c r="O47" s="1418" t="s">
        <v>403</v>
      </c>
      <c r="P47" s="1419" t="s">
        <v>817</v>
      </c>
      <c r="Q47" s="1420">
        <f ca="1">C40+J29</f>
        <v>2431400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3447</v>
      </c>
      <c r="K48" s="1423" t="s">
        <v>820</v>
      </c>
      <c r="L48" s="1424">
        <f ca="1">INDIRECT("'数据-取费表'!f"&amp;$G$1)</f>
        <v>29</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1986</v>
      </c>
      <c r="K49" s="1423" t="s">
        <v>824</v>
      </c>
      <c r="L49" s="1427"/>
      <c r="O49" s="1428" t="s">
        <v>405</v>
      </c>
      <c r="P49" s="1419" t="s">
        <v>825</v>
      </c>
      <c r="Q49" s="1420">
        <f ca="1">C29</f>
        <v>347284</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21</v>
      </c>
      <c r="K51" s="1434" t="s">
        <v>830</v>
      </c>
      <c r="L51" s="1435">
        <f ca="1">ROUND(-PV(INDIRECT("'数据-取费表'!h"&amp;$G$1),J51,(C39-C13*C76),0),0)</f>
        <v>1289337</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v>0.05</v>
      </c>
      <c r="O52" s="1428" t="s">
        <v>408</v>
      </c>
      <c r="P52" s="1419" t="s">
        <v>834</v>
      </c>
      <c r="Q52" s="1420">
        <f ca="1">J53</f>
        <v>29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5">
        <f ca="1">IF(M47="住宅",IF(D1="——",MAX(J51,L48),MAX(J51,L48-'数据-取费表'!B24)),IF(D1="——",MIN(J51,L48),MIN(J51,L48-'数据-取费表'!B24)))</f>
        <v>29</v>
      </c>
      <c r="K53" s="3692" t="s">
        <v>837</v>
      </c>
      <c r="L53" s="3693"/>
      <c r="O53" s="1418" t="s">
        <v>409</v>
      </c>
      <c r="P53" s="1419" t="s">
        <v>838</v>
      </c>
      <c r="Q53" s="1420">
        <f ca="1">Q47+Q48</f>
        <v>2431400</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3449</v>
      </c>
      <c r="O55" s="1411" t="s">
        <v>811</v>
      </c>
      <c r="P55" s="1412" t="s">
        <v>812</v>
      </c>
      <c r="Q55" s="1413" t="s">
        <v>813</v>
      </c>
      <c r="R55" s="1413" t="s">
        <v>814</v>
      </c>
    </row>
    <row r="56" spans="1:18" s="1384" customFormat="1" ht="36" customHeight="1" thickTop="1" thickBot="1">
      <c r="A56" s="957">
        <v>2</v>
      </c>
      <c r="B56" s="958" t="s">
        <v>704</v>
      </c>
      <c r="C56" s="232">
        <f ca="1">C13</f>
        <v>243099</v>
      </c>
      <c r="D56" s="1447"/>
      <c r="E56" s="1448"/>
      <c r="F56" s="1440"/>
      <c r="I56" s="1449" t="s">
        <v>842</v>
      </c>
      <c r="J56" s="1450" t="s">
        <v>3448</v>
      </c>
      <c r="K56" s="1421" t="s">
        <v>843</v>
      </c>
      <c r="L56" s="1424">
        <f ca="1">IF(L48&lt;J51,"——",L48-J51)</f>
        <v>8</v>
      </c>
      <c r="O56" s="1418" t="s">
        <v>403</v>
      </c>
      <c r="P56" s="1419" t="s">
        <v>817</v>
      </c>
      <c r="Q56" s="1420">
        <f ca="1">C40+J29</f>
        <v>2431400</v>
      </c>
      <c r="R56" s="1420" t="s">
        <v>818</v>
      </c>
    </row>
    <row r="57" spans="1:18" s="1384" customFormat="1" ht="24.6" thickBot="1">
      <c r="A57" s="1451"/>
      <c r="B57" s="950" t="s">
        <v>767</v>
      </c>
      <c r="C57" s="238">
        <f ca="1">C29</f>
        <v>347284</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371</v>
      </c>
      <c r="D58" s="960" t="s">
        <v>715</v>
      </c>
      <c r="E58" s="961"/>
      <c r="F58" s="962"/>
      <c r="I58" s="1455" t="s">
        <v>848</v>
      </c>
      <c r="J58" s="1457" t="e">
        <f ca="1">IF(J55&lt;0.4,0.4,J55)</f>
        <v>#VALUE!</v>
      </c>
      <c r="K58" s="1434" t="s">
        <v>895</v>
      </c>
      <c r="L58" s="1424">
        <f ca="1">ROUND(POWER(1+L52,L47-L48)*(POWER(1+L52,L48)-1)/(POWER(1+L52,L47)-1),4)</f>
        <v>0.78280000000000005</v>
      </c>
      <c r="O58" s="1428" t="s">
        <v>405</v>
      </c>
      <c r="P58" s="1419" t="s">
        <v>850</v>
      </c>
      <c r="Q58" s="1420">
        <f>IF(L55="比较法",L49,IF(L55="基准地价",L50,0))</f>
        <v>0</v>
      </c>
      <c r="R58" s="1420" t="s">
        <v>818</v>
      </c>
    </row>
    <row r="59" spans="1:18" s="1384" customFormat="1" ht="24.6"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0.66279999999999994</v>
      </c>
      <c r="M59" s="1381">
        <f ca="1">ROUND(POWER(1+L52,L47-(J51+'数据-取费表'!B24))*(POWER(1+L52,(J51+'数据-取费表'!B24))-1)/(POWER(1+L52,L47)-1),4)</f>
        <v>0.66279999999999994</v>
      </c>
      <c r="N59" s="1381">
        <f ca="1">ROUND(POWER(1+L52,L47-(J51+'数据-取费表'!B20))*(POWER(1+L52,(J51+'数据-取费表'!B20))-1)/(POWER(1+L52,L47)-1),4)</f>
        <v>0.69730000000000003</v>
      </c>
      <c r="O59" s="1428" t="s">
        <v>406</v>
      </c>
      <c r="P59" s="1419" t="s">
        <v>852</v>
      </c>
      <c r="Q59" s="1431">
        <f>L52</f>
        <v>0.05</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0.78280000000000005</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f ca="1">L59</f>
        <v>0.66279999999999994</v>
      </c>
      <c r="R61" s="1420" t="s">
        <v>857</v>
      </c>
    </row>
    <row r="62" spans="1:18" s="1384" customFormat="1" ht="13.8" thickBot="1">
      <c r="A62" s="982" t="s">
        <v>784</v>
      </c>
      <c r="B62" s="949" t="s">
        <v>785</v>
      </c>
      <c r="C62" s="22" t="str">
        <f>IF(项目基本情况!B11="自然人","——",ROUND(F62*F63,0))</f>
        <v>——</v>
      </c>
      <c r="D62" s="965" t="s">
        <v>786</v>
      </c>
      <c r="E62" s="950" t="s">
        <v>787</v>
      </c>
      <c r="F62" s="325">
        <f t="shared" si="0"/>
        <v>24</v>
      </c>
      <c r="I62" s="1462" t="s">
        <v>858</v>
      </c>
      <c r="J62" s="1463" t="s">
        <v>859</v>
      </c>
      <c r="K62" s="1463" t="s">
        <v>860</v>
      </c>
      <c r="L62" s="1463" t="s">
        <v>861</v>
      </c>
      <c r="M62" s="1464" t="s">
        <v>862</v>
      </c>
      <c r="O62" s="1418" t="s">
        <v>409</v>
      </c>
      <c r="P62" s="1419" t="s">
        <v>863</v>
      </c>
      <c r="Q62" s="1420">
        <f ca="1">Q56+Q57</f>
        <v>2431400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347</v>
      </c>
      <c r="D64" s="964" t="s">
        <v>791</v>
      </c>
      <c r="E64" s="950" t="s">
        <v>783</v>
      </c>
      <c r="F64" s="328">
        <f t="shared" ca="1" si="0"/>
        <v>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24</v>
      </c>
      <c r="D65" s="964" t="s">
        <v>743</v>
      </c>
      <c r="E65" s="950" t="s">
        <v>744</v>
      </c>
      <c r="F65" s="330">
        <f t="shared" ca="1" si="0"/>
        <v>1E-4</v>
      </c>
      <c r="I65" s="1462" t="s">
        <v>867</v>
      </c>
      <c r="J65" s="1463">
        <v>40</v>
      </c>
      <c r="K65" s="1463">
        <v>30</v>
      </c>
      <c r="L65" s="1463">
        <v>50</v>
      </c>
      <c r="M65" s="1465">
        <v>0.02</v>
      </c>
      <c r="O65" s="1418" t="s">
        <v>403</v>
      </c>
      <c r="P65" s="1419" t="s">
        <v>868</v>
      </c>
      <c r="Q65" s="1420">
        <f ca="1">C40+J29</f>
        <v>2431400</v>
      </c>
      <c r="R65" s="1420" t="s">
        <v>818</v>
      </c>
    </row>
    <row r="66" spans="1:18" s="1384" customFormat="1" ht="16.2" thickBot="1">
      <c r="A66" s="982" t="s">
        <v>793</v>
      </c>
      <c r="B66" s="950" t="s">
        <v>728</v>
      </c>
      <c r="C66" s="21">
        <f ca="1">ROUND(C48*F66,0)</f>
        <v>0</v>
      </c>
      <c r="D66" s="964" t="s">
        <v>794</v>
      </c>
      <c r="E66" s="950" t="s">
        <v>712</v>
      </c>
      <c r="F66" s="312">
        <f t="shared" ca="1" si="0"/>
        <v>1E-3</v>
      </c>
      <c r="O66" s="1418" t="s">
        <v>404</v>
      </c>
      <c r="P66" s="1419" t="s">
        <v>846</v>
      </c>
      <c r="Q66" s="1420">
        <f ca="1">L60</f>
        <v>0</v>
      </c>
      <c r="R66" s="1420" t="s">
        <v>869</v>
      </c>
    </row>
    <row r="67" spans="1:18" s="1384" customFormat="1" ht="24.6" thickBot="1">
      <c r="A67" s="957" t="s">
        <v>394</v>
      </c>
      <c r="B67" s="967" t="s">
        <v>752</v>
      </c>
      <c r="C67" s="316">
        <f ca="1">C48-C58</f>
        <v>-371</v>
      </c>
      <c r="D67" s="963" t="s">
        <v>753</v>
      </c>
      <c r="E67" s="968"/>
      <c r="F67" s="969"/>
      <c r="O67" s="1428" t="s">
        <v>405</v>
      </c>
      <c r="P67" s="1419" t="s">
        <v>850</v>
      </c>
      <c r="Q67" s="1466">
        <f ca="1">L51</f>
        <v>1289337</v>
      </c>
      <c r="R67" s="1420" t="s">
        <v>870</v>
      </c>
    </row>
    <row r="68" spans="1:18" s="1384" customFormat="1" ht="16.2" thickBot="1">
      <c r="A68" s="947" t="s">
        <v>395</v>
      </c>
      <c r="B68" s="948" t="s">
        <v>774</v>
      </c>
      <c r="C68" s="301">
        <f ca="1">ROUND(C67*(1-((1+F70)/(1+F68))^F69)/(F68-F70),0)</f>
        <v>-5944</v>
      </c>
      <c r="D68" s="965" t="s">
        <v>758</v>
      </c>
      <c r="E68" s="950" t="s">
        <v>759</v>
      </c>
      <c r="F68" s="312">
        <f ca="1">F40</f>
        <v>4.4999999999999998E-2</v>
      </c>
      <c r="O68" s="1428" t="s">
        <v>406</v>
      </c>
      <c r="P68" s="1467" t="s">
        <v>871</v>
      </c>
      <c r="Q68" s="1420">
        <f ca="1">ROUND(Q69-Q70*Q71,0)</f>
        <v>91904</v>
      </c>
      <c r="R68" s="1420" t="s">
        <v>414</v>
      </c>
    </row>
    <row r="69" spans="1:18" s="1384" customFormat="1" ht="13.8" thickBot="1">
      <c r="A69" s="951"/>
      <c r="B69" s="952"/>
      <c r="C69" s="306"/>
      <c r="D69" s="970" t="s">
        <v>762</v>
      </c>
      <c r="E69" s="950" t="s">
        <v>763</v>
      </c>
      <c r="F69" s="333">
        <f ca="1">F41</f>
        <v>29</v>
      </c>
      <c r="O69" s="1428" t="s">
        <v>411</v>
      </c>
      <c r="P69" s="1467" t="s">
        <v>872</v>
      </c>
      <c r="Q69" s="1420">
        <f ca="1">C39</f>
        <v>106490</v>
      </c>
      <c r="R69" s="1420" t="s">
        <v>818</v>
      </c>
    </row>
    <row r="70" spans="1:18" s="1384" customFormat="1" ht="13.8" thickBot="1">
      <c r="A70" s="954"/>
      <c r="B70" s="955"/>
      <c r="C70" s="310"/>
      <c r="D70" s="966"/>
      <c r="E70" s="950" t="s">
        <v>766</v>
      </c>
      <c r="F70" s="1054"/>
      <c r="O70" s="1428" t="s">
        <v>412</v>
      </c>
      <c r="P70" s="1467" t="s">
        <v>873</v>
      </c>
      <c r="Q70" s="1420">
        <f ca="1">C13</f>
        <v>243099</v>
      </c>
      <c r="R70" s="1420" t="s">
        <v>818</v>
      </c>
    </row>
    <row r="71" spans="1:18" s="1384" customFormat="1" ht="13.8" thickBot="1">
      <c r="A71" s="971" t="s">
        <v>396</v>
      </c>
      <c r="B71" s="972" t="s">
        <v>776</v>
      </c>
      <c r="C71" s="336">
        <f ca="1">ROUND(C68/F71,0)</f>
        <v>-92</v>
      </c>
      <c r="D71" s="973" t="s">
        <v>777</v>
      </c>
      <c r="E71" s="974" t="s">
        <v>778</v>
      </c>
      <c r="F71" s="339">
        <f ca="1">F43</f>
        <v>64.67</v>
      </c>
      <c r="O71" s="1428" t="s">
        <v>413</v>
      </c>
      <c r="P71" s="1467" t="s">
        <v>874</v>
      </c>
      <c r="Q71" s="1431">
        <f ca="1">C76</f>
        <v>0.06</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0.78280000000000005</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0.66279999999999994</v>
      </c>
      <c r="R74" s="1420" t="s">
        <v>857</v>
      </c>
    </row>
    <row r="75" spans="1:18" ht="13.8" thickBot="1">
      <c r="A75" s="1384"/>
      <c r="B75" s="340" t="s">
        <v>795</v>
      </c>
      <c r="C75" s="341">
        <f ca="1">ROUND(C13*C76,0)</f>
        <v>14586</v>
      </c>
      <c r="D75" s="1384"/>
      <c r="E75" s="1384"/>
      <c r="F75" s="1384"/>
      <c r="K75" s="1402"/>
      <c r="L75" s="1384"/>
      <c r="O75" s="1418" t="s">
        <v>409</v>
      </c>
      <c r="P75" s="1419" t="s">
        <v>838</v>
      </c>
      <c r="Q75" s="1420">
        <f ca="1">Q65+Q66</f>
        <v>2431400</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0.86299999999999999</v>
      </c>
    </row>
    <row r="80" spans="1:18">
      <c r="B80" s="340" t="s">
        <v>800</v>
      </c>
      <c r="C80" s="274">
        <f ca="1">ROUND(C75/C39,3)</f>
        <v>0.13700000000000001</v>
      </c>
    </row>
    <row r="81" spans="2:3">
      <c r="B81" s="270" t="s">
        <v>801</v>
      </c>
      <c r="C81" s="238"/>
    </row>
    <row r="82" spans="2:3">
      <c r="B82" s="273" t="s">
        <v>802</v>
      </c>
      <c r="C82" s="275">
        <f ca="1">1-C83</f>
        <v>0.9</v>
      </c>
    </row>
    <row r="83" spans="2:3">
      <c r="B83" s="273" t="s">
        <v>803</v>
      </c>
      <c r="C83" s="274">
        <f ca="1">ROUND(C13/C40,3)</f>
        <v>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14" sqref="L14"/>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2" customHeight="1">
      <c r="A2" s="1385" t="s">
        <v>2314</v>
      </c>
      <c r="B2" s="2840" t="e">
        <f>IF(D2="——",C40,C40+E2)</f>
        <v>#DIV/0!</v>
      </c>
      <c r="C2" s="2841" t="s">
        <v>2315</v>
      </c>
      <c r="D2" s="3440" t="s">
        <v>3358</v>
      </c>
      <c r="E2" s="3441"/>
      <c r="F2" s="2843"/>
      <c r="G2" s="2844"/>
      <c r="H2" s="2845"/>
      <c r="I2" s="2846"/>
      <c r="J2" s="3697" t="s">
        <v>2316</v>
      </c>
      <c r="K2" s="3698"/>
      <c r="L2" s="2847" t="s">
        <v>2317</v>
      </c>
      <c r="M2" s="2847" t="s">
        <v>2318</v>
      </c>
      <c r="N2" s="2847" t="s">
        <v>2319</v>
      </c>
      <c r="O2" s="2847" t="s">
        <v>2320</v>
      </c>
      <c r="P2" s="2847" t="s">
        <v>2321</v>
      </c>
      <c r="Q2" s="2848" t="s">
        <v>2322</v>
      </c>
      <c r="R2" s="2849" t="s">
        <v>2323</v>
      </c>
      <c r="S2" s="2838"/>
      <c r="T2" s="2838"/>
      <c r="U2" s="2838"/>
      <c r="V2" s="2846"/>
    </row>
    <row r="3" spans="1:22" s="2850" customFormat="1" ht="13.2" customHeight="1">
      <c r="A3" s="2851" t="s">
        <v>2324</v>
      </c>
      <c r="B3" s="2852" t="e">
        <f>ROUND(B2*10000/B4,0)</f>
        <v>#DIV/0!</v>
      </c>
      <c r="C3" s="2841" t="s">
        <v>2325</v>
      </c>
      <c r="D3" s="2841"/>
      <c r="E3" s="2842"/>
      <c r="F3" s="2843"/>
      <c r="G3" s="2844"/>
      <c r="H3" s="2845"/>
      <c r="I3" s="2846"/>
      <c r="J3" s="3699" t="s">
        <v>2326</v>
      </c>
      <c r="K3" s="3700"/>
      <c r="L3" s="2853"/>
      <c r="M3" s="2853"/>
      <c r="N3" s="2853"/>
      <c r="O3" s="2853"/>
      <c r="P3" s="2853"/>
      <c r="Q3" s="2854"/>
      <c r="R3" s="2855">
        <f>SUM(L3:Q3)</f>
        <v>0</v>
      </c>
      <c r="S3" s="2838"/>
      <c r="T3" s="2838"/>
      <c r="U3" s="2838"/>
      <c r="V3" s="2846"/>
    </row>
    <row r="4" spans="1:22" s="2850" customFormat="1" ht="13.2" customHeight="1">
      <c r="A4" s="2856" t="s">
        <v>2327</v>
      </c>
      <c r="B4" s="2857"/>
      <c r="C4" s="2841"/>
      <c r="D4" s="2841"/>
      <c r="E4" s="2842"/>
      <c r="F4" s="2843"/>
      <c r="G4" s="2844"/>
      <c r="H4" s="2845"/>
      <c r="I4" s="2846"/>
      <c r="J4" s="3699" t="s">
        <v>2328</v>
      </c>
      <c r="K4" s="3700"/>
      <c r="L4" s="2858"/>
      <c r="M4" s="2858"/>
      <c r="N4" s="2858"/>
      <c r="O4" s="2858"/>
      <c r="P4" s="2858"/>
      <c r="Q4" s="2859"/>
      <c r="R4" s="2860">
        <f>SUM(L4:Q4)</f>
        <v>0</v>
      </c>
      <c r="S4" s="2838"/>
      <c r="T4" s="2838"/>
      <c r="U4" s="2838"/>
      <c r="V4" s="2846"/>
    </row>
    <row r="5" spans="1:22" s="2850" customFormat="1" ht="13.2"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2" customHeight="1" thickBot="1">
      <c r="A6" s="3701" t="s">
        <v>2332</v>
      </c>
      <c r="B6" s="3702"/>
      <c r="C6" s="3703"/>
      <c r="D6" s="2867"/>
      <c r="E6" s="2868"/>
      <c r="F6" s="2869"/>
      <c r="G6" s="2870"/>
      <c r="H6" s="2845"/>
      <c r="I6" s="2846"/>
      <c r="J6" s="3704">
        <v>1</v>
      </c>
      <c r="K6" s="3705"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2" customHeight="1">
      <c r="A7" s="2873" t="s">
        <v>2342</v>
      </c>
      <c r="B7" s="2874"/>
      <c r="C7" s="2875"/>
      <c r="D7" s="2876">
        <f>SUM(D9,D10,D11,D17,0)</f>
        <v>0</v>
      </c>
      <c r="E7" s="2877" t="e">
        <f>E9+E10+E11+E17</f>
        <v>#DIV/0!</v>
      </c>
      <c r="F7" s="2878"/>
      <c r="G7" s="2879"/>
      <c r="H7" s="2845"/>
      <c r="I7" s="2846"/>
      <c r="J7" s="3704"/>
      <c r="K7" s="3706"/>
      <c r="L7" s="2880" t="s">
        <v>2343</v>
      </c>
      <c r="M7" s="2881"/>
      <c r="N7" s="2857"/>
      <c r="O7" s="2882"/>
      <c r="P7" s="2882"/>
      <c r="Q7" s="2883">
        <v>365</v>
      </c>
      <c r="R7" s="2884">
        <f>ROUND(M7*N7*O7*P7*Q7/10000,0)</f>
        <v>0</v>
      </c>
      <c r="S7" s="2838"/>
      <c r="T7" s="2838" t="s">
        <v>2344</v>
      </c>
      <c r="U7" s="2838"/>
      <c r="V7" s="2846"/>
    </row>
    <row r="8" spans="1:22" s="2850" customFormat="1" ht="13.2" customHeight="1">
      <c r="A8" s="2885" t="s">
        <v>2345</v>
      </c>
      <c r="B8" s="3708" t="s">
        <v>2346</v>
      </c>
      <c r="C8" s="3709"/>
      <c r="D8" s="2886" t="s">
        <v>2347</v>
      </c>
      <c r="E8" s="2887" t="s">
        <v>2348</v>
      </c>
      <c r="F8" s="2888" t="s">
        <v>2349</v>
      </c>
      <c r="G8" s="2889"/>
      <c r="H8" s="2845"/>
      <c r="I8" s="2846"/>
      <c r="J8" s="3704"/>
      <c r="K8" s="3706"/>
      <c r="L8" s="2880" t="s">
        <v>2350</v>
      </c>
      <c r="M8" s="2881"/>
      <c r="N8" s="2857"/>
      <c r="O8" s="2882"/>
      <c r="P8" s="2882"/>
      <c r="Q8" s="2883">
        <v>365</v>
      </c>
      <c r="R8" s="2884">
        <f t="shared" ref="R8:R13" si="0">ROUND(M8*N8*O8*P8*Q8/10000,0)</f>
        <v>0</v>
      </c>
      <c r="S8" s="2838"/>
      <c r="T8" s="2838" t="s">
        <v>2351</v>
      </c>
      <c r="U8" s="2838"/>
      <c r="V8" s="2846"/>
    </row>
    <row r="9" spans="1:22" s="2850" customFormat="1" ht="13.2" customHeight="1">
      <c r="A9" s="2885">
        <v>1</v>
      </c>
      <c r="B9" s="3708" t="s">
        <v>2352</v>
      </c>
      <c r="C9" s="3709"/>
      <c r="D9" s="2886">
        <f>ROUND(D6*E9,0)</f>
        <v>0</v>
      </c>
      <c r="E9" s="2890"/>
      <c r="F9" s="2891" t="s">
        <v>2353</v>
      </c>
      <c r="G9" s="2870"/>
      <c r="H9" s="2845"/>
      <c r="I9" s="2846"/>
      <c r="J9" s="3704"/>
      <c r="K9" s="3706"/>
      <c r="L9" s="2880" t="s">
        <v>2354</v>
      </c>
      <c r="M9" s="2881"/>
      <c r="N9" s="2857"/>
      <c r="O9" s="2882"/>
      <c r="P9" s="2882"/>
      <c r="Q9" s="2883">
        <v>365</v>
      </c>
      <c r="R9" s="2884">
        <f t="shared" si="0"/>
        <v>0</v>
      </c>
      <c r="S9" s="2838"/>
      <c r="T9" s="2838"/>
      <c r="U9" s="2838"/>
      <c r="V9" s="2846"/>
    </row>
    <row r="10" spans="1:22" s="2850" customFormat="1" ht="13.2" customHeight="1">
      <c r="A10" s="2885">
        <v>2</v>
      </c>
      <c r="B10" s="3708" t="s">
        <v>2355</v>
      </c>
      <c r="C10" s="3709"/>
      <c r="D10" s="2886">
        <f>ROUND(D6*E10,0)</f>
        <v>0</v>
      </c>
      <c r="E10" s="2890"/>
      <c r="F10" s="2891" t="s">
        <v>2356</v>
      </c>
      <c r="G10" s="2870"/>
      <c r="H10" s="2845"/>
      <c r="I10" s="2846"/>
      <c r="J10" s="3704"/>
      <c r="K10" s="3706"/>
      <c r="L10" s="2880" t="s">
        <v>2357</v>
      </c>
      <c r="M10" s="2881"/>
      <c r="N10" s="2857"/>
      <c r="O10" s="2882"/>
      <c r="P10" s="2882"/>
      <c r="Q10" s="2883">
        <v>365</v>
      </c>
      <c r="R10" s="2884">
        <f t="shared" si="0"/>
        <v>0</v>
      </c>
      <c r="S10" s="2838"/>
      <c r="T10" s="2838"/>
      <c r="U10" s="2838"/>
      <c r="V10" s="2846"/>
    </row>
    <row r="11" spans="1:22" s="2850" customFormat="1" ht="13.2" customHeight="1">
      <c r="A11" s="2885">
        <v>3</v>
      </c>
      <c r="B11" s="3708" t="s">
        <v>2358</v>
      </c>
      <c r="C11" s="3709"/>
      <c r="D11" s="2886">
        <f>D12+D14+D15+D16</f>
        <v>0</v>
      </c>
      <c r="E11" s="2892" t="e">
        <f>D11/D6</f>
        <v>#DIV/0!</v>
      </c>
      <c r="F11" s="2888"/>
      <c r="G11" s="2889"/>
      <c r="H11" s="2845"/>
      <c r="I11" s="2846"/>
      <c r="J11" s="3704"/>
      <c r="K11" s="3706"/>
      <c r="L11" s="2880" t="s">
        <v>2359</v>
      </c>
      <c r="M11" s="2881"/>
      <c r="N11" s="2857"/>
      <c r="O11" s="2882"/>
      <c r="P11" s="2882"/>
      <c r="Q11" s="2883">
        <v>365</v>
      </c>
      <c r="R11" s="2884">
        <f t="shared" si="0"/>
        <v>0</v>
      </c>
      <c r="S11" s="2838"/>
      <c r="T11" s="2838"/>
      <c r="U11" s="2838"/>
      <c r="V11" s="2846"/>
    </row>
    <row r="12" spans="1:22" s="2850" customFormat="1" ht="13.2" customHeight="1">
      <c r="A12" s="2893" t="s">
        <v>2360</v>
      </c>
      <c r="B12" s="3710" t="s">
        <v>2361</v>
      </c>
      <c r="C12" s="3711"/>
      <c r="D12" s="2894">
        <f>ROUND(D13*1.2%*(1-30%),0)</f>
        <v>0</v>
      </c>
      <c r="E12" s="2895">
        <v>1.2E-2</v>
      </c>
      <c r="F12" s="2888" t="s">
        <v>2362</v>
      </c>
      <c r="G12" s="2889"/>
      <c r="H12" s="2845"/>
      <c r="I12" s="2846"/>
      <c r="J12" s="3704"/>
      <c r="K12" s="3706"/>
      <c r="L12" s="2880" t="s">
        <v>2363</v>
      </c>
      <c r="M12" s="2881"/>
      <c r="N12" s="2857"/>
      <c r="O12" s="2882"/>
      <c r="P12" s="2882"/>
      <c r="Q12" s="2883">
        <v>365</v>
      </c>
      <c r="R12" s="2884">
        <f t="shared" si="0"/>
        <v>0</v>
      </c>
      <c r="S12" s="2838"/>
      <c r="T12" s="2838"/>
      <c r="U12" s="2838"/>
      <c r="V12" s="2846"/>
    </row>
    <row r="13" spans="1:22" s="2850" customFormat="1" ht="13.2" customHeight="1">
      <c r="A13" s="2893"/>
      <c r="B13" s="2896"/>
      <c r="C13" s="2897" t="s">
        <v>2364</v>
      </c>
      <c r="D13" s="2898"/>
      <c r="E13" s="2899"/>
      <c r="F13" s="2888"/>
      <c r="G13" s="2889"/>
      <c r="H13" s="2845"/>
      <c r="I13" s="2846"/>
      <c r="J13" s="3704"/>
      <c r="K13" s="3706"/>
      <c r="L13" s="2880" t="s">
        <v>2365</v>
      </c>
      <c r="M13" s="2881"/>
      <c r="N13" s="2857"/>
      <c r="O13" s="2882"/>
      <c r="P13" s="2882"/>
      <c r="Q13" s="2883">
        <v>365</v>
      </c>
      <c r="R13" s="2884">
        <f t="shared" si="0"/>
        <v>0</v>
      </c>
      <c r="S13" s="2838"/>
      <c r="T13" s="2838"/>
      <c r="U13" s="2838"/>
      <c r="V13" s="2846"/>
    </row>
    <row r="14" spans="1:22" s="2850" customFormat="1" ht="13.2" customHeight="1">
      <c r="A14" s="2893" t="s">
        <v>2366</v>
      </c>
      <c r="B14" s="3710" t="s">
        <v>2367</v>
      </c>
      <c r="C14" s="3711"/>
      <c r="D14" s="2894">
        <f>ROUND(E14*B5/10000,0)</f>
        <v>0</v>
      </c>
      <c r="E14" s="2883"/>
      <c r="F14" s="2888" t="s">
        <v>2368</v>
      </c>
      <c r="G14" s="2889"/>
      <c r="H14" s="2845"/>
      <c r="I14" s="2846"/>
      <c r="J14" s="3704"/>
      <c r="K14" s="3707"/>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2370</v>
      </c>
      <c r="B15" s="3710" t="s">
        <v>2371</v>
      </c>
      <c r="C15" s="3711"/>
      <c r="D15" s="2894">
        <f>ROUND(D6*E15,0)</f>
        <v>0</v>
      </c>
      <c r="E15" s="2895">
        <v>5.5E-2</v>
      </c>
      <c r="F15" s="2888" t="s">
        <v>2372</v>
      </c>
      <c r="G15" s="2870"/>
      <c r="H15" s="2845"/>
      <c r="I15" s="2846"/>
      <c r="J15" s="3704">
        <v>2</v>
      </c>
      <c r="K15" s="3705"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2" customHeight="1">
      <c r="A16" s="2893" t="s">
        <v>2379</v>
      </c>
      <c r="B16" s="3710" t="s">
        <v>2380</v>
      </c>
      <c r="C16" s="3711"/>
      <c r="D16" s="2905">
        <f>D6*E16</f>
        <v>0</v>
      </c>
      <c r="E16" s="2906"/>
      <c r="F16" s="2891" t="s">
        <v>2381</v>
      </c>
      <c r="G16" s="2870"/>
      <c r="H16" s="2845"/>
      <c r="I16" s="2846"/>
      <c r="J16" s="3704"/>
      <c r="K16" s="3706"/>
      <c r="L16" s="2880" t="s">
        <v>2382</v>
      </c>
      <c r="M16" s="2881"/>
      <c r="N16" s="2881"/>
      <c r="O16" s="2882"/>
      <c r="P16" s="2883">
        <v>365</v>
      </c>
      <c r="Q16" s="2857"/>
      <c r="R16" s="2904">
        <f>ROUND(M16*N16*O16*P16/10000,0)</f>
        <v>0</v>
      </c>
      <c r="S16" s="2838"/>
      <c r="T16" s="2838"/>
      <c r="U16" s="2838"/>
      <c r="V16" s="2846"/>
    </row>
    <row r="17" spans="1:22" s="2850" customFormat="1" ht="13.2" customHeight="1" thickBot="1">
      <c r="A17" s="2907">
        <v>4</v>
      </c>
      <c r="B17" s="3712" t="s">
        <v>2383</v>
      </c>
      <c r="C17" s="3713"/>
      <c r="D17" s="2908">
        <f>ROUND(D6*E17,0)</f>
        <v>0</v>
      </c>
      <c r="E17" s="2909"/>
      <c r="F17" s="2910" t="s">
        <v>2384</v>
      </c>
      <c r="G17" s="2870"/>
      <c r="H17" s="2845"/>
      <c r="I17" s="2846"/>
      <c r="J17" s="3704"/>
      <c r="K17" s="3706"/>
      <c r="L17" s="2880" t="s">
        <v>2385</v>
      </c>
      <c r="M17" s="2881"/>
      <c r="N17" s="2881"/>
      <c r="O17" s="2882"/>
      <c r="P17" s="2883">
        <v>365</v>
      </c>
      <c r="Q17" s="2857"/>
      <c r="R17" s="2904">
        <f>ROUND(M17*N17*O17*P17/10000,0)</f>
        <v>0</v>
      </c>
      <c r="S17" s="2838"/>
      <c r="T17" s="2838"/>
      <c r="U17" s="2838"/>
      <c r="V17" s="2846"/>
    </row>
    <row r="18" spans="1:22" s="2850" customFormat="1" ht="13.2" customHeight="1" thickBot="1">
      <c r="A18" s="2873" t="s">
        <v>2386</v>
      </c>
      <c r="B18" s="2874"/>
      <c r="C18" s="2874"/>
      <c r="D18" s="2911">
        <f>ROUND(D6*E18,0)</f>
        <v>0</v>
      </c>
      <c r="E18" s="2912"/>
      <c r="F18" s="2913" t="s">
        <v>2387</v>
      </c>
      <c r="G18" s="2870"/>
      <c r="H18" s="2845"/>
      <c r="I18" s="2846"/>
      <c r="J18" s="3704"/>
      <c r="K18" s="3706"/>
      <c r="L18" s="2880" t="s">
        <v>2388</v>
      </c>
      <c r="M18" s="2881"/>
      <c r="N18" s="2881"/>
      <c r="O18" s="2882"/>
      <c r="P18" s="2883">
        <v>365</v>
      </c>
      <c r="Q18" s="2857"/>
      <c r="R18" s="2904">
        <f>ROUND(M18*N18*O18*P18/10000,0)</f>
        <v>0</v>
      </c>
      <c r="S18" s="2838"/>
      <c r="T18" s="2838"/>
      <c r="U18" s="2838"/>
      <c r="V18" s="2846"/>
    </row>
    <row r="19" spans="1:22" s="2850" customFormat="1" ht="13.2" customHeight="1" thickBot="1">
      <c r="A19" s="2914" t="s">
        <v>2389</v>
      </c>
      <c r="B19" s="2868"/>
      <c r="C19" s="2868"/>
      <c r="D19" s="2868"/>
      <c r="E19" s="2868"/>
      <c r="F19" s="2869"/>
      <c r="G19" s="2889"/>
      <c r="H19" s="2845"/>
      <c r="I19" s="2846"/>
      <c r="J19" s="3704"/>
      <c r="K19" s="3707"/>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704">
        <v>3</v>
      </c>
      <c r="K20" s="3705"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2" customHeight="1">
      <c r="A21" s="2873"/>
      <c r="B21" s="2874"/>
      <c r="C21" s="2920" t="s">
        <v>2398</v>
      </c>
      <c r="D21" s="2921" t="s">
        <v>2399</v>
      </c>
      <c r="E21" s="2922" t="s">
        <v>2400</v>
      </c>
      <c r="F21" s="2917"/>
      <c r="G21" s="2889"/>
      <c r="H21" s="2845"/>
      <c r="I21" s="2846"/>
      <c r="J21" s="3704"/>
      <c r="K21" s="3706"/>
      <c r="L21" s="2880" t="s">
        <v>2401</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2402</v>
      </c>
      <c r="D22" s="2925" t="s">
        <v>2403</v>
      </c>
      <c r="E22" s="2926" t="s">
        <v>2404</v>
      </c>
      <c r="F22" s="2917"/>
      <c r="G22" s="2927"/>
      <c r="H22" s="2845"/>
      <c r="I22" s="2846"/>
      <c r="J22" s="3704"/>
      <c r="K22" s="3706"/>
      <c r="L22" s="2880" t="s">
        <v>2405</v>
      </c>
      <c r="M22" s="2881"/>
      <c r="N22" s="2881"/>
      <c r="O22" s="2882"/>
      <c r="P22" s="2883">
        <v>365</v>
      </c>
      <c r="Q22" s="2857"/>
      <c r="R22" s="2923">
        <f>ROUND(M22*N22*O22*P22/10000,0)</f>
        <v>0</v>
      </c>
      <c r="S22" s="2919"/>
      <c r="T22" s="2919"/>
      <c r="U22" s="2919"/>
      <c r="V22" s="2846"/>
    </row>
    <row r="23" spans="1:22" s="2850" customFormat="1" ht="13.2" customHeight="1">
      <c r="A23" s="2928">
        <v>1</v>
      </c>
      <c r="B23" s="2929" t="s">
        <v>2406</v>
      </c>
      <c r="C23" s="2930">
        <f>D6</f>
        <v>0</v>
      </c>
      <c r="D23" s="2931">
        <f>C23*(1+D24)</f>
        <v>0</v>
      </c>
      <c r="E23" s="2932">
        <f>D23*(1+E24)</f>
        <v>0</v>
      </c>
      <c r="F23" s="2933"/>
      <c r="G23" s="2934"/>
      <c r="H23" s="2845"/>
      <c r="I23" s="2846"/>
      <c r="J23" s="3704"/>
      <c r="K23" s="3706"/>
      <c r="L23" s="2880" t="s">
        <v>2407</v>
      </c>
      <c r="M23" s="2881"/>
      <c r="N23" s="2881"/>
      <c r="O23" s="2882"/>
      <c r="P23" s="2883">
        <v>365</v>
      </c>
      <c r="Q23" s="2857"/>
      <c r="R23" s="2923">
        <f>ROUND(M23*N23*O23*P23/10000,0)</f>
        <v>0</v>
      </c>
      <c r="S23" s="2838"/>
      <c r="T23" s="2838"/>
      <c r="U23" s="2838"/>
      <c r="V23" s="2846"/>
    </row>
    <row r="24" spans="1:22" s="2850" customFormat="1" ht="13.2" customHeight="1">
      <c r="A24" s="2935"/>
      <c r="B24" s="2936" t="s">
        <v>2408</v>
      </c>
      <c r="C24" s="2937"/>
      <c r="D24" s="2938"/>
      <c r="E24" s="2939"/>
      <c r="F24" s="2940"/>
      <c r="G24" s="2934"/>
      <c r="H24" s="2845"/>
      <c r="I24" s="2846"/>
      <c r="J24" s="3704"/>
      <c r="K24" s="3707"/>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2" customHeight="1">
      <c r="A26" s="2928">
        <v>2</v>
      </c>
      <c r="B26" s="2929" t="s">
        <v>2410</v>
      </c>
      <c r="C26" s="2930">
        <f>D7</f>
        <v>0</v>
      </c>
      <c r="D26" s="2931">
        <f>D23*D27</f>
        <v>0</v>
      </c>
      <c r="E26" s="2932">
        <f>E23*E27</f>
        <v>0</v>
      </c>
      <c r="F26" s="2933"/>
      <c r="G26" s="2934"/>
      <c r="H26" s="2845"/>
      <c r="I26" s="2846"/>
      <c r="J26" s="3714">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2" customHeight="1">
      <c r="A27" s="2935"/>
      <c r="B27" s="2936" t="s">
        <v>2416</v>
      </c>
      <c r="C27" s="2954" t="e">
        <f>E7</f>
        <v>#DIV/0!</v>
      </c>
      <c r="D27" s="2938"/>
      <c r="E27" s="2939"/>
      <c r="F27" s="2940"/>
      <c r="G27" s="2934"/>
      <c r="H27" s="2955"/>
      <c r="I27" s="2946"/>
      <c r="J27" s="3715"/>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2"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2" customHeight="1">
      <c r="A32" s="2928">
        <v>4</v>
      </c>
      <c r="B32" s="2929" t="s">
        <v>2424</v>
      </c>
      <c r="C32" s="2930">
        <f>C23-C26-C29</f>
        <v>0</v>
      </c>
      <c r="D32" s="2931">
        <f>D23-D26-D29</f>
        <v>0</v>
      </c>
      <c r="E32" s="2932">
        <f>E23-E26-E29</f>
        <v>0</v>
      </c>
      <c r="F32" s="2933"/>
      <c r="G32" s="2927"/>
      <c r="H32" s="2845"/>
      <c r="I32" s="2846"/>
      <c r="J32" s="3697" t="s">
        <v>2316</v>
      </c>
      <c r="K32" s="3698"/>
      <c r="L32" s="2847" t="s">
        <v>2317</v>
      </c>
      <c r="M32" s="2847" t="s">
        <v>2318</v>
      </c>
      <c r="N32" s="2847" t="s">
        <v>2319</v>
      </c>
      <c r="O32" s="2847" t="s">
        <v>2320</v>
      </c>
      <c r="P32" s="2847" t="s">
        <v>2321</v>
      </c>
      <c r="Q32" s="2848" t="s">
        <v>2322</v>
      </c>
      <c r="R32" s="2970" t="s">
        <v>2323</v>
      </c>
      <c r="S32" s="2919"/>
      <c r="T32" s="2838"/>
      <c r="U32" s="2838"/>
      <c r="V32" s="2946"/>
    </row>
    <row r="33" spans="1:23" s="2850" customFormat="1" ht="13.2" customHeight="1">
      <c r="A33" s="2928"/>
      <c r="B33" s="2929"/>
      <c r="C33" s="2930"/>
      <c r="D33" s="2971"/>
      <c r="E33" s="2972"/>
      <c r="F33" s="2933"/>
      <c r="G33" s="2927"/>
      <c r="H33" s="2955"/>
      <c r="I33" s="2946"/>
      <c r="J33" s="3699" t="s">
        <v>2326</v>
      </c>
      <c r="K33" s="3700"/>
      <c r="L33" s="2853"/>
      <c r="M33" s="2853"/>
      <c r="N33" s="2853"/>
      <c r="O33" s="2853"/>
      <c r="P33" s="2853"/>
      <c r="Q33" s="2854"/>
      <c r="R33" s="2973">
        <f>SUM(L33:Q33)</f>
        <v>0</v>
      </c>
      <c r="S33" s="2919"/>
      <c r="T33" s="2838"/>
      <c r="U33" s="2838"/>
      <c r="V33" s="2846"/>
    </row>
    <row r="34" spans="1:23" s="2850" customFormat="1" ht="13.2" customHeight="1">
      <c r="A34" s="2928">
        <v>5</v>
      </c>
      <c r="B34" s="2929" t="s">
        <v>2425</v>
      </c>
      <c r="C34" s="2974"/>
      <c r="D34" s="2975"/>
      <c r="E34" s="2976"/>
      <c r="F34" s="2933"/>
      <c r="G34" s="2927"/>
      <c r="H34" s="2955"/>
      <c r="I34" s="2946"/>
      <c r="J34" s="3699" t="s">
        <v>2328</v>
      </c>
      <c r="K34" s="3700"/>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2" customHeight="1" thickBot="1">
      <c r="A36" s="2928">
        <v>7</v>
      </c>
      <c r="B36" s="2983" t="s">
        <v>2427</v>
      </c>
      <c r="C36" s="2984"/>
      <c r="D36" s="2985"/>
      <c r="E36" s="2986"/>
      <c r="F36" s="2987">
        <f>C36+D36+E36</f>
        <v>0</v>
      </c>
      <c r="G36" s="2927"/>
      <c r="H36" s="2845"/>
      <c r="I36" s="2846"/>
      <c r="J36" s="3704">
        <v>1</v>
      </c>
      <c r="K36" s="3705" t="s">
        <v>2428</v>
      </c>
      <c r="L36" s="2871"/>
      <c r="M36" s="2872"/>
      <c r="N36" s="2872"/>
      <c r="O36" s="2872"/>
      <c r="P36" s="2872"/>
      <c r="Q36" s="2872"/>
      <c r="R36" s="2855" t="s">
        <v>2340</v>
      </c>
      <c r="S36" s="2919"/>
      <c r="T36" s="2838" t="s">
        <v>2341</v>
      </c>
      <c r="U36" s="2838"/>
      <c r="V36" s="2846"/>
    </row>
    <row r="37" spans="1:23" s="2850" customFormat="1" ht="13.2" customHeight="1">
      <c r="A37" s="2928"/>
      <c r="B37" s="2929"/>
      <c r="C37" s="2929"/>
      <c r="D37" s="2929"/>
      <c r="E37" s="2929"/>
      <c r="F37" s="2933"/>
      <c r="G37" s="2927"/>
      <c r="H37" s="2845"/>
      <c r="I37" s="2846"/>
      <c r="J37" s="3704"/>
      <c r="K37" s="3706"/>
      <c r="L37" s="2880"/>
      <c r="M37" s="2881"/>
      <c r="N37" s="2857"/>
      <c r="O37" s="2882"/>
      <c r="P37" s="2882"/>
      <c r="Q37" s="2883"/>
      <c r="R37" s="2884"/>
      <c r="S37" s="2919"/>
      <c r="T37" s="2838" t="s">
        <v>2344</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704"/>
      <c r="K38" s="3706"/>
      <c r="L38" s="2880"/>
      <c r="M38" s="2881"/>
      <c r="N38" s="2857"/>
      <c r="O38" s="2882"/>
      <c r="P38" s="2882"/>
      <c r="Q38" s="2883"/>
      <c r="R38" s="2884"/>
      <c r="S38" s="2919"/>
      <c r="T38" s="2838" t="s">
        <v>2351</v>
      </c>
      <c r="U38" s="2838"/>
      <c r="V38" s="2846"/>
    </row>
    <row r="39" spans="1:23" s="2850" customFormat="1" ht="13.2" customHeight="1">
      <c r="A39" s="2928">
        <v>9</v>
      </c>
      <c r="B39" s="2929" t="s">
        <v>2429</v>
      </c>
      <c r="C39" s="2894" t="e">
        <f>C38</f>
        <v>#DIV/0!</v>
      </c>
      <c r="D39" s="2929">
        <f>D38/(1+D34)^C36</f>
        <v>0</v>
      </c>
      <c r="E39" s="2929">
        <f>E38/(1+E34)^(C36+D36)</f>
        <v>0</v>
      </c>
      <c r="F39" s="2933"/>
      <c r="G39" s="2988"/>
      <c r="H39" s="2845"/>
      <c r="I39" s="2846"/>
      <c r="J39" s="3704"/>
      <c r="K39" s="3706"/>
      <c r="L39" s="2880"/>
      <c r="M39" s="2881"/>
      <c r="N39" s="2857"/>
      <c r="O39" s="2882"/>
      <c r="P39" s="2882"/>
      <c r="Q39" s="2883"/>
      <c r="R39" s="2884"/>
      <c r="S39" s="2919"/>
      <c r="T39" s="2838"/>
      <c r="U39" s="2838"/>
      <c r="V39" s="2846"/>
    </row>
    <row r="40" spans="1:23" s="2850" customFormat="1" ht="13.2" customHeight="1">
      <c r="A40" s="2989">
        <v>10</v>
      </c>
      <c r="B40" s="2929" t="s">
        <v>2430</v>
      </c>
      <c r="C40" s="2990" t="e">
        <f>C39+D39+E39</f>
        <v>#DIV/0!</v>
      </c>
      <c r="D40" s="2991"/>
      <c r="E40" s="2991"/>
      <c r="F40" s="2992"/>
      <c r="G40" s="2927"/>
      <c r="H40" s="2845"/>
      <c r="I40" s="2846"/>
      <c r="J40" s="3704"/>
      <c r="K40" s="3707"/>
      <c r="L40" s="2900" t="s">
        <v>2369</v>
      </c>
      <c r="M40" s="2901"/>
      <c r="N40" s="2901"/>
      <c r="O40" s="2902"/>
      <c r="P40" s="2902"/>
      <c r="Q40" s="2903"/>
      <c r="R40" s="2849">
        <f>SUM(R37:R39)</f>
        <v>0</v>
      </c>
      <c r="S40" s="2919"/>
      <c r="T40" s="2838"/>
      <c r="U40" s="2838"/>
      <c r="V40" s="2846"/>
    </row>
    <row r="41" spans="1:23" s="2850" customFormat="1" ht="13.2"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2" customHeight="1">
      <c r="G42" s="2997"/>
      <c r="H42" s="2845"/>
      <c r="I42" s="2846"/>
      <c r="J42" s="3714">
        <v>3</v>
      </c>
      <c r="K42" s="2948" t="s">
        <v>2411</v>
      </c>
      <c r="L42" s="2949"/>
      <c r="M42" s="2950"/>
      <c r="N42" s="2951" t="s">
        <v>2412</v>
      </c>
      <c r="O42" s="2951" t="s">
        <v>2413</v>
      </c>
      <c r="P42" s="2952" t="s">
        <v>2414</v>
      </c>
      <c r="Q42" s="2952" t="s">
        <v>2415</v>
      </c>
      <c r="R42" s="2855" t="s">
        <v>2340</v>
      </c>
      <c r="S42" s="2953"/>
      <c r="T42" s="2953"/>
      <c r="U42" s="2838"/>
      <c r="V42" s="2846"/>
    </row>
    <row r="43" spans="1:23" ht="13.2" customHeight="1">
      <c r="A43" s="2850"/>
      <c r="B43" s="2850"/>
      <c r="C43" s="2850"/>
      <c r="D43" s="2850"/>
      <c r="E43" s="2850"/>
      <c r="F43" s="2850"/>
      <c r="I43" s="2833"/>
      <c r="J43" s="3715"/>
      <c r="K43" s="2956"/>
      <c r="L43" s="2957"/>
      <c r="M43" s="2958"/>
      <c r="N43" s="2881"/>
      <c r="O43" s="2881"/>
      <c r="P43" s="2881"/>
      <c r="Q43" s="2945"/>
      <c r="R43" s="2916">
        <f>ROUND(O43*N43*P43*(1-Q43)/10000,0)</f>
        <v>0</v>
      </c>
      <c r="S43" s="2919"/>
      <c r="T43" s="2838"/>
      <c r="V43" s="2999"/>
      <c r="W43" s="3000"/>
    </row>
    <row r="44" spans="1:23" ht="13.2"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14" sqref="L14"/>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4"/>
      <c r="G1" s="1489"/>
      <c r="H1" s="1489"/>
      <c r="I1" s="1489"/>
      <c r="J1" s="1489"/>
      <c r="K1" s="1489"/>
      <c r="L1" s="1489"/>
      <c r="M1" s="1489"/>
      <c r="N1" s="1489"/>
      <c r="O1" s="1489"/>
      <c r="P1" s="1489"/>
      <c r="Q1" s="1489"/>
      <c r="R1" s="1489"/>
      <c r="S1" s="1489"/>
    </row>
    <row r="2" spans="1:22" ht="15.6">
      <c r="A2" s="1870" t="s">
        <v>1462</v>
      </c>
      <c r="B2" s="1871">
        <f ca="1">SUMIF(B6:B13,"&lt;&gt;#ref!",B6:B13)</f>
        <v>243.14</v>
      </c>
      <c r="C2" s="1872" t="s">
        <v>1651</v>
      </c>
      <c r="D2" s="1873" t="s">
        <v>1652</v>
      </c>
      <c r="E2" s="2604">
        <f>SUM(E6:E13)</f>
        <v>64.67</v>
      </c>
      <c r="F2" s="2704"/>
      <c r="G2" s="1489"/>
      <c r="H2" s="1489"/>
      <c r="I2" s="1489"/>
      <c r="J2" s="1489"/>
      <c r="K2" s="1489"/>
      <c r="L2" s="1489"/>
      <c r="M2" s="1489"/>
      <c r="N2" s="1489"/>
      <c r="O2" s="1489"/>
      <c r="P2" s="1489"/>
      <c r="Q2" s="1489"/>
      <c r="R2" s="1489"/>
      <c r="S2" s="1489"/>
    </row>
    <row r="3" spans="1:22" ht="15.6">
      <c r="A3" s="1870" t="s">
        <v>686</v>
      </c>
      <c r="B3" s="2598">
        <f ca="1">ROUND(B2*10000/E2,0)</f>
        <v>37597</v>
      </c>
      <c r="C3" s="1872" t="s">
        <v>1659</v>
      </c>
      <c r="D3" s="2706"/>
      <c r="E3" s="2708"/>
      <c r="F3" s="2704"/>
      <c r="G3" s="1489"/>
      <c r="H3" s="1489"/>
      <c r="I3" s="1489"/>
      <c r="J3" s="1489"/>
      <c r="K3" s="1489"/>
      <c r="L3" s="1489"/>
      <c r="M3" s="1489"/>
      <c r="N3" s="1489"/>
      <c r="O3" s="1489"/>
      <c r="P3" s="1489"/>
      <c r="Q3" s="1489"/>
      <c r="R3" s="1489"/>
      <c r="S3" s="1489"/>
    </row>
    <row r="4" spans="1:22" ht="15.6">
      <c r="A4" s="2709"/>
      <c r="B4" s="2706"/>
      <c r="C4" s="2706"/>
      <c r="D4" s="2706"/>
      <c r="E4" s="2708"/>
      <c r="F4" s="2704"/>
      <c r="G4" s="1489"/>
      <c r="H4" s="1489"/>
      <c r="I4" s="1489"/>
      <c r="J4" s="1489"/>
      <c r="K4" s="1489"/>
      <c r="L4" s="1489"/>
      <c r="M4" s="1489"/>
      <c r="N4" s="1489"/>
      <c r="O4" s="1489"/>
      <c r="P4" s="1489"/>
      <c r="Q4" s="1489"/>
      <c r="R4" s="1489"/>
      <c r="S4" s="1489"/>
    </row>
    <row r="5" spans="1:22" ht="14.4">
      <c r="A5" s="2600" t="s">
        <v>1653</v>
      </c>
      <c r="B5" s="3716" t="s">
        <v>1654</v>
      </c>
      <c r="C5" s="3717"/>
      <c r="D5" s="2705"/>
      <c r="E5" s="1874" t="s">
        <v>1655</v>
      </c>
      <c r="F5" s="1875" t="s">
        <v>1656</v>
      </c>
      <c r="G5" s="1489"/>
      <c r="H5" s="1489"/>
      <c r="I5" s="1489"/>
      <c r="J5" s="1489"/>
      <c r="K5" s="1489"/>
      <c r="L5" s="1489"/>
      <c r="M5" s="1489"/>
      <c r="N5" s="1489"/>
      <c r="O5" s="1489"/>
      <c r="P5" s="1489"/>
      <c r="Q5" s="1489"/>
      <c r="R5" s="1489"/>
      <c r="S5" s="1489"/>
    </row>
    <row r="6" spans="1:22" ht="14.4">
      <c r="A6" s="2601" t="str">
        <f>'数据-取费表'!AN6</f>
        <v>收益法 (元)</v>
      </c>
      <c r="B6" s="2599">
        <f ca="1">IF(F6="是",'数据-取费表'!AO6,0)</f>
        <v>243.14</v>
      </c>
      <c r="C6" s="1872" t="s">
        <v>1651</v>
      </c>
      <c r="D6" s="2706"/>
      <c r="E6" s="2603">
        <f>IF(OR(A6=0,F6="否"),0,'数据-取费表'!K6+'数据-取费表'!S6)</f>
        <v>64.67</v>
      </c>
      <c r="F6" s="1876" t="s">
        <v>1657</v>
      </c>
      <c r="G6" s="1489"/>
      <c r="H6" s="1489"/>
      <c r="I6" s="1489"/>
      <c r="J6" s="1489"/>
      <c r="K6" s="1489"/>
      <c r="L6" s="1489"/>
      <c r="M6" s="1489"/>
      <c r="N6" s="1489"/>
      <c r="O6" s="1489"/>
      <c r="P6" s="1489"/>
      <c r="Q6" s="1489"/>
      <c r="R6" s="1489"/>
      <c r="S6" s="1489"/>
    </row>
    <row r="7" spans="1:22" ht="14.4">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ht="14.4">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ht="14.4">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ht="14.4">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36:T45"/>
  <sheetViews>
    <sheetView topLeftCell="A10" workbookViewId="0">
      <selection activeCell="R50" sqref="R50"/>
    </sheetView>
  </sheetViews>
  <sheetFormatPr defaultRowHeight="14.4"/>
  <sheetData>
    <row r="36" spans="17:20" ht="11.4" customHeight="1"/>
    <row r="42" spans="17:20">
      <c r="Q42">
        <v>66.17</v>
      </c>
      <c r="R42">
        <v>9090</v>
      </c>
      <c r="S42">
        <f>R42/Q42</f>
        <v>137.37343206891339</v>
      </c>
    </row>
    <row r="43" spans="17:20">
      <c r="Q43">
        <v>75.28</v>
      </c>
      <c r="R43">
        <v>11500</v>
      </c>
      <c r="S43">
        <f t="shared" ref="S43:S44" si="0">R43/Q43</f>
        <v>152.76301806588737</v>
      </c>
    </row>
    <row r="44" spans="17:20">
      <c r="Q44">
        <v>48.96</v>
      </c>
      <c r="R44">
        <v>7630</v>
      </c>
      <c r="S44">
        <f t="shared" si="0"/>
        <v>155.84150326797385</v>
      </c>
    </row>
    <row r="45" spans="17:20">
      <c r="S45">
        <f>AVERAGE(S42:S44)</f>
        <v>148.65931780092487</v>
      </c>
      <c r="T45">
        <f>S45*'数据-汇总表'!E3</f>
        <v>9613.7980821858109</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73" zoomScale="90" zoomScaleNormal="60" zoomScaleSheetLayoutView="90" workbookViewId="0">
      <selection activeCell="F90" sqref="F90"/>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7.88671875" style="357" customWidth="1"/>
    <col min="7" max="7" width="16.44140625" style="357" customWidth="1"/>
    <col min="8" max="8" width="16.6640625" style="357" customWidth="1"/>
    <col min="9" max="9" width="19.77734375" style="357" customWidth="1"/>
    <col min="10" max="10" width="16.3320312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3429</v>
      </c>
      <c r="E1" s="3423" t="s">
        <v>3527</v>
      </c>
      <c r="F1" s="1879" t="s">
        <v>3528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f>IF(E1="项目模式",IF(C2="——",ROUND(C49*D3/10000,0),ROUND(C49*D3/10000,0)-D2),IF(E1="单套模式",IF(C2="——",ROUND(C49*D3/10000,4),ROUND(C49*D3/10000,4)-D2)))</f>
        <v>576.1644</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89093</v>
      </c>
      <c r="C3" s="354" t="s">
        <v>1665</v>
      </c>
      <c r="D3" s="353">
        <f>IF(D1="",'数据-汇总表'!E3,SUMIF('数据-汇总表'!$C19:$C33,D1,'数据-汇总表'!$E19:$E33))</f>
        <v>64.67</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4.4">
      <c r="A4" s="355" t="s">
        <v>1666</v>
      </c>
      <c r="B4" s="356"/>
      <c r="C4" s="3736" t="s">
        <v>1667</v>
      </c>
      <c r="D4" s="3737"/>
      <c r="E4" s="3738" t="s">
        <v>1668</v>
      </c>
      <c r="F4" s="3739"/>
      <c r="G4" s="3736" t="s">
        <v>1669</v>
      </c>
      <c r="H4" s="3737"/>
      <c r="I4" s="3736" t="s">
        <v>1670</v>
      </c>
      <c r="J4" s="3737"/>
      <c r="K4" s="1889" t="s">
        <v>1671</v>
      </c>
      <c r="L4" s="2712"/>
      <c r="M4" s="2713"/>
      <c r="N4" s="2713"/>
      <c r="O4" s="2713"/>
      <c r="P4" s="3740" t="s">
        <v>1672</v>
      </c>
      <c r="Q4" s="3741"/>
      <c r="R4" s="3723" t="s">
        <v>1668</v>
      </c>
      <c r="S4" s="3724"/>
      <c r="T4" s="3723" t="s">
        <v>1669</v>
      </c>
      <c r="U4" s="3724"/>
      <c r="V4" s="3748" t="s">
        <v>1670</v>
      </c>
      <c r="W4" s="3748"/>
      <c r="X4" s="1355"/>
      <c r="Y4" s="3723" t="s">
        <v>1672</v>
      </c>
      <c r="Z4" s="3724"/>
      <c r="AA4" s="3718" t="s">
        <v>1668</v>
      </c>
      <c r="AB4" s="3718" t="s">
        <v>1669</v>
      </c>
      <c r="AC4" s="3718" t="s">
        <v>1670</v>
      </c>
    </row>
    <row r="5" spans="1:29">
      <c r="A5" s="358"/>
      <c r="B5" s="359"/>
      <c r="C5" s="3729" t="s">
        <v>1673</v>
      </c>
      <c r="D5" s="3730"/>
      <c r="E5" s="3727" t="str">
        <f>售价!C2</f>
        <v>工人体育场北路</v>
      </c>
      <c r="F5" s="3728"/>
      <c r="G5" s="3729" t="str">
        <f>售价!C3</f>
        <v>工人体育场北路</v>
      </c>
      <c r="H5" s="3730"/>
      <c r="I5" s="3729" t="str">
        <f>Sheet1!G34</f>
        <v>新中西里</v>
      </c>
      <c r="J5" s="3730"/>
      <c r="K5" s="1890"/>
      <c r="L5" s="2712"/>
      <c r="M5" s="2713"/>
      <c r="N5" s="2713"/>
      <c r="O5" s="2713"/>
      <c r="P5" s="3742"/>
      <c r="Q5" s="3743"/>
      <c r="R5" s="3725"/>
      <c r="S5" s="3726"/>
      <c r="T5" s="3725"/>
      <c r="U5" s="3726"/>
      <c r="V5" s="3748"/>
      <c r="W5" s="3748"/>
      <c r="X5" s="1355"/>
      <c r="Y5" s="3725"/>
      <c r="Z5" s="3726"/>
      <c r="AA5" s="3719"/>
      <c r="AB5" s="3719"/>
      <c r="AC5" s="3719"/>
    </row>
    <row r="6" spans="1:29" ht="15" thickBot="1">
      <c r="A6" s="360"/>
      <c r="B6" s="361"/>
      <c r="C6" s="3731" t="s">
        <v>1677</v>
      </c>
      <c r="D6" s="3732"/>
      <c r="E6" s="3733" t="str">
        <f>售价!B2</f>
        <v>工人体育场北路38号楼13层13-2号</v>
      </c>
      <c r="F6" s="3734"/>
      <c r="G6" s="3731" t="str">
        <f>售价!B3</f>
        <v>工人体育场北路38号楼10-1号</v>
      </c>
      <c r="H6" s="3732"/>
      <c r="I6" s="3731" t="str">
        <f>Sheet1!F34</f>
        <v>新中西里16号楼2层4单元201号</v>
      </c>
      <c r="J6" s="3732"/>
      <c r="K6" s="1890" t="s">
        <v>1678</v>
      </c>
      <c r="L6" s="2712"/>
      <c r="M6" s="2713"/>
      <c r="N6" s="2713"/>
      <c r="O6" s="2713"/>
      <c r="P6" s="3744"/>
      <c r="Q6" s="3745"/>
      <c r="R6" s="3725"/>
      <c r="S6" s="3726"/>
      <c r="T6" s="3746"/>
      <c r="U6" s="3747"/>
      <c r="V6" s="3748"/>
      <c r="W6" s="3748"/>
      <c r="X6" s="1355"/>
      <c r="Y6" s="3746"/>
      <c r="Z6" s="3747"/>
      <c r="AA6" s="3720"/>
      <c r="AB6" s="3720"/>
      <c r="AC6" s="3720"/>
    </row>
    <row r="7" spans="1:29" s="108" customFormat="1" ht="15" thickBot="1">
      <c r="A7" s="362" t="s">
        <v>1679</v>
      </c>
      <c r="B7" s="363"/>
      <c r="C7" s="364">
        <f>'数据-取费表'!B2</f>
        <v>45699</v>
      </c>
      <c r="D7" s="365">
        <v>100</v>
      </c>
      <c r="E7" s="366">
        <f>售价!Q2</f>
        <v>45407</v>
      </c>
      <c r="F7" s="367">
        <f>SUMIF(58:58,YEAR(E7)&amp;"-"&amp;MONTH(E7),59:59)</f>
        <v>101</v>
      </c>
      <c r="G7" s="366">
        <f>售价!Q3</f>
        <v>45374</v>
      </c>
      <c r="H7" s="365">
        <f>SUMIF(58:58,YEAR(G7)&amp;"-"&amp;MONTH(G7),59:59)</f>
        <v>101</v>
      </c>
      <c r="I7" s="366">
        <f>Sheet1!U34</f>
        <v>45596</v>
      </c>
      <c r="J7" s="365">
        <f>SUMIF(58:58,YEAR(I7)&amp;"-"&amp;MONTH(I7),59:59)</f>
        <v>100.5</v>
      </c>
      <c r="K7" s="1891"/>
      <c r="L7" s="2714"/>
      <c r="M7" s="2715"/>
      <c r="N7" s="2715"/>
      <c r="O7" s="2715"/>
      <c r="P7" s="3721" t="s">
        <v>1680</v>
      </c>
      <c r="Q7" s="3749"/>
      <c r="R7" s="701" t="s">
        <v>20</v>
      </c>
      <c r="S7" s="702">
        <f t="shared" ref="S7:S15" si="0">F7</f>
        <v>101</v>
      </c>
      <c r="T7" s="701" t="s">
        <v>20</v>
      </c>
      <c r="U7" s="702">
        <f t="shared" ref="U7:U15" si="1">H7</f>
        <v>101</v>
      </c>
      <c r="V7" s="701" t="s">
        <v>20</v>
      </c>
      <c r="W7" s="702">
        <f t="shared" ref="W7:W15" si="2">J7</f>
        <v>100.5</v>
      </c>
      <c r="X7" s="703"/>
      <c r="Y7" s="3721" t="s">
        <v>1680</v>
      </c>
      <c r="Z7" s="3722"/>
      <c r="AA7" s="704">
        <f>D7/F7</f>
        <v>0.99009900990099009</v>
      </c>
      <c r="AB7" s="704">
        <f>D7/H7</f>
        <v>0.99009900990099009</v>
      </c>
      <c r="AC7" s="704">
        <f>D7/J7</f>
        <v>0.99502487562189057</v>
      </c>
    </row>
    <row r="8" spans="1:29" s="108" customFormat="1" ht="15" thickBot="1">
      <c r="A8" s="362" t="s">
        <v>1681</v>
      </c>
      <c r="B8" s="363"/>
      <c r="C8" s="368" t="s">
        <v>3450</v>
      </c>
      <c r="D8" s="365">
        <v>100</v>
      </c>
      <c r="E8" s="368" t="s">
        <v>3450</v>
      </c>
      <c r="F8" s="367">
        <f>SUMIF(61:61,E8,62:62)-SUMIF(61:61,C8,62:62)+100</f>
        <v>100</v>
      </c>
      <c r="G8" s="368" t="s">
        <v>3450</v>
      </c>
      <c r="H8" s="365">
        <f>SUMIF(61:61,G8,62:62)-SUMIF(61:61,C8,62:62)+100</f>
        <v>100</v>
      </c>
      <c r="I8" s="368" t="s">
        <v>3450</v>
      </c>
      <c r="J8" s="365">
        <f>SUMIF(61:61,I8,62:62)-SUMIF(61:61,C8,62:62)+100</f>
        <v>100</v>
      </c>
      <c r="K8" s="1891"/>
      <c r="L8" s="2714"/>
      <c r="M8" s="2715"/>
      <c r="N8" s="2715"/>
      <c r="O8" s="2715"/>
      <c r="P8" s="3721" t="s">
        <v>1683</v>
      </c>
      <c r="Q8" s="3722"/>
      <c r="R8" s="701" t="s">
        <v>20</v>
      </c>
      <c r="S8" s="702">
        <f t="shared" si="0"/>
        <v>100</v>
      </c>
      <c r="T8" s="701" t="s">
        <v>20</v>
      </c>
      <c r="U8" s="702">
        <f t="shared" si="1"/>
        <v>100</v>
      </c>
      <c r="V8" s="701" t="s">
        <v>20</v>
      </c>
      <c r="W8" s="702">
        <f t="shared" si="2"/>
        <v>100</v>
      </c>
      <c r="X8" s="703"/>
      <c r="Y8" s="3721" t="s">
        <v>1683</v>
      </c>
      <c r="Z8" s="3722"/>
      <c r="AA8" s="704">
        <f t="shared" ref="AA8:AA19" si="3">D8/F8</f>
        <v>1</v>
      </c>
      <c r="AB8" s="704">
        <f t="shared" ref="AB8:AB19" si="4">D8/H8</f>
        <v>1</v>
      </c>
      <c r="AC8" s="704">
        <f t="shared" ref="AC8:AC19" si="5">D8/J8</f>
        <v>1</v>
      </c>
    </row>
    <row r="9" spans="1:29" s="108" customFormat="1" ht="15" thickBot="1">
      <c r="A9" s="369" t="s">
        <v>1684</v>
      </c>
      <c r="B9" s="63" t="s">
        <v>1685</v>
      </c>
      <c r="C9" s="3465" t="s">
        <v>3451</v>
      </c>
      <c r="D9" s="126">
        <v>100</v>
      </c>
      <c r="E9" s="371" t="s">
        <v>3429</v>
      </c>
      <c r="F9" s="372">
        <f>SUMIF(63:63,E9,64:64)-SUMIF(63:63,C9,64:64)+100</f>
        <v>100</v>
      </c>
      <c r="G9" s="371" t="s">
        <v>3429</v>
      </c>
      <c r="H9" s="126">
        <f>SUMIF(63:63,G9,64:64)-SUMIF(63:63,C9,64:64)+100</f>
        <v>100</v>
      </c>
      <c r="I9" s="371" t="s">
        <v>3429</v>
      </c>
      <c r="J9" s="126">
        <f>SUMIF(63:63,I9,64:64)-SUMIF(63:63,C9,64:64)+100</f>
        <v>100</v>
      </c>
      <c r="K9" s="1891"/>
      <c r="L9" s="2714"/>
      <c r="M9" s="2715"/>
      <c r="N9" s="2715"/>
      <c r="O9" s="2715"/>
      <c r="P9" s="3735" t="s">
        <v>1686</v>
      </c>
      <c r="Q9" s="1343" t="str">
        <f t="shared" ref="Q9:Q15" si="6">B9</f>
        <v>用途</v>
      </c>
      <c r="R9" s="701" t="s">
        <v>14</v>
      </c>
      <c r="S9" s="702">
        <f t="shared" si="0"/>
        <v>100</v>
      </c>
      <c r="T9" s="701" t="s">
        <v>14</v>
      </c>
      <c r="U9" s="702">
        <f t="shared" si="1"/>
        <v>100</v>
      </c>
      <c r="V9" s="701" t="s">
        <v>14</v>
      </c>
      <c r="W9" s="702">
        <f t="shared" si="2"/>
        <v>100</v>
      </c>
      <c r="X9" s="703"/>
      <c r="Y9" s="3665" t="s">
        <v>1687</v>
      </c>
      <c r="Z9" s="52" t="str">
        <f t="shared" ref="Z9:Z15" si="7">Q9</f>
        <v>用途</v>
      </c>
      <c r="AA9" s="704">
        <f t="shared" si="3"/>
        <v>1</v>
      </c>
      <c r="AB9" s="704">
        <f t="shared" si="4"/>
        <v>1</v>
      </c>
      <c r="AC9" s="704">
        <f t="shared" si="5"/>
        <v>1</v>
      </c>
    </row>
    <row r="10" spans="1:29" s="378" customFormat="1" ht="28.8" hidden="1">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35"/>
      <c r="Q10" s="1343" t="str">
        <f t="shared" si="6"/>
        <v>土地使用年限（年）</v>
      </c>
      <c r="R10" s="701" t="s">
        <v>14</v>
      </c>
      <c r="S10" s="702">
        <f t="shared" si="0"/>
        <v>100</v>
      </c>
      <c r="T10" s="701" t="s">
        <v>14</v>
      </c>
      <c r="U10" s="702">
        <f t="shared" si="1"/>
        <v>100</v>
      </c>
      <c r="V10" s="701" t="s">
        <v>14</v>
      </c>
      <c r="W10" s="702">
        <f t="shared" si="2"/>
        <v>100</v>
      </c>
      <c r="X10" s="703"/>
      <c r="Y10" s="3665"/>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1</v>
      </c>
      <c r="L11" s="2718"/>
      <c r="M11" s="2713"/>
      <c r="N11" s="2713"/>
      <c r="O11" s="2713"/>
      <c r="P11" s="3735"/>
      <c r="Q11" s="1343" t="str">
        <f t="shared" si="6"/>
        <v>容积率</v>
      </c>
      <c r="R11" s="701" t="s">
        <v>18</v>
      </c>
      <c r="S11" s="702">
        <f t="shared" si="0"/>
        <v>100</v>
      </c>
      <c r="T11" s="701" t="s">
        <v>18</v>
      </c>
      <c r="U11" s="702">
        <f t="shared" si="1"/>
        <v>100</v>
      </c>
      <c r="V11" s="701" t="s">
        <v>18</v>
      </c>
      <c r="W11" s="702">
        <f t="shared" si="2"/>
        <v>100</v>
      </c>
      <c r="X11" s="703"/>
      <c r="Y11" s="3665"/>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35"/>
      <c r="Q12" s="1343">
        <f t="shared" si="6"/>
        <v>111</v>
      </c>
      <c r="R12" s="701" t="s">
        <v>18</v>
      </c>
      <c r="S12" s="702">
        <f t="shared" si="0"/>
        <v>100</v>
      </c>
      <c r="T12" s="701" t="s">
        <v>18</v>
      </c>
      <c r="U12" s="702">
        <f t="shared" si="1"/>
        <v>100</v>
      </c>
      <c r="V12" s="701" t="s">
        <v>18</v>
      </c>
      <c r="W12" s="702">
        <f t="shared" si="2"/>
        <v>100</v>
      </c>
      <c r="X12" s="703"/>
      <c r="Y12" s="3665"/>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35"/>
      <c r="Q13" s="1343">
        <f t="shared" si="6"/>
        <v>111</v>
      </c>
      <c r="R13" s="701" t="s">
        <v>18</v>
      </c>
      <c r="S13" s="702">
        <f t="shared" si="0"/>
        <v>100</v>
      </c>
      <c r="T13" s="701" t="s">
        <v>18</v>
      </c>
      <c r="U13" s="702">
        <f t="shared" si="1"/>
        <v>100</v>
      </c>
      <c r="V13" s="701" t="s">
        <v>18</v>
      </c>
      <c r="W13" s="702">
        <f t="shared" si="2"/>
        <v>100</v>
      </c>
      <c r="X13" s="703"/>
      <c r="Y13" s="3665"/>
      <c r="Z13" s="52">
        <f t="shared" si="7"/>
        <v>111</v>
      </c>
      <c r="AA13" s="704">
        <f t="shared" si="3"/>
        <v>1</v>
      </c>
      <c r="AB13" s="704">
        <f t="shared" si="4"/>
        <v>1</v>
      </c>
      <c r="AC13" s="704">
        <f t="shared" si="5"/>
        <v>1</v>
      </c>
    </row>
    <row r="14" spans="1:29" ht="15.6"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35"/>
      <c r="Q14" s="1343">
        <f t="shared" si="6"/>
        <v>111</v>
      </c>
      <c r="R14" s="701" t="s">
        <v>18</v>
      </c>
      <c r="S14" s="702">
        <f t="shared" si="0"/>
        <v>100</v>
      </c>
      <c r="T14" s="701" t="s">
        <v>18</v>
      </c>
      <c r="U14" s="702">
        <f t="shared" si="1"/>
        <v>100</v>
      </c>
      <c r="V14" s="701" t="s">
        <v>18</v>
      </c>
      <c r="W14" s="702">
        <f t="shared" si="2"/>
        <v>100</v>
      </c>
      <c r="X14" s="703"/>
      <c r="Y14" s="3665"/>
      <c r="Z14" s="52">
        <f t="shared" si="7"/>
        <v>111</v>
      </c>
      <c r="AA14" s="704">
        <f t="shared" si="3"/>
        <v>1</v>
      </c>
      <c r="AB14" s="704">
        <f t="shared" si="4"/>
        <v>1</v>
      </c>
      <c r="AC14" s="704">
        <f t="shared" si="5"/>
        <v>1</v>
      </c>
    </row>
    <row r="15" spans="1:29" ht="96.6">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762" t="s">
        <v>1691</v>
      </c>
      <c r="Q15" s="1352" t="str">
        <f t="shared" si="6"/>
        <v>居住社区成熟度</v>
      </c>
      <c r="R15" s="705" t="s">
        <v>18</v>
      </c>
      <c r="S15" s="706">
        <f t="shared" si="0"/>
        <v>100</v>
      </c>
      <c r="T15" s="705" t="s">
        <v>18</v>
      </c>
      <c r="U15" s="706">
        <f t="shared" si="1"/>
        <v>100</v>
      </c>
      <c r="V15" s="705" t="s">
        <v>18</v>
      </c>
      <c r="W15" s="706">
        <f t="shared" si="2"/>
        <v>100</v>
      </c>
      <c r="X15" s="1355"/>
      <c r="Y15" s="3755" t="s">
        <v>1691</v>
      </c>
      <c r="Z15" s="1356" t="str">
        <f t="shared" si="7"/>
        <v>居住社区成熟度</v>
      </c>
      <c r="AA15" s="1353">
        <f t="shared" si="3"/>
        <v>1</v>
      </c>
      <c r="AB15" s="1353">
        <f t="shared" si="4"/>
        <v>1</v>
      </c>
      <c r="AC15" s="1353">
        <f t="shared" si="5"/>
        <v>1</v>
      </c>
    </row>
    <row r="16" spans="1:29" ht="15">
      <c r="A16" s="379"/>
      <c r="B16" s="397"/>
      <c r="C16" s="398" t="s">
        <v>3496</v>
      </c>
      <c r="D16" s="399"/>
      <c r="E16" s="398" t="s">
        <v>3496</v>
      </c>
      <c r="F16" s="399"/>
      <c r="G16" s="398" t="s">
        <v>3496</v>
      </c>
      <c r="H16" s="401"/>
      <c r="I16" s="398" t="s">
        <v>3496</v>
      </c>
      <c r="J16" s="399"/>
      <c r="K16" s="1898"/>
      <c r="L16" s="2719"/>
      <c r="M16" s="2713"/>
      <c r="N16" s="2713"/>
      <c r="O16" s="2713"/>
      <c r="P16" s="3763"/>
      <c r="Q16" s="1352"/>
      <c r="R16" s="705"/>
      <c r="S16" s="706"/>
      <c r="T16" s="705"/>
      <c r="U16" s="706"/>
      <c r="V16" s="705"/>
      <c r="W16" s="706"/>
      <c r="X16" s="1355"/>
      <c r="Y16" s="3756"/>
      <c r="Z16" s="1356"/>
      <c r="AA16" s="1353">
        <v>1</v>
      </c>
      <c r="AB16" s="1353">
        <v>1</v>
      </c>
      <c r="AC16" s="1353">
        <v>1</v>
      </c>
    </row>
    <row r="17" spans="1:29" ht="82.8">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763"/>
      <c r="Q17" s="1352" t="str">
        <f>B17</f>
        <v>交通便捷度</v>
      </c>
      <c r="R17" s="705" t="s">
        <v>18</v>
      </c>
      <c r="S17" s="706">
        <f>F17</f>
        <v>100</v>
      </c>
      <c r="T17" s="705" t="s">
        <v>18</v>
      </c>
      <c r="U17" s="706">
        <f>H17</f>
        <v>100</v>
      </c>
      <c r="V17" s="705" t="s">
        <v>18</v>
      </c>
      <c r="W17" s="706">
        <f>J17</f>
        <v>100</v>
      </c>
      <c r="X17" s="1355"/>
      <c r="Y17" s="3756"/>
      <c r="Z17" s="1356" t="str">
        <f>Q17</f>
        <v>交通便捷度</v>
      </c>
      <c r="AA17" s="1353">
        <f t="shared" si="3"/>
        <v>1</v>
      </c>
      <c r="AB17" s="1353">
        <f t="shared" si="4"/>
        <v>1</v>
      </c>
      <c r="AC17" s="1353">
        <f t="shared" si="5"/>
        <v>1</v>
      </c>
    </row>
    <row r="18" spans="1:29" ht="15">
      <c r="A18" s="379"/>
      <c r="B18" s="407"/>
      <c r="C18" s="398" t="s">
        <v>3496</v>
      </c>
      <c r="D18" s="401"/>
      <c r="E18" s="398" t="s">
        <v>3496</v>
      </c>
      <c r="F18" s="401"/>
      <c r="G18" s="398" t="s">
        <v>3496</v>
      </c>
      <c r="H18" s="399"/>
      <c r="I18" s="398" t="s">
        <v>3496</v>
      </c>
      <c r="J18" s="399"/>
      <c r="K18" s="1898"/>
      <c r="L18" s="2719"/>
      <c r="M18" s="2713"/>
      <c r="N18" s="2713"/>
      <c r="O18" s="2713"/>
      <c r="P18" s="3763"/>
      <c r="Q18" s="1352"/>
      <c r="R18" s="705"/>
      <c r="S18" s="706"/>
      <c r="T18" s="705"/>
      <c r="U18" s="706"/>
      <c r="V18" s="705"/>
      <c r="W18" s="706"/>
      <c r="X18" s="1355"/>
      <c r="Y18" s="3756"/>
      <c r="Z18" s="1356"/>
      <c r="AA18" s="1353">
        <v>1</v>
      </c>
      <c r="AB18" s="1353">
        <v>1</v>
      </c>
      <c r="AC18" s="1353">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763"/>
      <c r="Q19" s="1352" t="str">
        <f>B19</f>
        <v>公共配套设施</v>
      </c>
      <c r="R19" s="705" t="s">
        <v>18</v>
      </c>
      <c r="S19" s="706">
        <f>F19</f>
        <v>100</v>
      </c>
      <c r="T19" s="705" t="s">
        <v>18</v>
      </c>
      <c r="U19" s="706">
        <f>H19</f>
        <v>100</v>
      </c>
      <c r="V19" s="705" t="s">
        <v>18</v>
      </c>
      <c r="W19" s="706">
        <f>J19</f>
        <v>100</v>
      </c>
      <c r="X19" s="1355"/>
      <c r="Y19" s="3756"/>
      <c r="Z19" s="1356" t="str">
        <f>Q19</f>
        <v>公共配套设施</v>
      </c>
      <c r="AA19" s="1353">
        <f t="shared" si="3"/>
        <v>1</v>
      </c>
      <c r="AB19" s="1353">
        <f t="shared" si="4"/>
        <v>1</v>
      </c>
      <c r="AC19" s="1353">
        <f t="shared" si="5"/>
        <v>1</v>
      </c>
    </row>
    <row r="20" spans="1:29" ht="15">
      <c r="A20" s="379"/>
      <c r="B20" s="407"/>
      <c r="C20" s="398" t="s">
        <v>3496</v>
      </c>
      <c r="D20" s="399"/>
      <c r="E20" s="398" t="s">
        <v>3496</v>
      </c>
      <c r="F20" s="399"/>
      <c r="G20" s="398" t="s">
        <v>3496</v>
      </c>
      <c r="H20" s="399"/>
      <c r="I20" s="398" t="s">
        <v>3496</v>
      </c>
      <c r="J20" s="399"/>
      <c r="K20" s="1898"/>
      <c r="L20" s="2719"/>
      <c r="M20" s="2713"/>
      <c r="N20" s="2713"/>
      <c r="O20" s="2713"/>
      <c r="P20" s="3763"/>
      <c r="Q20" s="1352"/>
      <c r="R20" s="705"/>
      <c r="S20" s="706"/>
      <c r="T20" s="705"/>
      <c r="U20" s="706"/>
      <c r="V20" s="705"/>
      <c r="W20" s="706"/>
      <c r="X20" s="1355"/>
      <c r="Y20" s="3756"/>
      <c r="Z20" s="1356"/>
      <c r="AA20" s="1353">
        <v>1</v>
      </c>
      <c r="AB20" s="1353">
        <v>1</v>
      </c>
      <c r="AC20" s="1353">
        <v>1</v>
      </c>
    </row>
    <row r="21" spans="1:29" ht="27.6">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763"/>
      <c r="Q21" s="1352" t="str">
        <f>B21</f>
        <v>基础设施水平</v>
      </c>
      <c r="R21" s="705" t="s">
        <v>14</v>
      </c>
      <c r="S21" s="706">
        <f>F21</f>
        <v>100</v>
      </c>
      <c r="T21" s="705" t="s">
        <v>14</v>
      </c>
      <c r="U21" s="706">
        <f>H21</f>
        <v>100</v>
      </c>
      <c r="V21" s="705" t="s">
        <v>14</v>
      </c>
      <c r="W21" s="706">
        <f>J21</f>
        <v>100</v>
      </c>
      <c r="X21" s="1355"/>
      <c r="Y21" s="3756"/>
      <c r="Z21" s="1356" t="str">
        <f>Q21</f>
        <v>基础设施水平</v>
      </c>
      <c r="AA21" s="1353">
        <f t="shared" ref="AA21" si="8">D21/F21</f>
        <v>1</v>
      </c>
      <c r="AB21" s="1353">
        <f t="shared" ref="AB21" si="9">D21/H21</f>
        <v>1</v>
      </c>
      <c r="AC21" s="1353">
        <f t="shared" ref="AC21" si="10">D21/J21</f>
        <v>1</v>
      </c>
    </row>
    <row r="22" spans="1:29" ht="15">
      <c r="A22" s="379"/>
      <c r="B22" s="1131"/>
      <c r="C22" s="398" t="s">
        <v>3496</v>
      </c>
      <c r="D22" s="399"/>
      <c r="E22" s="398" t="s">
        <v>3496</v>
      </c>
      <c r="F22" s="399"/>
      <c r="G22" s="398" t="s">
        <v>3496</v>
      </c>
      <c r="H22" s="399"/>
      <c r="I22" s="398" t="s">
        <v>3496</v>
      </c>
      <c r="J22" s="399"/>
      <c r="K22" s="1904"/>
      <c r="L22" s="2719"/>
      <c r="M22" s="2713"/>
      <c r="N22" s="2713"/>
      <c r="O22" s="2713"/>
      <c r="P22" s="3763"/>
      <c r="Q22" s="1352"/>
      <c r="R22" s="705"/>
      <c r="S22" s="706"/>
      <c r="T22" s="705"/>
      <c r="U22" s="706"/>
      <c r="V22" s="705"/>
      <c r="W22" s="706"/>
      <c r="X22" s="1355"/>
      <c r="Y22" s="3756"/>
      <c r="Z22" s="1356"/>
      <c r="AA22" s="1353">
        <v>1</v>
      </c>
      <c r="AB22" s="1353">
        <v>1</v>
      </c>
      <c r="AC22" s="1353">
        <v>1</v>
      </c>
    </row>
    <row r="23" spans="1:29" ht="55.2">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763"/>
      <c r="Q23" s="1352" t="str">
        <f>B23</f>
        <v>自然及人文环境</v>
      </c>
      <c r="R23" s="705" t="s">
        <v>18</v>
      </c>
      <c r="S23" s="706">
        <f>F23</f>
        <v>100</v>
      </c>
      <c r="T23" s="705" t="s">
        <v>18</v>
      </c>
      <c r="U23" s="706">
        <f>H23</f>
        <v>100</v>
      </c>
      <c r="V23" s="705" t="s">
        <v>18</v>
      </c>
      <c r="W23" s="706">
        <f>J23</f>
        <v>100</v>
      </c>
      <c r="X23" s="1355"/>
      <c r="Y23" s="3756"/>
      <c r="Z23" s="1356" t="str">
        <f>Q23</f>
        <v>自然及人文环境</v>
      </c>
      <c r="AA23" s="1353">
        <f>D23/F23</f>
        <v>1</v>
      </c>
      <c r="AB23" s="1353">
        <f>D23/H23</f>
        <v>1</v>
      </c>
      <c r="AC23" s="1353">
        <f>D23/J23</f>
        <v>1</v>
      </c>
    </row>
    <row r="24" spans="1:29" ht="15">
      <c r="A24" s="379"/>
      <c r="B24" s="407"/>
      <c r="C24" s="398" t="s">
        <v>3496</v>
      </c>
      <c r="D24" s="399"/>
      <c r="E24" s="398" t="s">
        <v>3496</v>
      </c>
      <c r="F24" s="399"/>
      <c r="G24" s="398" t="s">
        <v>3496</v>
      </c>
      <c r="H24" s="399"/>
      <c r="I24" s="398" t="s">
        <v>3496</v>
      </c>
      <c r="J24" s="399"/>
      <c r="K24" s="1898"/>
      <c r="L24" s="2719"/>
      <c r="M24" s="2713"/>
      <c r="N24" s="2713"/>
      <c r="O24" s="2713"/>
      <c r="P24" s="3763"/>
      <c r="Q24" s="1352"/>
      <c r="R24" s="705"/>
      <c r="S24" s="706"/>
      <c r="T24" s="705"/>
      <c r="U24" s="706"/>
      <c r="V24" s="705"/>
      <c r="W24" s="706"/>
      <c r="X24" s="1355"/>
      <c r="Y24" s="3756"/>
      <c r="Z24" s="1356"/>
      <c r="AA24" s="1353">
        <v>1</v>
      </c>
      <c r="AB24" s="1353">
        <v>1</v>
      </c>
      <c r="AC24" s="1353">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6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6"/>
      <c r="Z25" s="1356" t="str">
        <f>Q25</f>
        <v>楼层-1</v>
      </c>
      <c r="AA25" s="1353">
        <f t="shared" ref="AA25:AA46" si="15">D25/F25</f>
        <v>1</v>
      </c>
      <c r="AB25" s="1353">
        <f t="shared" ref="AB25:AB46" si="16">D25/H25</f>
        <v>1</v>
      </c>
      <c r="AC25" s="1353">
        <f t="shared" ref="AC25:AC46" si="17">D25/J25</f>
        <v>1</v>
      </c>
    </row>
    <row r="26" spans="1:29" ht="15">
      <c r="A26" s="379"/>
      <c r="B26" s="375" t="s">
        <v>1693</v>
      </c>
      <c r="C26" s="411" t="s">
        <v>3497</v>
      </c>
      <c r="D26" s="386">
        <v>100</v>
      </c>
      <c r="E26" s="1905" t="s">
        <v>3502</v>
      </c>
      <c r="F26" s="386">
        <f>SUMIF(88:88,E26,89:89)-SUMIF(88:88,C26,89:89)+100</f>
        <v>100.5</v>
      </c>
      <c r="G26" s="1906" t="s">
        <v>3497</v>
      </c>
      <c r="H26" s="386">
        <f>SUMIF(88:88,G26,89:89)-SUMIF(88:88,C26,89:89)+100</f>
        <v>100</v>
      </c>
      <c r="I26" s="1906" t="s">
        <v>3679</v>
      </c>
      <c r="J26" s="386">
        <f>SUMIF(88:88,I26,89:89)-SUMIF(88:88,C26,89:89)+100</f>
        <v>104.5</v>
      </c>
      <c r="K26" s="377">
        <v>0.5</v>
      </c>
      <c r="L26" s="2719"/>
      <c r="M26" s="2713"/>
      <c r="N26" s="2713"/>
      <c r="O26" s="2713"/>
      <c r="P26" s="3763"/>
      <c r="Q26" s="1352" t="str">
        <f t="shared" si="11"/>
        <v>朝向</v>
      </c>
      <c r="R26" s="705" t="s">
        <v>18</v>
      </c>
      <c r="S26" s="706">
        <f t="shared" si="12"/>
        <v>100.5</v>
      </c>
      <c r="T26" s="705" t="s">
        <v>18</v>
      </c>
      <c r="U26" s="706">
        <f t="shared" si="13"/>
        <v>100</v>
      </c>
      <c r="V26" s="705" t="s">
        <v>18</v>
      </c>
      <c r="W26" s="706">
        <f t="shared" si="14"/>
        <v>104.5</v>
      </c>
      <c r="X26" s="1355"/>
      <c r="Y26" s="3756"/>
      <c r="Z26" s="1356" t="str">
        <f>Q26</f>
        <v>朝向</v>
      </c>
      <c r="AA26" s="1353">
        <f t="shared" si="15"/>
        <v>0.99502487562189057</v>
      </c>
      <c r="AB26" s="1353">
        <f t="shared" si="16"/>
        <v>1</v>
      </c>
      <c r="AC26" s="1353">
        <f t="shared" si="17"/>
        <v>0.9569377990430622</v>
      </c>
    </row>
    <row r="27" spans="1:29" s="108" customFormat="1" ht="15">
      <c r="A27" s="382"/>
      <c r="B27" s="3471" t="s">
        <v>3466</v>
      </c>
      <c r="C27" s="416" t="s">
        <v>3521</v>
      </c>
      <c r="D27" s="413">
        <v>100</v>
      </c>
      <c r="E27" s="416" t="s">
        <v>3520</v>
      </c>
      <c r="F27" s="413">
        <f>SUMIF(90:90,E27,91:91)-SUMIF(90:90,C27,91:91)+100</f>
        <v>102</v>
      </c>
      <c r="G27" s="416" t="s">
        <v>3529</v>
      </c>
      <c r="H27" s="413">
        <f>SUMIF(90:90,G27,91:91)-SUMIF(90:90,C27,91:91)+100</f>
        <v>101</v>
      </c>
      <c r="I27" s="416" t="s">
        <v>3680</v>
      </c>
      <c r="J27" s="413">
        <f>SUMIF(90:90,I27,91:91)-SUMIF(90:90,C27,91:91)+100</f>
        <v>100</v>
      </c>
      <c r="K27" s="1893"/>
      <c r="L27" s="2714"/>
      <c r="M27" s="2715"/>
      <c r="N27" s="2715"/>
      <c r="O27" s="2715"/>
      <c r="P27" s="3763"/>
      <c r="Q27" s="1343" t="str">
        <f t="shared" si="11"/>
        <v>楼层</v>
      </c>
      <c r="R27" s="701" t="s">
        <v>18</v>
      </c>
      <c r="S27" s="702">
        <f t="shared" si="12"/>
        <v>102</v>
      </c>
      <c r="T27" s="701" t="s">
        <v>18</v>
      </c>
      <c r="U27" s="702">
        <f t="shared" si="13"/>
        <v>101</v>
      </c>
      <c r="V27" s="701" t="s">
        <v>18</v>
      </c>
      <c r="W27" s="702">
        <f t="shared" si="14"/>
        <v>100</v>
      </c>
      <c r="X27" s="703"/>
      <c r="Y27" s="3756"/>
      <c r="Z27" s="52" t="str">
        <f>Q27</f>
        <v>楼层</v>
      </c>
      <c r="AA27" s="1353">
        <f t="shared" si="15"/>
        <v>0.98039215686274506</v>
      </c>
      <c r="AB27" s="1353">
        <f t="shared" si="16"/>
        <v>0.99009900990099009</v>
      </c>
      <c r="AC27" s="1353">
        <f t="shared" si="17"/>
        <v>1</v>
      </c>
    </row>
    <row r="28" spans="1:29" ht="18.600000000000001" customHeight="1" thickBot="1">
      <c r="A28" s="379"/>
      <c r="B28" s="3471" t="s">
        <v>3467</v>
      </c>
      <c r="C28" s="3478" t="s">
        <v>3499</v>
      </c>
      <c r="D28" s="386">
        <v>100</v>
      </c>
      <c r="E28" s="3478" t="s">
        <v>3500</v>
      </c>
      <c r="F28" s="386">
        <f>SUMIF(92:92,E28,93:93)-SUMIF(92:92,C28,93:93)+100</f>
        <v>100</v>
      </c>
      <c r="G28" s="3479" t="s">
        <v>3501</v>
      </c>
      <c r="H28" s="386">
        <f>SUMIF(92:92,G28,93:93)-SUMIF(92:92,C28,93:93)+100</f>
        <v>100</v>
      </c>
      <c r="I28" s="3479" t="s">
        <v>3501</v>
      </c>
      <c r="J28" s="386">
        <f>SUMIF(92:92,I28,93:93)-SUMIF(92:92,C28,93:93)+100</f>
        <v>100</v>
      </c>
      <c r="K28" s="1893"/>
      <c r="L28" s="2719"/>
      <c r="M28" s="2713"/>
      <c r="N28" s="2713"/>
      <c r="O28" s="2713"/>
      <c r="P28" s="3763"/>
      <c r="Q28" s="1352" t="str">
        <f t="shared" si="11"/>
        <v>道路</v>
      </c>
      <c r="R28" s="705" t="s">
        <v>18</v>
      </c>
      <c r="S28" s="706">
        <f t="shared" si="12"/>
        <v>100</v>
      </c>
      <c r="T28" s="705" t="s">
        <v>18</v>
      </c>
      <c r="U28" s="706">
        <f t="shared" si="13"/>
        <v>100</v>
      </c>
      <c r="V28" s="705" t="s">
        <v>18</v>
      </c>
      <c r="W28" s="706">
        <f t="shared" si="14"/>
        <v>100</v>
      </c>
      <c r="X28" s="1355"/>
      <c r="Y28" s="3756"/>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63"/>
      <c r="Q29" s="1352">
        <f t="shared" si="11"/>
        <v>111</v>
      </c>
      <c r="R29" s="705" t="s">
        <v>18</v>
      </c>
      <c r="S29" s="706">
        <f t="shared" si="12"/>
        <v>100</v>
      </c>
      <c r="T29" s="705" t="s">
        <v>18</v>
      </c>
      <c r="U29" s="706">
        <f t="shared" si="13"/>
        <v>100</v>
      </c>
      <c r="V29" s="705" t="s">
        <v>18</v>
      </c>
      <c r="W29" s="706">
        <f t="shared" si="14"/>
        <v>100</v>
      </c>
      <c r="X29" s="1355"/>
      <c r="Y29" s="3756"/>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63"/>
      <c r="Q30" s="1352">
        <f t="shared" si="11"/>
        <v>111</v>
      </c>
      <c r="R30" s="705" t="s">
        <v>18</v>
      </c>
      <c r="S30" s="706">
        <f t="shared" si="12"/>
        <v>100</v>
      </c>
      <c r="T30" s="705" t="s">
        <v>18</v>
      </c>
      <c r="U30" s="706">
        <f t="shared" si="13"/>
        <v>100</v>
      </c>
      <c r="V30" s="705" t="s">
        <v>18</v>
      </c>
      <c r="W30" s="706">
        <f t="shared" si="14"/>
        <v>100</v>
      </c>
      <c r="X30" s="1355"/>
      <c r="Y30" s="3756"/>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63"/>
      <c r="Q31" s="1352">
        <f t="shared" si="11"/>
        <v>111</v>
      </c>
      <c r="R31" s="705" t="s">
        <v>18</v>
      </c>
      <c r="S31" s="706">
        <f t="shared" si="12"/>
        <v>100</v>
      </c>
      <c r="T31" s="705" t="s">
        <v>18</v>
      </c>
      <c r="U31" s="706">
        <f t="shared" si="13"/>
        <v>100</v>
      </c>
      <c r="V31" s="705" t="s">
        <v>18</v>
      </c>
      <c r="W31" s="706">
        <f t="shared" si="14"/>
        <v>100</v>
      </c>
      <c r="X31" s="1355"/>
      <c r="Y31" s="3756"/>
      <c r="Z31" s="1356">
        <f t="shared" si="18"/>
        <v>111</v>
      </c>
      <c r="AA31" s="1353">
        <f t="shared" si="15"/>
        <v>1</v>
      </c>
      <c r="AB31" s="1353">
        <f t="shared" si="16"/>
        <v>1</v>
      </c>
      <c r="AC31" s="1353">
        <f t="shared" si="17"/>
        <v>1</v>
      </c>
    </row>
    <row r="32" spans="1:29" ht="15">
      <c r="A32" s="391" t="s">
        <v>1694</v>
      </c>
      <c r="B32" s="63" t="s">
        <v>1695</v>
      </c>
      <c r="C32" s="1909" t="s">
        <v>3471</v>
      </c>
      <c r="D32" s="418">
        <v>100</v>
      </c>
      <c r="E32" s="1909" t="s">
        <v>3471</v>
      </c>
      <c r="F32" s="412">
        <f>SUMIF(100:100,E32,101:101)-SUMIF(100:100,C32,101:101)+100</f>
        <v>100</v>
      </c>
      <c r="G32" s="1909" t="s">
        <v>3471</v>
      </c>
      <c r="H32" s="418">
        <f>SUMIF(100:100,G32,101:101)-SUMIF(100:100,C32,101:101)+100</f>
        <v>100</v>
      </c>
      <c r="I32" s="1909" t="s">
        <v>3468</v>
      </c>
      <c r="J32" s="386">
        <f>SUMIF(100:100,I32,101:101)-SUMIF(100:100,C32,101:101)+100</f>
        <v>103</v>
      </c>
      <c r="K32" s="377">
        <v>1</v>
      </c>
      <c r="L32" s="2719"/>
      <c r="M32" s="2713"/>
      <c r="N32" s="2713"/>
      <c r="O32" s="2713"/>
      <c r="P32" s="3757" t="s">
        <v>1696</v>
      </c>
      <c r="Q32" s="1352" t="str">
        <f t="shared" si="11"/>
        <v>建筑类型</v>
      </c>
      <c r="R32" s="705" t="s">
        <v>18</v>
      </c>
      <c r="S32" s="706">
        <f t="shared" si="12"/>
        <v>100</v>
      </c>
      <c r="T32" s="705" t="s">
        <v>18</v>
      </c>
      <c r="U32" s="706">
        <f t="shared" si="13"/>
        <v>100</v>
      </c>
      <c r="V32" s="705" t="s">
        <v>18</v>
      </c>
      <c r="W32" s="706">
        <f t="shared" si="14"/>
        <v>103</v>
      </c>
      <c r="X32" s="1355"/>
      <c r="Y32" s="3760" t="s">
        <v>1696</v>
      </c>
      <c r="Z32" s="1356" t="str">
        <f t="shared" si="18"/>
        <v>建筑类型</v>
      </c>
      <c r="AA32" s="1353">
        <f t="shared" si="15"/>
        <v>1</v>
      </c>
      <c r="AB32" s="1353">
        <f t="shared" si="16"/>
        <v>1</v>
      </c>
      <c r="AC32" s="1353">
        <f t="shared" si="17"/>
        <v>0.970873786407767</v>
      </c>
    </row>
    <row r="33" spans="1:29" s="422" customFormat="1" ht="15">
      <c r="A33" s="419"/>
      <c r="B33" s="375" t="s">
        <v>1697</v>
      </c>
      <c r="C33" s="420">
        <f>'数据-汇总表'!E19</f>
        <v>64.67</v>
      </c>
      <c r="D33" s="127">
        <v>100</v>
      </c>
      <c r="E33" s="381">
        <f>售价!F2</f>
        <v>78.42</v>
      </c>
      <c r="F33" s="376">
        <f>LOOKUP(E33,103:103,104:104)-LOOKUP(C33,103:103,104:104)+100</f>
        <v>96</v>
      </c>
      <c r="G33" s="380">
        <f>售价!F3</f>
        <v>64.67</v>
      </c>
      <c r="H33" s="127">
        <f>LOOKUP(G33,103:103,104:104)-LOOKUP(C33,103:103,104:104)+100</f>
        <v>100</v>
      </c>
      <c r="I33" s="381">
        <f>Sheet1!J34</f>
        <v>72.38</v>
      </c>
      <c r="J33" s="127">
        <f>LOOKUP(I33,103:103,104:104)-LOOKUP(C33,103:103,104:104)+100</f>
        <v>100</v>
      </c>
      <c r="K33" s="1893"/>
      <c r="L33" s="2718"/>
      <c r="M33" s="2720"/>
      <c r="N33" s="2720"/>
      <c r="O33" s="2720"/>
      <c r="P33" s="3758"/>
      <c r="Q33" s="707" t="str">
        <f t="shared" si="11"/>
        <v>项目建筑规模</v>
      </c>
      <c r="R33" s="708" t="s">
        <v>18</v>
      </c>
      <c r="S33" s="709">
        <f t="shared" si="12"/>
        <v>96</v>
      </c>
      <c r="T33" s="708" t="s">
        <v>18</v>
      </c>
      <c r="U33" s="709">
        <f t="shared" si="13"/>
        <v>100</v>
      </c>
      <c r="V33" s="708" t="s">
        <v>18</v>
      </c>
      <c r="W33" s="709">
        <f t="shared" si="14"/>
        <v>100</v>
      </c>
      <c r="X33" s="710"/>
      <c r="Y33" s="3760"/>
      <c r="Z33" s="711" t="str">
        <f t="shared" si="18"/>
        <v>项目建筑规模</v>
      </c>
      <c r="AA33" s="1353">
        <f t="shared" si="15"/>
        <v>1.0416666666666667</v>
      </c>
      <c r="AB33" s="1353">
        <f t="shared" si="16"/>
        <v>1</v>
      </c>
      <c r="AC33" s="1353">
        <f t="shared" si="17"/>
        <v>1</v>
      </c>
    </row>
    <row r="34" spans="1:29" ht="15">
      <c r="A34" s="423"/>
      <c r="B34" s="375" t="s">
        <v>1698</v>
      </c>
      <c r="C34" s="1910" t="s">
        <v>3446</v>
      </c>
      <c r="D34" s="386">
        <v>100</v>
      </c>
      <c r="E34" s="1910" t="s">
        <v>3446</v>
      </c>
      <c r="F34" s="412">
        <f>SUMIF(105:105,E34,106:106)-SUMIF(105:105,C34,106:106)+100</f>
        <v>100</v>
      </c>
      <c r="G34" s="1910" t="s">
        <v>3446</v>
      </c>
      <c r="H34" s="386">
        <f>SUMIF(105:105,G34,106:106)-SUMIF(105:105,C34,106:106)+100</f>
        <v>100</v>
      </c>
      <c r="I34" s="1910" t="s">
        <v>3474</v>
      </c>
      <c r="J34" s="386">
        <f>SUMIF(105:105,I34,106:106)-SUMIF(105:105,C34,106:106)+100</f>
        <v>95</v>
      </c>
      <c r="K34" s="377">
        <v>2.5</v>
      </c>
      <c r="L34" s="2719"/>
      <c r="M34" s="2713"/>
      <c r="N34" s="2713"/>
      <c r="O34" s="2713"/>
      <c r="P34" s="3758"/>
      <c r="Q34" s="1352" t="str">
        <f t="shared" si="11"/>
        <v>建筑结构</v>
      </c>
      <c r="R34" s="705" t="s">
        <v>18</v>
      </c>
      <c r="S34" s="706">
        <f t="shared" si="12"/>
        <v>100</v>
      </c>
      <c r="T34" s="705" t="s">
        <v>18</v>
      </c>
      <c r="U34" s="706">
        <f t="shared" si="13"/>
        <v>100</v>
      </c>
      <c r="V34" s="705" t="s">
        <v>18</v>
      </c>
      <c r="W34" s="706">
        <f t="shared" si="14"/>
        <v>95</v>
      </c>
      <c r="X34" s="1355"/>
      <c r="Y34" s="3760"/>
      <c r="Z34" s="1356" t="str">
        <f t="shared" si="18"/>
        <v>建筑结构</v>
      </c>
      <c r="AA34" s="1353">
        <f t="shared" si="15"/>
        <v>1</v>
      </c>
      <c r="AB34" s="1353">
        <f t="shared" si="16"/>
        <v>1</v>
      </c>
      <c r="AC34" s="1353">
        <f t="shared" si="17"/>
        <v>1.0526315789473684</v>
      </c>
    </row>
    <row r="35" spans="1:29" ht="15">
      <c r="A35" s="423"/>
      <c r="B35" s="375" t="s">
        <v>1699</v>
      </c>
      <c r="C35" s="1905" t="s">
        <v>3523</v>
      </c>
      <c r="D35" s="386">
        <v>100</v>
      </c>
      <c r="E35" s="1905" t="s">
        <v>3523</v>
      </c>
      <c r="F35" s="412">
        <f>SUMIF(107:107,E35,108:108)-SUMIF(107:107,C35,108:108)+100</f>
        <v>100</v>
      </c>
      <c r="G35" s="1905" t="s">
        <v>3523</v>
      </c>
      <c r="H35" s="386">
        <f>SUMIF(107:107,G35,108:108)-SUMIF(107:107,C35,108:108)+100</f>
        <v>100</v>
      </c>
      <c r="I35" s="1905" t="s">
        <v>3523</v>
      </c>
      <c r="J35" s="386">
        <f>SUMIF(107:107,I35,108:108)-SUMIF(107:107,C35,108:108)+100</f>
        <v>100</v>
      </c>
      <c r="K35" s="377">
        <v>2</v>
      </c>
      <c r="L35" s="2719"/>
      <c r="M35" s="2713"/>
      <c r="N35" s="2713"/>
      <c r="O35" s="2713"/>
      <c r="P35" s="3758"/>
      <c r="Q35" s="1352" t="str">
        <f t="shared" si="11"/>
        <v>建筑品质</v>
      </c>
      <c r="R35" s="705" t="s">
        <v>18</v>
      </c>
      <c r="S35" s="706">
        <f t="shared" si="12"/>
        <v>100</v>
      </c>
      <c r="T35" s="705" t="s">
        <v>18</v>
      </c>
      <c r="U35" s="706">
        <f t="shared" si="13"/>
        <v>100</v>
      </c>
      <c r="V35" s="705" t="s">
        <v>18</v>
      </c>
      <c r="W35" s="706">
        <f t="shared" si="14"/>
        <v>100</v>
      </c>
      <c r="X35" s="1355"/>
      <c r="Y35" s="3760"/>
      <c r="Z35" s="1356" t="str">
        <f t="shared" si="18"/>
        <v>建筑品质</v>
      </c>
      <c r="AA35" s="1353">
        <f t="shared" si="15"/>
        <v>1</v>
      </c>
      <c r="AB35" s="1353">
        <f t="shared" si="16"/>
        <v>1</v>
      </c>
      <c r="AC35" s="1353">
        <f t="shared" si="17"/>
        <v>1</v>
      </c>
    </row>
    <row r="36" spans="1:29" ht="15">
      <c r="A36" s="423"/>
      <c r="B36" s="375" t="s">
        <v>1700</v>
      </c>
      <c r="C36" s="1905" t="s">
        <v>3524</v>
      </c>
      <c r="D36" s="386">
        <v>100</v>
      </c>
      <c r="E36" s="1906" t="s">
        <v>3524</v>
      </c>
      <c r="F36" s="412">
        <f>SUMIF(109:109,E36,110:110)-SUMIF(109:109,C36,110:110)+100</f>
        <v>100</v>
      </c>
      <c r="G36" s="1905" t="s">
        <v>3524</v>
      </c>
      <c r="H36" s="386">
        <f>SUMIF(109:109,G36,110:110)-SUMIF(109:109,C36,110:110)+100</f>
        <v>100</v>
      </c>
      <c r="I36" s="1906" t="s">
        <v>3524</v>
      </c>
      <c r="J36" s="386">
        <f>SUMIF(109:109,I36,110:110)-SUMIF(109:109,C36,110:110)+100</f>
        <v>100</v>
      </c>
      <c r="K36" s="377">
        <v>2</v>
      </c>
      <c r="L36" s="2719"/>
      <c r="M36" s="2713"/>
      <c r="N36" s="2713"/>
      <c r="O36" s="2713"/>
      <c r="P36" s="3758"/>
      <c r="Q36" s="1352" t="str">
        <f t="shared" si="11"/>
        <v>公共部分装修</v>
      </c>
      <c r="R36" s="705" t="s">
        <v>18</v>
      </c>
      <c r="S36" s="706">
        <f t="shared" si="12"/>
        <v>100</v>
      </c>
      <c r="T36" s="705" t="s">
        <v>18</v>
      </c>
      <c r="U36" s="706">
        <f t="shared" si="13"/>
        <v>100</v>
      </c>
      <c r="V36" s="705" t="s">
        <v>18</v>
      </c>
      <c r="W36" s="706">
        <f t="shared" si="14"/>
        <v>100</v>
      </c>
      <c r="X36" s="1355"/>
      <c r="Y36" s="3760"/>
      <c r="Z36" s="1356" t="str">
        <f t="shared" si="18"/>
        <v>公共部分装修</v>
      </c>
      <c r="AA36" s="1353">
        <f t="shared" si="15"/>
        <v>1</v>
      </c>
      <c r="AB36" s="1353">
        <f t="shared" si="16"/>
        <v>1</v>
      </c>
      <c r="AC36" s="1353">
        <f t="shared" si="17"/>
        <v>1</v>
      </c>
    </row>
    <row r="37" spans="1:29" s="108" customFormat="1" ht="15">
      <c r="A37" s="424"/>
      <c r="B37" s="375" t="s">
        <v>1701</v>
      </c>
      <c r="C37" s="425">
        <f>'数据-取费表'!N6</f>
        <v>0.7</v>
      </c>
      <c r="D37" s="127">
        <v>100</v>
      </c>
      <c r="E37" s="425">
        <f>C37</f>
        <v>0.7</v>
      </c>
      <c r="F37" s="376">
        <f>LOOKUP(E37,112:112,113:113)-LOOKUP(C37,112:112,113:113)+100</f>
        <v>100</v>
      </c>
      <c r="G37" s="427">
        <f>C37</f>
        <v>0.7</v>
      </c>
      <c r="H37" s="127">
        <f>LOOKUP(G37,112:112,113:113)-LOOKUP(C37,112:112,113:113)+100</f>
        <v>100</v>
      </c>
      <c r="I37" s="426">
        <v>0.62</v>
      </c>
      <c r="J37" s="127">
        <f>LOOKUP(I37,112:112,113:113)-LOOKUP(C37,112:112,113:113)+100</f>
        <v>97</v>
      </c>
      <c r="K37" s="377">
        <v>3</v>
      </c>
      <c r="L37" s="2714"/>
      <c r="M37" s="2715"/>
      <c r="N37" s="2715"/>
      <c r="O37" s="2715"/>
      <c r="P37" s="3758"/>
      <c r="Q37" s="1343" t="str">
        <f t="shared" si="11"/>
        <v>成新度</v>
      </c>
      <c r="R37" s="701" t="s">
        <v>18</v>
      </c>
      <c r="S37" s="702">
        <f t="shared" si="12"/>
        <v>100</v>
      </c>
      <c r="T37" s="701" t="s">
        <v>18</v>
      </c>
      <c r="U37" s="702">
        <f t="shared" si="13"/>
        <v>100</v>
      </c>
      <c r="V37" s="701" t="s">
        <v>18</v>
      </c>
      <c r="W37" s="702">
        <f t="shared" si="14"/>
        <v>97</v>
      </c>
      <c r="X37" s="703"/>
      <c r="Y37" s="3760"/>
      <c r="Z37" s="52" t="str">
        <f t="shared" si="18"/>
        <v>成新度</v>
      </c>
      <c r="AA37" s="704">
        <f t="shared" si="15"/>
        <v>1</v>
      </c>
      <c r="AB37" s="704">
        <f t="shared" si="16"/>
        <v>1</v>
      </c>
      <c r="AC37" s="704">
        <f t="shared" si="17"/>
        <v>1.0309278350515463</v>
      </c>
    </row>
    <row r="38" spans="1:29" ht="15">
      <c r="A38" s="423"/>
      <c r="B38" s="375" t="s">
        <v>1702</v>
      </c>
      <c r="C38" s="1905" t="s">
        <v>3481</v>
      </c>
      <c r="D38" s="386">
        <v>100</v>
      </c>
      <c r="E38" s="1905" t="s">
        <v>3481</v>
      </c>
      <c r="F38" s="412">
        <f>SUMIF(114:114,E38,115:115)-SUMIF(114:114,C38,115:115)+100</f>
        <v>100</v>
      </c>
      <c r="G38" s="1905" t="s">
        <v>3481</v>
      </c>
      <c r="H38" s="386">
        <f>SUMIF(114:114,G38,115:115)-SUMIF(114:114,C38,115:115)+100</f>
        <v>100</v>
      </c>
      <c r="I38" s="1905" t="s">
        <v>3481</v>
      </c>
      <c r="J38" s="386">
        <f>SUMIF(114:114,I38,115:115)-SUMIF(114:114,C38,115:115)+100</f>
        <v>100</v>
      </c>
      <c r="K38" s="377">
        <v>1</v>
      </c>
      <c r="L38" s="2719"/>
      <c r="M38" s="2713"/>
      <c r="N38" s="2713"/>
      <c r="O38" s="2713"/>
      <c r="P38" s="3758" t="s">
        <v>1696</v>
      </c>
      <c r="Q38" s="1352" t="str">
        <f t="shared" si="11"/>
        <v>物业管理</v>
      </c>
      <c r="R38" s="705" t="s">
        <v>18</v>
      </c>
      <c r="S38" s="706">
        <f t="shared" si="12"/>
        <v>100</v>
      </c>
      <c r="T38" s="705" t="s">
        <v>18</v>
      </c>
      <c r="U38" s="706">
        <f t="shared" si="13"/>
        <v>100</v>
      </c>
      <c r="V38" s="705" t="s">
        <v>18</v>
      </c>
      <c r="W38" s="706">
        <f t="shared" si="14"/>
        <v>100</v>
      </c>
      <c r="X38" s="1355"/>
      <c r="Y38" s="3760" t="s">
        <v>1696</v>
      </c>
      <c r="Z38" s="1356" t="str">
        <f t="shared" si="18"/>
        <v>物业管理</v>
      </c>
      <c r="AA38" s="1353">
        <f t="shared" si="15"/>
        <v>1</v>
      </c>
      <c r="AB38" s="1353">
        <f t="shared" si="16"/>
        <v>1</v>
      </c>
      <c r="AC38" s="1353">
        <f t="shared" si="17"/>
        <v>1</v>
      </c>
    </row>
    <row r="39" spans="1:29" ht="15">
      <c r="A39" s="423"/>
      <c r="B39" s="375" t="s">
        <v>1703</v>
      </c>
      <c r="C39" s="1905" t="s">
        <v>3486</v>
      </c>
      <c r="D39" s="386">
        <v>100</v>
      </c>
      <c r="E39" s="1905" t="s">
        <v>3486</v>
      </c>
      <c r="F39" s="412">
        <f>SUMIF(116:116,E39,117:117)-SUMIF(116:116,C39,117:117)+100</f>
        <v>100</v>
      </c>
      <c r="G39" s="1905" t="s">
        <v>3486</v>
      </c>
      <c r="H39" s="386">
        <f>SUMIF(116:116,G39,117:117)-SUMIF(116:116,C39,117:117)+100</f>
        <v>100</v>
      </c>
      <c r="I39" s="1906" t="s">
        <v>3485</v>
      </c>
      <c r="J39" s="386">
        <f>SUMIF(116:116,I39,117:117)-SUMIF(116:116,C39,117:117)+100</f>
        <v>101</v>
      </c>
      <c r="K39" s="377">
        <v>1</v>
      </c>
      <c r="L39" s="2719"/>
      <c r="M39" s="2713"/>
      <c r="N39" s="2713"/>
      <c r="O39" s="2713"/>
      <c r="P39" s="3758"/>
      <c r="Q39" s="1352" t="str">
        <f t="shared" si="11"/>
        <v>市政基础设施</v>
      </c>
      <c r="R39" s="705" t="s">
        <v>18</v>
      </c>
      <c r="S39" s="706">
        <f t="shared" si="12"/>
        <v>100</v>
      </c>
      <c r="T39" s="705" t="s">
        <v>18</v>
      </c>
      <c r="U39" s="706">
        <f t="shared" si="13"/>
        <v>100</v>
      </c>
      <c r="V39" s="705" t="s">
        <v>18</v>
      </c>
      <c r="W39" s="706">
        <f t="shared" si="14"/>
        <v>101</v>
      </c>
      <c r="X39" s="1355"/>
      <c r="Y39" s="3760"/>
      <c r="Z39" s="1356" t="str">
        <f t="shared" si="18"/>
        <v>市政基础设施</v>
      </c>
      <c r="AA39" s="1353">
        <f t="shared" si="15"/>
        <v>1</v>
      </c>
      <c r="AB39" s="1353">
        <f t="shared" si="16"/>
        <v>1</v>
      </c>
      <c r="AC39" s="1353">
        <f t="shared" si="17"/>
        <v>0.99009900990099009</v>
      </c>
    </row>
    <row r="40" spans="1:29" ht="15">
      <c r="A40" s="423"/>
      <c r="B40" s="375" t="s">
        <v>1704</v>
      </c>
      <c r="C40" s="1905" t="s">
        <v>3525</v>
      </c>
      <c r="D40" s="386">
        <v>100</v>
      </c>
      <c r="E40" s="1905" t="s">
        <v>3525</v>
      </c>
      <c r="F40" s="412">
        <f>SUMIF(118:118,E40,119:119)-SUMIF(118:118,C40,119:119)+100</f>
        <v>100</v>
      </c>
      <c r="G40" s="1905" t="s">
        <v>3525</v>
      </c>
      <c r="H40" s="386">
        <f>SUMIF(118:118,G40,119:119)-SUMIF(118:118,C40,119:119)+100</f>
        <v>100</v>
      </c>
      <c r="I40" s="1905" t="s">
        <v>3525</v>
      </c>
      <c r="J40" s="386">
        <f>SUMIF(118:118,I40,119:119)-SUMIF(118:118,C40,119:119)+100</f>
        <v>100</v>
      </c>
      <c r="K40" s="377">
        <v>1</v>
      </c>
      <c r="L40" s="2719"/>
      <c r="M40" s="2713"/>
      <c r="N40" s="2713"/>
      <c r="O40" s="2713"/>
      <c r="P40" s="3758"/>
      <c r="Q40" s="1352" t="str">
        <f t="shared" si="11"/>
        <v>房型</v>
      </c>
      <c r="R40" s="705" t="s">
        <v>18</v>
      </c>
      <c r="S40" s="706">
        <f t="shared" si="12"/>
        <v>100</v>
      </c>
      <c r="T40" s="705" t="s">
        <v>18</v>
      </c>
      <c r="U40" s="706">
        <f t="shared" si="13"/>
        <v>100</v>
      </c>
      <c r="V40" s="705" t="s">
        <v>18</v>
      </c>
      <c r="W40" s="706">
        <f t="shared" si="14"/>
        <v>100</v>
      </c>
      <c r="X40" s="1355"/>
      <c r="Y40" s="3760"/>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58"/>
      <c r="Q41" s="707" t="str">
        <f t="shared" si="11"/>
        <v>单套/主力户型建筑面积</v>
      </c>
      <c r="R41" s="708" t="s">
        <v>18</v>
      </c>
      <c r="S41" s="709">
        <f t="shared" si="12"/>
        <v>100</v>
      </c>
      <c r="T41" s="708" t="s">
        <v>18</v>
      </c>
      <c r="U41" s="709">
        <f t="shared" si="13"/>
        <v>100</v>
      </c>
      <c r="V41" s="708" t="s">
        <v>18</v>
      </c>
      <c r="W41" s="709">
        <f t="shared" si="14"/>
        <v>100</v>
      </c>
      <c r="X41" s="710"/>
      <c r="Y41" s="3760"/>
      <c r="Z41" s="711" t="str">
        <f t="shared" si="18"/>
        <v>单套/主力户型建筑面积</v>
      </c>
      <c r="AA41" s="1353">
        <f t="shared" si="15"/>
        <v>1</v>
      </c>
      <c r="AB41" s="1353">
        <f t="shared" si="16"/>
        <v>1</v>
      </c>
      <c r="AC41" s="1353">
        <f t="shared" si="17"/>
        <v>1</v>
      </c>
    </row>
    <row r="42" spans="1:29" ht="15">
      <c r="A42" s="423"/>
      <c r="B42" s="375" t="s">
        <v>1706</v>
      </c>
      <c r="C42" s="1905" t="s">
        <v>3504</v>
      </c>
      <c r="D42" s="386">
        <v>100</v>
      </c>
      <c r="E42" s="1905" t="s">
        <v>3504</v>
      </c>
      <c r="F42" s="412">
        <f>SUMIF(122:122,E42,123:123)-SUMIF(122:122,C42,123:123)+100</f>
        <v>100</v>
      </c>
      <c r="G42" s="1905" t="s">
        <v>3504</v>
      </c>
      <c r="H42" s="386">
        <f>SUMIF(122:122,G42,123:123)-SUMIF(122:122,C42,123:123)+100</f>
        <v>100</v>
      </c>
      <c r="I42" s="1905" t="s">
        <v>3504</v>
      </c>
      <c r="J42" s="386">
        <f>SUMIF(122:122,I42,123:123)-SUMIF(122:122,C42,123:123)+100</f>
        <v>100</v>
      </c>
      <c r="K42" s="377">
        <v>2</v>
      </c>
      <c r="L42" s="2719"/>
      <c r="M42" s="2713"/>
      <c r="N42" s="2713"/>
      <c r="O42" s="2713"/>
      <c r="P42" s="3758"/>
      <c r="Q42" s="1352" t="str">
        <f t="shared" si="11"/>
        <v>内部装修</v>
      </c>
      <c r="R42" s="705" t="s">
        <v>18</v>
      </c>
      <c r="S42" s="706">
        <f t="shared" si="12"/>
        <v>100</v>
      </c>
      <c r="T42" s="705" t="s">
        <v>18</v>
      </c>
      <c r="U42" s="706">
        <f t="shared" si="13"/>
        <v>100</v>
      </c>
      <c r="V42" s="705" t="s">
        <v>18</v>
      </c>
      <c r="W42" s="706">
        <f t="shared" si="14"/>
        <v>100</v>
      </c>
      <c r="X42" s="1355"/>
      <c r="Y42" s="3760"/>
      <c r="Z42" s="1356" t="str">
        <f t="shared" si="18"/>
        <v>内部装修</v>
      </c>
      <c r="AA42" s="1353">
        <f t="shared" si="15"/>
        <v>1</v>
      </c>
      <c r="AB42" s="1353">
        <f t="shared" si="16"/>
        <v>1</v>
      </c>
      <c r="AC42" s="1353">
        <f t="shared" si="17"/>
        <v>1</v>
      </c>
    </row>
    <row r="43" spans="1:29" ht="28.8">
      <c r="A43" s="423"/>
      <c r="B43" s="375" t="s">
        <v>1707</v>
      </c>
      <c r="C43" s="1905" t="s">
        <v>3523</v>
      </c>
      <c r="D43" s="386">
        <v>100</v>
      </c>
      <c r="E43" s="1905" t="s">
        <v>3526</v>
      </c>
      <c r="F43" s="412">
        <f>SUMIF(124:124,E43,125:125)-SUMIF(124:124,C43,125:125)+100</f>
        <v>94</v>
      </c>
      <c r="G43" s="1905" t="s">
        <v>3526</v>
      </c>
      <c r="H43" s="386">
        <f>SUMIF(124:124,G43,125:125)-SUMIF(124:124,C43,125:125)+100</f>
        <v>94</v>
      </c>
      <c r="I43" s="1906" t="s">
        <v>3523</v>
      </c>
      <c r="J43" s="386">
        <f>SUMIF(124:124,I43,125:125)-SUMIF(124:124,C43,125:125)+100</f>
        <v>100</v>
      </c>
      <c r="K43" s="377">
        <v>6</v>
      </c>
      <c r="L43" s="2719"/>
      <c r="M43" s="2713"/>
      <c r="N43" s="2713"/>
      <c r="O43" s="2713"/>
      <c r="P43" s="3758"/>
      <c r="Q43" s="1352" t="str">
        <f t="shared" si="11"/>
        <v>内部装修维护情况</v>
      </c>
      <c r="R43" s="705" t="s">
        <v>18</v>
      </c>
      <c r="S43" s="706">
        <f t="shared" si="12"/>
        <v>94</v>
      </c>
      <c r="T43" s="705" t="s">
        <v>18</v>
      </c>
      <c r="U43" s="706">
        <f t="shared" si="13"/>
        <v>94</v>
      </c>
      <c r="V43" s="705" t="s">
        <v>18</v>
      </c>
      <c r="W43" s="706">
        <f t="shared" si="14"/>
        <v>100</v>
      </c>
      <c r="X43" s="1355"/>
      <c r="Y43" s="3760"/>
      <c r="Z43" s="1356" t="str">
        <f t="shared" si="18"/>
        <v>内部装修维护情况</v>
      </c>
      <c r="AA43" s="1353">
        <f t="shared" si="15"/>
        <v>1.0638297872340425</v>
      </c>
      <c r="AB43" s="1353">
        <f t="shared" si="16"/>
        <v>1.0638297872340425</v>
      </c>
      <c r="AC43" s="1353">
        <f t="shared" si="17"/>
        <v>1</v>
      </c>
    </row>
    <row r="44" spans="1:29" s="108" customFormat="1" ht="15">
      <c r="A44" s="424"/>
      <c r="B44" s="3471"/>
      <c r="C44" s="3484"/>
      <c r="D44" s="127">
        <v>100</v>
      </c>
      <c r="E44" s="3484"/>
      <c r="F44" s="376">
        <f>SUMIF(126:126,E44,127:127)-SUMIF(126:126,C44,127:127)+100</f>
        <v>100</v>
      </c>
      <c r="G44" s="3484"/>
      <c r="H44" s="127">
        <f>SUMIF(126:126,G44,127:127)-SUMIF(126:126,C44,127:127)+100</f>
        <v>100</v>
      </c>
      <c r="I44" s="3484"/>
      <c r="J44" s="127">
        <f>SUMIF(126:126,I44,127:127)-SUMIF(126:126,C44,127:127)+100</f>
        <v>100</v>
      </c>
      <c r="K44" s="1893"/>
      <c r="L44" s="2714"/>
      <c r="M44" s="2715"/>
      <c r="N44" s="2715"/>
      <c r="O44" s="2715"/>
      <c r="P44" s="3758"/>
      <c r="Q44" s="1343">
        <f t="shared" si="11"/>
        <v>0</v>
      </c>
      <c r="R44" s="701" t="s">
        <v>18</v>
      </c>
      <c r="S44" s="702">
        <f t="shared" si="12"/>
        <v>100</v>
      </c>
      <c r="T44" s="701" t="s">
        <v>18</v>
      </c>
      <c r="U44" s="702">
        <f t="shared" si="13"/>
        <v>100</v>
      </c>
      <c r="V44" s="701" t="s">
        <v>18</v>
      </c>
      <c r="W44" s="702">
        <f t="shared" si="14"/>
        <v>100</v>
      </c>
      <c r="X44" s="703"/>
      <c r="Y44" s="3760"/>
      <c r="Z44" s="52">
        <f t="shared" si="18"/>
        <v>0</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58"/>
      <c r="Q45" s="1352">
        <f t="shared" si="11"/>
        <v>111</v>
      </c>
      <c r="R45" s="705" t="s">
        <v>18</v>
      </c>
      <c r="S45" s="706">
        <f t="shared" si="12"/>
        <v>100</v>
      </c>
      <c r="T45" s="705" t="s">
        <v>18</v>
      </c>
      <c r="U45" s="706">
        <f t="shared" si="13"/>
        <v>100</v>
      </c>
      <c r="V45" s="705" t="s">
        <v>18</v>
      </c>
      <c r="W45" s="706">
        <f t="shared" si="14"/>
        <v>100</v>
      </c>
      <c r="X45" s="1355"/>
      <c r="Y45" s="3760"/>
      <c r="Z45" s="1356">
        <f t="shared" si="18"/>
        <v>111</v>
      </c>
      <c r="AA45" s="1353">
        <f t="shared" si="15"/>
        <v>1</v>
      </c>
      <c r="AB45" s="1353">
        <f t="shared" si="16"/>
        <v>1</v>
      </c>
      <c r="AC45" s="1353">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59"/>
      <c r="Q46" s="1352">
        <f t="shared" si="11"/>
        <v>111</v>
      </c>
      <c r="R46" s="705" t="s">
        <v>17</v>
      </c>
      <c r="S46" s="706">
        <f t="shared" si="12"/>
        <v>100</v>
      </c>
      <c r="T46" s="705" t="s">
        <v>17</v>
      </c>
      <c r="U46" s="706">
        <f t="shared" si="13"/>
        <v>100</v>
      </c>
      <c r="V46" s="705" t="s">
        <v>17</v>
      </c>
      <c r="W46" s="706">
        <f t="shared" si="14"/>
        <v>100</v>
      </c>
      <c r="X46" s="1355"/>
      <c r="Y46" s="3761"/>
      <c r="Z46" s="1356">
        <f t="shared" si="18"/>
        <v>111</v>
      </c>
      <c r="AA46" s="1353">
        <f t="shared" si="15"/>
        <v>1</v>
      </c>
      <c r="AB46" s="1353">
        <f t="shared" si="16"/>
        <v>1</v>
      </c>
      <c r="AC46" s="1353">
        <f t="shared" si="17"/>
        <v>1</v>
      </c>
    </row>
    <row r="47" spans="1:29" ht="14.4">
      <c r="A47" s="430" t="s">
        <v>1708</v>
      </c>
      <c r="B47" s="431"/>
      <c r="C47" s="1154" t="s">
        <v>16</v>
      </c>
      <c r="D47" s="1155"/>
      <c r="E47" s="1156">
        <f>售价!N2</f>
        <v>82249</v>
      </c>
      <c r="F47" s="1157"/>
      <c r="G47" s="1158">
        <f>售价!N3</f>
        <v>79635</v>
      </c>
      <c r="H47" s="1159"/>
      <c r="I47" s="1156">
        <f>Sheet1!R34</f>
        <v>96850</v>
      </c>
      <c r="J47" s="1159"/>
      <c r="K47" s="1911"/>
      <c r="L47" s="2721"/>
      <c r="M47" s="2722"/>
      <c r="N47" s="2713"/>
      <c r="O47" s="2722"/>
      <c r="P47" s="3753" t="str">
        <f>A47</f>
        <v>成交单价（元/平方米）</v>
      </c>
      <c r="Q47" s="3753"/>
      <c r="R47" s="3754">
        <f>E47</f>
        <v>82249</v>
      </c>
      <c r="S47" s="3754"/>
      <c r="T47" s="3754">
        <f>G47</f>
        <v>79635</v>
      </c>
      <c r="U47" s="3754"/>
      <c r="V47" s="3754">
        <f>I47</f>
        <v>96850</v>
      </c>
      <c r="W47" s="3754"/>
      <c r="X47" s="690"/>
      <c r="Y47" s="712"/>
      <c r="Z47" s="690"/>
      <c r="AA47" s="690"/>
      <c r="AB47" s="690"/>
      <c r="AC47" s="690"/>
    </row>
    <row r="48" spans="1:29" ht="15" thickBot="1">
      <c r="A48" s="437" t="s">
        <v>1709</v>
      </c>
      <c r="B48" s="438"/>
      <c r="C48" s="1160">
        <f>R49</f>
        <v>89093</v>
      </c>
      <c r="D48" s="2314" t="s">
        <v>2138</v>
      </c>
      <c r="E48" s="1161">
        <f>R48</f>
        <v>88033</v>
      </c>
      <c r="F48" s="2315"/>
      <c r="G48" s="1160">
        <f>T48</f>
        <v>83049</v>
      </c>
      <c r="H48" s="2315"/>
      <c r="I48" s="1161">
        <f>V48</f>
        <v>96197</v>
      </c>
      <c r="J48" s="2315"/>
      <c r="K48" s="2316">
        <f>F48+H48+J48</f>
        <v>0</v>
      </c>
      <c r="L48" s="2721"/>
      <c r="M48" s="2722"/>
      <c r="N48" s="2722"/>
      <c r="O48" s="2722"/>
      <c r="P48" s="3753" t="str">
        <f>A48</f>
        <v>比较价值（元/平方米）</v>
      </c>
      <c r="Q48" s="3753"/>
      <c r="R48" s="3754">
        <f>IF(F1="售价",ROUND(PRODUCT(R47,AA7:AA46),0),ROUND(PRODUCT(R47,AA7:AA46),1))</f>
        <v>88033</v>
      </c>
      <c r="S48" s="3754"/>
      <c r="T48" s="3754">
        <f>IF(F1="售价",ROUND(PRODUCT(T47,AB7:AB46),0),ROUND(PRODUCT(T47,AB7:AB46),1))</f>
        <v>83049</v>
      </c>
      <c r="U48" s="3754"/>
      <c r="V48" s="3754">
        <f>IF(F1="售价",ROUND(PRODUCT(V47,AC7:AC46),0),ROUND(PRODUCT(V47,AC7:AC46),1))</f>
        <v>96197</v>
      </c>
      <c r="W48" s="3754"/>
      <c r="X48" s="690"/>
      <c r="Y48" s="690"/>
      <c r="Z48" s="690"/>
      <c r="AA48" s="690"/>
      <c r="AB48" s="690"/>
      <c r="AC48" s="690"/>
    </row>
    <row r="49" spans="1:29" ht="15" thickBot="1">
      <c r="A49" s="441" t="s">
        <v>1710</v>
      </c>
      <c r="B49" s="442"/>
      <c r="C49" s="1162">
        <f>R49</f>
        <v>89093</v>
      </c>
      <c r="D49" s="1163"/>
      <c r="E49" s="1163"/>
      <c r="F49" s="1163"/>
      <c r="G49" s="1163"/>
      <c r="H49" s="1163"/>
      <c r="I49" s="1163"/>
      <c r="J49" s="1163"/>
      <c r="K49" s="1912"/>
      <c r="L49" s="2721"/>
      <c r="M49" s="2722"/>
      <c r="N49" s="2722"/>
      <c r="O49" s="2722"/>
      <c r="P49" s="3750" t="str">
        <f>A49</f>
        <v>估价对象XX用房的比较价值（楼面单价，元/平方米）</v>
      </c>
      <c r="Q49" s="3751"/>
      <c r="R49" s="3752">
        <f>IF(F1="售价",ROUND(IF(D48="简单平均",AVERAGE(R48:V48),R48*F48+T48*H48+V48*J48),0),ROUND(IF(D48="简单平均",AVERAGE(R48:V48),R48*F48+T48*H48+V48*J48),1))</f>
        <v>89093</v>
      </c>
      <c r="S49" s="3752"/>
      <c r="T49" s="3752"/>
      <c r="U49" s="3752"/>
      <c r="V49" s="3752"/>
      <c r="W49" s="375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f>IF(E47&lt;E48,E48/E47-1,E47/E48-1)</f>
        <v>7.0323043441257616E-2</v>
      </c>
      <c r="F52" s="449" t="str">
        <f>IF(OR(E52&gt;=0.3,E52&lt;=-0.3),"超过30%","")</f>
        <v/>
      </c>
      <c r="G52" s="448">
        <f>IF(G47&lt;G48,G48/G47-1,G47/G48-1)</f>
        <v>4.2870597099265328E-2</v>
      </c>
      <c r="H52" s="449" t="str">
        <f>IF(OR(G52&gt;=0.3,G52&lt;=-0.3),"超过30%","")</f>
        <v/>
      </c>
      <c r="I52" s="448">
        <f>IF(I47&lt;I48,I48/I47-1,I47/I48-1)</f>
        <v>6.7881534767195717E-3</v>
      </c>
      <c r="J52" s="449" t="str">
        <f>IF(OR(I52&gt;=0.3,I52&lt;=-0.3),"超过30%","")</f>
        <v/>
      </c>
      <c r="K52" s="2727"/>
      <c r="L52" s="2723"/>
      <c r="M52" s="2722"/>
      <c r="N52" s="2722"/>
      <c r="O52" s="2722"/>
    </row>
    <row r="53" spans="1:29" ht="13.5" customHeight="1">
      <c r="A53" s="2722"/>
      <c r="B53" s="2722"/>
      <c r="C53" s="446" t="s">
        <v>1712</v>
      </c>
      <c r="D53" s="450"/>
      <c r="E53" s="448">
        <f>IF(E48&lt;G48,G48/E48-1,E48/G48-1)</f>
        <v>6.0012763549230019E-2</v>
      </c>
      <c r="F53" s="449" t="str">
        <f>IF(OR(E53&gt;=0.2,E53&lt;=-0.2),"超过20%","")</f>
        <v/>
      </c>
      <c r="G53" s="448">
        <f>IF(G48&lt;I48,I48/G48-1,G48/I48-1)</f>
        <v>0.15831617478837789</v>
      </c>
      <c r="H53" s="449" t="str">
        <f>IF(OR(G53&gt;=0.2,G53&lt;=-0.2),"超过20%","")</f>
        <v/>
      </c>
      <c r="I53" s="448">
        <f>IF(I48&lt;E48,E48/I48-1,I48/E48-1)</f>
        <v>9.2737950541274206E-2</v>
      </c>
      <c r="J53" s="449" t="str">
        <f>IF(OR(I53&gt;=0.2,I53&lt;=-0.2),"超过20%","")</f>
        <v/>
      </c>
      <c r="K53" s="2727"/>
      <c r="L53" s="2723"/>
      <c r="M53" s="2722"/>
      <c r="N53" s="2722"/>
      <c r="O53" s="2722"/>
    </row>
    <row r="54" spans="1:29" s="451" customFormat="1" ht="13.5" customHeight="1">
      <c r="A54" s="2725"/>
      <c r="B54" s="2725"/>
      <c r="C54" s="446" t="s">
        <v>1713</v>
      </c>
      <c r="D54" s="450"/>
      <c r="E54" s="448">
        <f>IF(E47&lt;G47,G47/E47-1,E47/G47-1)</f>
        <v>3.2824762981101374E-2</v>
      </c>
      <c r="F54" s="449" t="str">
        <f>IF(OR(E54&gt;=0.3,E54&lt;=-0.3),"超过30%","")</f>
        <v/>
      </c>
      <c r="G54" s="448">
        <f>IF(G47&lt;I47,I47/G47-1,G47/I47-1)</f>
        <v>0.2161737929302443</v>
      </c>
      <c r="H54" s="449" t="str">
        <f>IF(OR(G54&gt;=0.3,G54&lt;=-0.3),"超过30%","")</f>
        <v/>
      </c>
      <c r="I54" s="448">
        <f>IF(I47&lt;E47,E47/I47-1,I47/E47-1)</f>
        <v>0.17752191516006266</v>
      </c>
      <c r="J54" s="449" t="str">
        <f>IF(OR(I54&gt;=0.3,I54&lt;=-0.3),"超过30%","")</f>
        <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2.2" thickBot="1">
      <c r="A57" s="694" t="s">
        <v>1714</v>
      </c>
      <c r="B57" s="690"/>
      <c r="C57" s="695"/>
      <c r="D57" s="695"/>
      <c r="E57" s="695"/>
      <c r="F57" s="696"/>
      <c r="G57" s="696"/>
      <c r="H57" s="695"/>
      <c r="I57" s="695"/>
      <c r="J57" s="695"/>
      <c r="K57" s="941"/>
      <c r="L57" s="942"/>
      <c r="M57" s="940"/>
      <c r="N57" s="940"/>
      <c r="O57" s="940"/>
      <c r="P57" s="1915"/>
      <c r="Q57" s="453"/>
    </row>
    <row r="58" spans="1:29" s="457" customFormat="1" ht="14.4">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c r="A59" s="458"/>
      <c r="B59" s="1916"/>
      <c r="C59" s="1183">
        <v>100</v>
      </c>
      <c r="D59" s="460">
        <v>100</v>
      </c>
      <c r="E59" s="461">
        <v>100.5</v>
      </c>
      <c r="F59" s="461">
        <v>100.5</v>
      </c>
      <c r="G59" s="461">
        <v>100.5</v>
      </c>
      <c r="H59" s="461">
        <v>100.5</v>
      </c>
      <c r="I59" s="461">
        <v>100.5</v>
      </c>
      <c r="J59" s="461">
        <v>100.5</v>
      </c>
      <c r="K59" s="461">
        <v>101</v>
      </c>
      <c r="L59" s="461">
        <v>101</v>
      </c>
      <c r="M59" s="462">
        <v>101</v>
      </c>
      <c r="N59" s="461">
        <v>101</v>
      </c>
      <c r="O59" s="462">
        <v>101</v>
      </c>
      <c r="P59" s="1917"/>
    </row>
    <row r="60" spans="1:29" s="108" customFormat="1" ht="15" thickBot="1">
      <c r="A60" s="464" t="s">
        <v>1716</v>
      </c>
      <c r="B60" s="465"/>
      <c r="C60" s="466"/>
      <c r="D60" s="467"/>
      <c r="E60" s="467"/>
      <c r="F60" s="467"/>
      <c r="G60" s="467"/>
      <c r="H60" s="467"/>
      <c r="I60" s="467"/>
      <c r="J60" s="467"/>
      <c r="K60" s="467"/>
      <c r="L60" s="467"/>
      <c r="M60" s="468"/>
      <c r="N60" s="467"/>
      <c r="O60" s="468"/>
      <c r="P60" s="1917"/>
      <c r="Q60" s="453"/>
    </row>
    <row r="61" spans="1:29" s="108" customFormat="1" ht="14.4">
      <c r="A61" s="470" t="s">
        <v>1717</v>
      </c>
      <c r="B61" s="459"/>
      <c r="C61" s="471" t="s">
        <v>1718</v>
      </c>
      <c r="D61" s="472"/>
      <c r="E61" s="472"/>
      <c r="F61" s="472"/>
      <c r="G61" s="472"/>
      <c r="H61" s="472"/>
      <c r="I61" s="472"/>
      <c r="J61" s="472"/>
      <c r="K61" s="472"/>
      <c r="L61" s="473"/>
      <c r="M61" s="474"/>
      <c r="N61" s="932"/>
      <c r="O61" s="932"/>
      <c r="P61" s="1918"/>
      <c r="Q61" s="453"/>
    </row>
    <row r="62" spans="1:29" s="108" customFormat="1" ht="14.4" thickBot="1">
      <c r="A62" s="470"/>
      <c r="B62" s="459"/>
      <c r="C62" s="460">
        <v>100</v>
      </c>
      <c r="D62" s="461"/>
      <c r="E62" s="461"/>
      <c r="F62" s="461"/>
      <c r="G62" s="461"/>
      <c r="H62" s="461"/>
      <c r="I62" s="461"/>
      <c r="J62" s="461"/>
      <c r="K62" s="461"/>
      <c r="L62" s="461"/>
      <c r="M62" s="463"/>
      <c r="N62" s="932"/>
      <c r="O62" s="932"/>
      <c r="P62" s="1917"/>
      <c r="Q62" s="453"/>
    </row>
    <row r="63" spans="1:29" ht="14.4">
      <c r="A63" s="476" t="s">
        <v>1719</v>
      </c>
      <c r="B63" s="477" t="s">
        <v>1685</v>
      </c>
      <c r="C63" s="478" t="str">
        <f>C9</f>
        <v>住宅</v>
      </c>
      <c r="D63" s="3480" t="s">
        <v>3522</v>
      </c>
      <c r="E63" s="479"/>
      <c r="F63" s="479"/>
      <c r="G63" s="479"/>
      <c r="H63" s="479"/>
      <c r="I63" s="479"/>
      <c r="J63" s="479"/>
      <c r="K63" s="480"/>
      <c r="L63" s="481"/>
      <c r="M63" s="482"/>
      <c r="N63" s="933"/>
      <c r="O63" s="933"/>
      <c r="P63" s="1919"/>
      <c r="Q63" s="453"/>
    </row>
    <row r="64" spans="1:29" ht="14.4" thickBot="1">
      <c r="A64" s="483"/>
      <c r="B64" s="484"/>
      <c r="C64" s="485">
        <v>100</v>
      </c>
      <c r="D64" s="485">
        <v>100</v>
      </c>
      <c r="E64" s="485"/>
      <c r="F64" s="485"/>
      <c r="G64" s="485"/>
      <c r="H64" s="485"/>
      <c r="I64" s="485"/>
      <c r="J64" s="485"/>
      <c r="K64" s="485"/>
      <c r="L64" s="485"/>
      <c r="M64" s="486"/>
      <c r="N64" s="934"/>
      <c r="O64" s="934"/>
      <c r="P64" s="1919"/>
      <c r="Q64" s="453"/>
    </row>
    <row r="65" spans="1:17" ht="29.4" thickTop="1">
      <c r="A65" s="483"/>
      <c r="B65" s="487" t="s">
        <v>1688</v>
      </c>
      <c r="C65" s="532"/>
      <c r="D65" s="532"/>
      <c r="E65" s="532"/>
      <c r="F65" s="532"/>
      <c r="G65" s="532"/>
      <c r="H65" s="532"/>
      <c r="I65" s="532"/>
      <c r="J65" s="532"/>
      <c r="K65" s="532"/>
      <c r="L65" s="532"/>
      <c r="M65" s="532"/>
      <c r="N65" s="934"/>
      <c r="O65" s="934"/>
      <c r="P65" s="1919"/>
      <c r="Q65" s="453"/>
    </row>
    <row r="66" spans="1:17" ht="14.4" thickBot="1">
      <c r="A66" s="483"/>
      <c r="B66" s="492"/>
      <c r="C66" s="485"/>
      <c r="D66" s="485"/>
      <c r="E66" s="485"/>
      <c r="F66" s="485"/>
      <c r="G66" s="485"/>
      <c r="H66" s="485"/>
      <c r="I66" s="485"/>
      <c r="J66" s="485"/>
      <c r="K66" s="485"/>
      <c r="L66" s="485"/>
      <c r="M66" s="486"/>
      <c r="N66" s="934"/>
      <c r="O66" s="934"/>
      <c r="P66" s="1919"/>
      <c r="Q66" s="453"/>
    </row>
    <row r="67" spans="1:17" ht="1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c r="A68" s="483"/>
      <c r="B68" s="497"/>
      <c r="C68" s="498">
        <v>0</v>
      </c>
      <c r="D68" s="498">
        <v>1</v>
      </c>
      <c r="E68" s="498">
        <v>2</v>
      </c>
      <c r="F68" s="498">
        <v>3</v>
      </c>
      <c r="G68" s="498"/>
      <c r="H68" s="498"/>
      <c r="I68" s="498"/>
      <c r="J68" s="498"/>
      <c r="K68" s="499"/>
      <c r="L68" s="500"/>
      <c r="M68" s="501"/>
      <c r="N68" s="933"/>
      <c r="O68" s="933"/>
      <c r="P68" s="1919"/>
      <c r="Q68" s="453"/>
    </row>
    <row r="69" spans="1:17" ht="14.4" thickBot="1">
      <c r="A69" s="483"/>
      <c r="B69" s="484"/>
      <c r="C69" s="493">
        <v>100</v>
      </c>
      <c r="D69" s="493">
        <f t="shared" ref="D69:M69" si="21">C69-$K11</f>
        <v>99</v>
      </c>
      <c r="E69" s="493">
        <f t="shared" si="21"/>
        <v>98</v>
      </c>
      <c r="F69" s="493">
        <f t="shared" si="21"/>
        <v>97</v>
      </c>
      <c r="G69" s="493">
        <f t="shared" si="21"/>
        <v>96</v>
      </c>
      <c r="H69" s="493">
        <f t="shared" si="21"/>
        <v>95</v>
      </c>
      <c r="I69" s="493">
        <f t="shared" si="21"/>
        <v>94</v>
      </c>
      <c r="J69" s="493">
        <f t="shared" si="21"/>
        <v>93</v>
      </c>
      <c r="K69" s="493">
        <f t="shared" si="21"/>
        <v>92</v>
      </c>
      <c r="L69" s="493">
        <f t="shared" si="21"/>
        <v>91</v>
      </c>
      <c r="M69" s="494">
        <f t="shared" si="21"/>
        <v>90</v>
      </c>
      <c r="N69" s="934"/>
      <c r="O69" s="934"/>
      <c r="P69" s="1919"/>
      <c r="Q69" s="453"/>
    </row>
    <row r="70" spans="1:17" s="422" customFormat="1" ht="14.4" thickTop="1">
      <c r="A70" s="502"/>
      <c r="B70" s="487">
        <f>B12</f>
        <v>111</v>
      </c>
      <c r="C70" s="503"/>
      <c r="D70" s="503"/>
      <c r="E70" s="503"/>
      <c r="F70" s="503"/>
      <c r="G70" s="503"/>
      <c r="H70" s="504"/>
      <c r="I70" s="504"/>
      <c r="J70" s="504"/>
      <c r="K70" s="504"/>
      <c r="L70" s="505"/>
      <c r="M70" s="506"/>
      <c r="N70" s="935"/>
      <c r="O70" s="935"/>
      <c r="P70" s="1920"/>
      <c r="Q70" s="508"/>
    </row>
    <row r="71" spans="1:17" s="422" customFormat="1" ht="14.4" thickBot="1">
      <c r="A71" s="502"/>
      <c r="B71" s="492"/>
      <c r="C71" s="509"/>
      <c r="D71" s="485"/>
      <c r="E71" s="485"/>
      <c r="F71" s="485"/>
      <c r="G71" s="485"/>
      <c r="H71" s="485"/>
      <c r="I71" s="485"/>
      <c r="J71" s="485"/>
      <c r="K71" s="485"/>
      <c r="L71" s="485"/>
      <c r="M71" s="486"/>
      <c r="N71" s="934"/>
      <c r="O71" s="934"/>
      <c r="P71" s="1920"/>
      <c r="Q71" s="508"/>
    </row>
    <row r="72" spans="1:17" s="422" customFormat="1" ht="14.4" thickTop="1">
      <c r="A72" s="502"/>
      <c r="B72" s="487">
        <f>B13</f>
        <v>111</v>
      </c>
      <c r="C72" s="503"/>
      <c r="D72" s="503"/>
      <c r="E72" s="503"/>
      <c r="F72" s="503"/>
      <c r="G72" s="503"/>
      <c r="H72" s="504"/>
      <c r="I72" s="504"/>
      <c r="J72" s="504"/>
      <c r="K72" s="504"/>
      <c r="L72" s="505"/>
      <c r="M72" s="506"/>
      <c r="N72" s="935"/>
      <c r="O72" s="935"/>
      <c r="P72" s="1921"/>
      <c r="Q72" s="510"/>
    </row>
    <row r="73" spans="1:17" s="422" customFormat="1" ht="14.4" thickBot="1">
      <c r="A73" s="502"/>
      <c r="B73" s="492"/>
      <c r="C73" s="509"/>
      <c r="D73" s="509"/>
      <c r="E73" s="509"/>
      <c r="F73" s="509"/>
      <c r="G73" s="509"/>
      <c r="H73" s="511"/>
      <c r="I73" s="511"/>
      <c r="J73" s="511"/>
      <c r="K73" s="511"/>
      <c r="L73" s="511"/>
      <c r="M73" s="512"/>
      <c r="N73" s="935"/>
      <c r="O73" s="935"/>
      <c r="P73" s="1920"/>
      <c r="Q73" s="508"/>
    </row>
    <row r="74" spans="1:17" s="422" customFormat="1" ht="14.4" thickTop="1">
      <c r="A74" s="502"/>
      <c r="B74" s="495">
        <f>B14</f>
        <v>111</v>
      </c>
      <c r="C74" s="503"/>
      <c r="D74" s="503"/>
      <c r="E74" s="503"/>
      <c r="F74" s="503"/>
      <c r="G74" s="472"/>
      <c r="H74" s="513"/>
      <c r="I74" s="513"/>
      <c r="J74" s="513"/>
      <c r="K74" s="513"/>
      <c r="L74" s="514"/>
      <c r="M74" s="515"/>
      <c r="N74" s="935"/>
      <c r="O74" s="935"/>
      <c r="P74" s="1922"/>
      <c r="Q74" s="508"/>
    </row>
    <row r="75" spans="1:17" s="422" customFormat="1" ht="14.4" thickBot="1">
      <c r="A75" s="517"/>
      <c r="B75" s="518"/>
      <c r="C75" s="519"/>
      <c r="D75" s="519"/>
      <c r="E75" s="519"/>
      <c r="F75" s="519"/>
      <c r="G75" s="519"/>
      <c r="H75" s="520"/>
      <c r="I75" s="520"/>
      <c r="J75" s="520"/>
      <c r="K75" s="520"/>
      <c r="L75" s="520"/>
      <c r="M75" s="521"/>
      <c r="N75" s="935"/>
      <c r="O75" s="935"/>
      <c r="P75" s="1920"/>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19"/>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19"/>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19"/>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19"/>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19"/>
      <c r="Q85" s="453"/>
    </row>
    <row r="86" spans="1:17" s="108" customFormat="1" ht="15" thickTop="1">
      <c r="A86" s="528"/>
      <c r="B86" s="487" t="s">
        <v>1734</v>
      </c>
      <c r="C86" s="503"/>
      <c r="D86" s="503"/>
      <c r="E86" s="503"/>
      <c r="F86" s="503"/>
      <c r="G86" s="503"/>
      <c r="H86" s="503"/>
      <c r="I86" s="503"/>
      <c r="J86" s="503"/>
      <c r="K86" s="503"/>
      <c r="L86" s="529"/>
      <c r="M86" s="530"/>
      <c r="N86" s="932"/>
      <c r="O86" s="932"/>
      <c r="P86" s="1919"/>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 thickTop="1">
      <c r="A88" s="528"/>
      <c r="B88" s="487" t="s">
        <v>1735</v>
      </c>
      <c r="C88" s="3466" t="s">
        <v>3452</v>
      </c>
      <c r="D88" s="3467" t="s">
        <v>3453</v>
      </c>
      <c r="E88" s="3467" t="s">
        <v>3454</v>
      </c>
      <c r="F88" s="3467" t="s">
        <v>3455</v>
      </c>
      <c r="G88" s="3467" t="s">
        <v>3456</v>
      </c>
      <c r="H88" s="3467" t="s">
        <v>3457</v>
      </c>
      <c r="I88" s="3468" t="s">
        <v>3458</v>
      </c>
      <c r="J88" s="3468" t="s">
        <v>3459</v>
      </c>
      <c r="K88" s="3467" t="s">
        <v>3460</v>
      </c>
      <c r="L88" s="3467" t="s">
        <v>3461</v>
      </c>
      <c r="M88" s="530"/>
      <c r="N88" s="932"/>
      <c r="O88" s="932"/>
      <c r="P88" s="1919"/>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19"/>
      <c r="Q89" s="453"/>
    </row>
    <row r="90" spans="1:17" s="422" customFormat="1" ht="29.4" thickTop="1">
      <c r="A90" s="502"/>
      <c r="B90" s="487" t="str">
        <f>B27</f>
        <v>楼层</v>
      </c>
      <c r="C90" s="416" t="s">
        <v>3521</v>
      </c>
      <c r="D90" s="416" t="s">
        <v>3520</v>
      </c>
      <c r="E90" s="416" t="s">
        <v>3529</v>
      </c>
      <c r="F90" s="416" t="s">
        <v>3681</v>
      </c>
      <c r="G90" s="503"/>
      <c r="H90" s="504"/>
      <c r="I90" s="504"/>
      <c r="J90" s="504"/>
      <c r="K90" s="504"/>
      <c r="L90" s="505"/>
      <c r="M90" s="506"/>
      <c r="N90" s="935"/>
      <c r="O90" s="935"/>
      <c r="P90" s="1920"/>
      <c r="Q90" s="508"/>
    </row>
    <row r="91" spans="1:17" s="422" customFormat="1" ht="14.4" thickBot="1">
      <c r="A91" s="502"/>
      <c r="B91" s="492"/>
      <c r="C91" s="509">
        <v>100</v>
      </c>
      <c r="D91" s="509">
        <v>102</v>
      </c>
      <c r="E91" s="509">
        <v>101</v>
      </c>
      <c r="F91" s="509">
        <v>100</v>
      </c>
      <c r="G91" s="509"/>
      <c r="H91" s="511"/>
      <c r="I91" s="511"/>
      <c r="J91" s="511"/>
      <c r="K91" s="511"/>
      <c r="L91" s="511"/>
      <c r="M91" s="512"/>
      <c r="N91" s="935"/>
      <c r="O91" s="935"/>
      <c r="P91" s="1920"/>
      <c r="Q91" s="508"/>
    </row>
    <row r="92" spans="1:17" ht="15" thickTop="1">
      <c r="A92" s="483"/>
      <c r="B92" s="487" t="str">
        <f>B28</f>
        <v>道路</v>
      </c>
      <c r="C92" s="3469" t="s">
        <v>3462</v>
      </c>
      <c r="D92" s="3469" t="s">
        <v>3463</v>
      </c>
      <c r="E92" s="3469" t="s">
        <v>3498</v>
      </c>
      <c r="F92" s="3469" t="s">
        <v>3464</v>
      </c>
      <c r="G92" s="3469" t="s">
        <v>3465</v>
      </c>
      <c r="H92" s="532"/>
      <c r="I92" s="532"/>
      <c r="J92" s="532"/>
      <c r="K92" s="533"/>
      <c r="L92" s="534"/>
      <c r="M92" s="535"/>
      <c r="N92" s="933"/>
      <c r="O92" s="933"/>
      <c r="P92" s="1919"/>
      <c r="Q92" s="453"/>
    </row>
    <row r="93" spans="1:17" ht="14.4" thickBot="1">
      <c r="A93" s="483"/>
      <c r="B93" s="492"/>
      <c r="C93" s="3470">
        <v>100</v>
      </c>
      <c r="D93" s="3470">
        <v>98</v>
      </c>
      <c r="E93" s="3470">
        <v>96</v>
      </c>
      <c r="F93" s="3470">
        <v>94</v>
      </c>
      <c r="G93" s="3470">
        <v>92</v>
      </c>
      <c r="H93" s="485"/>
      <c r="I93" s="485"/>
      <c r="J93" s="485"/>
      <c r="K93" s="485"/>
      <c r="L93" s="485"/>
      <c r="M93" s="486"/>
      <c r="N93" s="934"/>
      <c r="O93" s="934"/>
      <c r="P93" s="1919"/>
      <c r="Q93" s="453"/>
    </row>
    <row r="94" spans="1:17" ht="14.4" thickTop="1">
      <c r="A94" s="483"/>
      <c r="B94" s="487">
        <f>B29</f>
        <v>111</v>
      </c>
      <c r="C94" s="503"/>
      <c r="D94" s="503"/>
      <c r="E94" s="503"/>
      <c r="F94" s="503"/>
      <c r="G94" s="532"/>
      <c r="H94" s="532"/>
      <c r="I94" s="532"/>
      <c r="J94" s="532"/>
      <c r="K94" s="533"/>
      <c r="L94" s="534"/>
      <c r="M94" s="535"/>
      <c r="N94" s="933"/>
      <c r="O94" s="933"/>
      <c r="P94" s="1919"/>
      <c r="Q94" s="453"/>
    </row>
    <row r="95" spans="1:17" ht="14.4" thickBot="1">
      <c r="A95" s="483"/>
      <c r="B95" s="492"/>
      <c r="C95" s="509"/>
      <c r="D95" s="509"/>
      <c r="E95" s="509"/>
      <c r="F95" s="509"/>
      <c r="G95" s="485"/>
      <c r="H95" s="485"/>
      <c r="I95" s="485"/>
      <c r="J95" s="485"/>
      <c r="K95" s="485"/>
      <c r="L95" s="485"/>
      <c r="M95" s="486"/>
      <c r="N95" s="934"/>
      <c r="O95" s="934"/>
      <c r="P95" s="1919"/>
      <c r="Q95" s="453"/>
    </row>
    <row r="96" spans="1:17" ht="14.4" thickTop="1">
      <c r="A96" s="483"/>
      <c r="B96" s="487">
        <f>B30</f>
        <v>111</v>
      </c>
      <c r="C96" s="503"/>
      <c r="D96" s="503"/>
      <c r="E96" s="503"/>
      <c r="F96" s="503"/>
      <c r="G96" s="532"/>
      <c r="H96" s="532"/>
      <c r="I96" s="532"/>
      <c r="J96" s="532"/>
      <c r="K96" s="533"/>
      <c r="L96" s="534"/>
      <c r="M96" s="535"/>
      <c r="N96" s="933"/>
      <c r="O96" s="933"/>
      <c r="P96" s="1919"/>
      <c r="Q96" s="453"/>
    </row>
    <row r="97" spans="1:17" ht="14.4" thickBot="1">
      <c r="A97" s="483"/>
      <c r="B97" s="492"/>
      <c r="C97" s="519"/>
      <c r="D97" s="519"/>
      <c r="E97" s="519"/>
      <c r="F97" s="519"/>
      <c r="G97" s="485"/>
      <c r="H97" s="485"/>
      <c r="I97" s="485"/>
      <c r="J97" s="485"/>
      <c r="K97" s="485"/>
      <c r="L97" s="485"/>
      <c r="M97" s="486"/>
      <c r="N97" s="934"/>
      <c r="O97" s="934"/>
      <c r="P97" s="1919"/>
      <c r="Q97" s="453"/>
    </row>
    <row r="98" spans="1:17" ht="14.4" thickTop="1">
      <c r="A98" s="483"/>
      <c r="B98" s="495">
        <f>B31</f>
        <v>111</v>
      </c>
      <c r="C98" s="536"/>
      <c r="D98" s="536"/>
      <c r="E98" s="536"/>
      <c r="F98" s="536"/>
      <c r="G98" s="536"/>
      <c r="H98" s="536"/>
      <c r="I98" s="536"/>
      <c r="J98" s="536"/>
      <c r="K98" s="537"/>
      <c r="L98" s="538"/>
      <c r="M98" s="539"/>
      <c r="N98" s="933"/>
      <c r="O98" s="933"/>
      <c r="P98" s="1919"/>
      <c r="Q98" s="453"/>
    </row>
    <row r="99" spans="1:17" ht="14.4" thickBot="1">
      <c r="A99" s="1925"/>
      <c r="B99" s="518"/>
      <c r="C99" s="540"/>
      <c r="D99" s="540"/>
      <c r="E99" s="540"/>
      <c r="F99" s="540"/>
      <c r="G99" s="540"/>
      <c r="H99" s="540"/>
      <c r="I99" s="540"/>
      <c r="J99" s="540"/>
      <c r="K99" s="540"/>
      <c r="L99" s="540"/>
      <c r="M99" s="541"/>
      <c r="N99" s="934"/>
      <c r="O99" s="934"/>
      <c r="P99" s="1919"/>
      <c r="Q99" s="453"/>
    </row>
    <row r="100" spans="1:17" ht="14.4">
      <c r="A100" s="476" t="s">
        <v>1694</v>
      </c>
      <c r="B100" s="477" t="s">
        <v>1736</v>
      </c>
      <c r="C100" s="3472" t="s">
        <v>3468</v>
      </c>
      <c r="D100" s="3473" t="s">
        <v>3469</v>
      </c>
      <c r="E100" s="3474" t="s">
        <v>3470</v>
      </c>
      <c r="F100" s="3474" t="s">
        <v>3471</v>
      </c>
      <c r="I100" s="479"/>
      <c r="J100" s="479"/>
      <c r="K100" s="480"/>
      <c r="L100" s="481"/>
      <c r="M100" s="482"/>
      <c r="N100" s="933"/>
      <c r="O100" s="933"/>
      <c r="P100" s="1919"/>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19"/>
      <c r="Q101" s="453"/>
    </row>
    <row r="102" spans="1:17" ht="15" thickTop="1">
      <c r="A102" s="483"/>
      <c r="B102" s="487" t="s">
        <v>1737</v>
      </c>
      <c r="C102" s="527" t="str">
        <f>C103&amp;"(含)"&amp;"-"&amp;D103</f>
        <v>0(含)-25</v>
      </c>
      <c r="D102" s="527" t="str">
        <f t="shared" ref="D102:L102" si="26">D103&amp;"(含)"&amp;"-"&amp;E103</f>
        <v>25(含)-50</v>
      </c>
      <c r="E102" s="527" t="str">
        <f t="shared" si="26"/>
        <v>50(含)-75</v>
      </c>
      <c r="F102" s="527" t="str">
        <f t="shared" si="26"/>
        <v>75(含)-100</v>
      </c>
      <c r="G102" s="527" t="str">
        <f t="shared" si="26"/>
        <v>100(含)-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6">
        <v>0</v>
      </c>
      <c r="D103" s="6">
        <v>25</v>
      </c>
      <c r="E103" s="6">
        <v>50</v>
      </c>
      <c r="F103" s="6">
        <v>75</v>
      </c>
      <c r="G103" s="6">
        <v>100</v>
      </c>
      <c r="H103" s="544"/>
      <c r="I103" s="544"/>
      <c r="J103" s="545"/>
      <c r="K103" s="545"/>
      <c r="L103" s="546"/>
      <c r="M103" s="547"/>
      <c r="N103" s="935"/>
      <c r="O103" s="935"/>
      <c r="P103" s="1920"/>
      <c r="Q103" s="508"/>
    </row>
    <row r="104" spans="1:17" s="422" customFormat="1" ht="14.4" thickBot="1">
      <c r="A104" s="502"/>
      <c r="B104" s="492"/>
      <c r="C104" s="3470">
        <v>100</v>
      </c>
      <c r="D104" s="3475">
        <v>96</v>
      </c>
      <c r="E104" s="3475">
        <v>92</v>
      </c>
      <c r="F104" s="3475">
        <v>88</v>
      </c>
      <c r="G104" s="3475">
        <v>84</v>
      </c>
      <c r="H104" s="485"/>
      <c r="I104" s="485"/>
      <c r="J104" s="485"/>
      <c r="K104" s="485"/>
      <c r="L104" s="485"/>
      <c r="M104" s="485"/>
      <c r="N104" s="934"/>
      <c r="O104" s="934"/>
      <c r="P104" s="1920"/>
      <c r="Q104" s="508"/>
    </row>
    <row r="105" spans="1:17" ht="15" thickTop="1">
      <c r="A105" s="548"/>
      <c r="B105" s="487" t="s">
        <v>1738</v>
      </c>
      <c r="C105" s="3469" t="s">
        <v>3472</v>
      </c>
      <c r="D105" s="3469" t="s">
        <v>3446</v>
      </c>
      <c r="E105" s="3476" t="s">
        <v>3473</v>
      </c>
      <c r="F105" s="3476" t="s">
        <v>3474</v>
      </c>
      <c r="G105" s="3467" t="s">
        <v>3475</v>
      </c>
      <c r="H105" s="532"/>
      <c r="I105" s="532"/>
      <c r="J105" s="532"/>
      <c r="K105" s="533"/>
      <c r="L105" s="534"/>
      <c r="M105" s="535"/>
      <c r="N105" s="933"/>
      <c r="O105" s="933"/>
      <c r="P105" s="1919"/>
      <c r="Q105" s="453"/>
    </row>
    <row r="106" spans="1:17" ht="14.4" thickBot="1">
      <c r="A106" s="483"/>
      <c r="B106" s="492"/>
      <c r="C106" s="493">
        <v>100</v>
      </c>
      <c r="D106" s="493">
        <f t="shared" ref="D106:M106" si="27">C106-$K34</f>
        <v>97.5</v>
      </c>
      <c r="E106" s="493">
        <f t="shared" si="27"/>
        <v>95</v>
      </c>
      <c r="F106" s="493">
        <f t="shared" si="27"/>
        <v>92.5</v>
      </c>
      <c r="G106" s="493">
        <f t="shared" si="27"/>
        <v>90</v>
      </c>
      <c r="H106" s="493">
        <f t="shared" si="27"/>
        <v>87.5</v>
      </c>
      <c r="I106" s="493">
        <f t="shared" si="27"/>
        <v>85</v>
      </c>
      <c r="J106" s="493">
        <f t="shared" si="27"/>
        <v>82.5</v>
      </c>
      <c r="K106" s="493">
        <f t="shared" si="27"/>
        <v>80</v>
      </c>
      <c r="L106" s="493">
        <f t="shared" si="27"/>
        <v>77.5</v>
      </c>
      <c r="M106" s="493">
        <f t="shared" si="27"/>
        <v>75</v>
      </c>
      <c r="N106" s="934"/>
      <c r="O106" s="934"/>
      <c r="P106" s="1919"/>
      <c r="Q106" s="453"/>
    </row>
    <row r="107" spans="1:17" ht="15" thickTop="1">
      <c r="A107" s="548"/>
      <c r="B107" s="487" t="s">
        <v>1739</v>
      </c>
      <c r="C107" s="3467" t="s">
        <v>3476</v>
      </c>
      <c r="D107" s="532"/>
      <c r="E107" s="532"/>
      <c r="F107" s="532"/>
      <c r="G107" s="532"/>
      <c r="H107" s="532"/>
      <c r="I107" s="532"/>
      <c r="J107" s="532"/>
      <c r="K107" s="533"/>
      <c r="L107" s="534"/>
      <c r="M107" s="535"/>
      <c r="N107" s="933"/>
      <c r="O107" s="933"/>
      <c r="P107" s="1919"/>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19"/>
      <c r="Q108" s="453"/>
    </row>
    <row r="109" spans="1:17" ht="15" thickTop="1">
      <c r="A109" s="548"/>
      <c r="B109" s="487" t="s">
        <v>1740</v>
      </c>
      <c r="C109" s="3477" t="s">
        <v>3477</v>
      </c>
      <c r="D109" s="3477" t="s">
        <v>3478</v>
      </c>
      <c r="E109" s="3477" t="s">
        <v>3479</v>
      </c>
      <c r="F109" s="3467" t="s">
        <v>3480</v>
      </c>
      <c r="G109" s="532"/>
      <c r="H109" s="532"/>
      <c r="I109" s="532"/>
      <c r="J109" s="532"/>
      <c r="K109" s="533"/>
      <c r="L109" s="534"/>
      <c r="M109" s="535"/>
      <c r="N109" s="933"/>
      <c r="O109" s="933"/>
      <c r="P109" s="1919"/>
      <c r="Q109" s="453"/>
    </row>
    <row r="110" spans="1:17" ht="14.4"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4.4" thickBot="1">
      <c r="A113" s="502"/>
      <c r="B113" s="492"/>
      <c r="C113" s="531">
        <v>100</v>
      </c>
      <c r="D113" s="493">
        <f>C113+$K37</f>
        <v>103</v>
      </c>
      <c r="E113" s="493">
        <f>D113+$K37</f>
        <v>106</v>
      </c>
      <c r="F113" s="493">
        <f>E113+$K37</f>
        <v>109</v>
      </c>
      <c r="G113" s="493">
        <f>F113+$K37</f>
        <v>112</v>
      </c>
      <c r="H113" s="493">
        <f>G113+$K37</f>
        <v>115</v>
      </c>
      <c r="I113" s="531"/>
      <c r="J113" s="556"/>
      <c r="K113" s="556"/>
      <c r="L113" s="556"/>
      <c r="M113" s="557"/>
      <c r="N113" s="935"/>
      <c r="O113" s="935"/>
      <c r="P113" s="1920"/>
      <c r="Q113" s="508"/>
    </row>
    <row r="114" spans="1:17" ht="15" thickTop="1">
      <c r="A114" s="548"/>
      <c r="B114" s="487" t="s">
        <v>1741</v>
      </c>
      <c r="C114" s="3469" t="s">
        <v>3481</v>
      </c>
      <c r="D114" s="3469" t="s">
        <v>3482</v>
      </c>
      <c r="E114" s="3467" t="s">
        <v>3483</v>
      </c>
      <c r="F114" s="3467" t="s">
        <v>3484</v>
      </c>
      <c r="G114" s="532"/>
      <c r="H114" s="532"/>
      <c r="I114" s="532"/>
      <c r="J114" s="532"/>
      <c r="K114" s="533"/>
      <c r="L114" s="534"/>
      <c r="M114" s="535"/>
      <c r="N114" s="933"/>
      <c r="O114" s="933"/>
      <c r="P114" s="1919"/>
      <c r="Q114" s="453"/>
    </row>
    <row r="115" spans="1:17" ht="14.4" thickBot="1">
      <c r="A115" s="483"/>
      <c r="B115" s="492"/>
      <c r="C115" s="493">
        <v>100</v>
      </c>
      <c r="D115" s="493">
        <f t="shared" ref="D115:M115" si="30">C115-$K38</f>
        <v>99</v>
      </c>
      <c r="E115" s="493">
        <f t="shared" si="30"/>
        <v>98</v>
      </c>
      <c r="F115" s="493">
        <f t="shared" si="30"/>
        <v>97</v>
      </c>
      <c r="G115" s="493">
        <f t="shared" si="30"/>
        <v>96</v>
      </c>
      <c r="H115" s="493">
        <f t="shared" si="30"/>
        <v>95</v>
      </c>
      <c r="I115" s="493">
        <f t="shared" si="30"/>
        <v>94</v>
      </c>
      <c r="J115" s="493">
        <f t="shared" si="30"/>
        <v>93</v>
      </c>
      <c r="K115" s="493">
        <f t="shared" si="30"/>
        <v>92</v>
      </c>
      <c r="L115" s="493">
        <f t="shared" si="30"/>
        <v>91</v>
      </c>
      <c r="M115" s="493">
        <f t="shared" si="30"/>
        <v>90</v>
      </c>
      <c r="N115" s="934"/>
      <c r="O115" s="934"/>
      <c r="P115" s="1919"/>
      <c r="Q115" s="453"/>
    </row>
    <row r="116" spans="1:17" ht="15" thickTop="1">
      <c r="A116" s="548"/>
      <c r="B116" s="487" t="s">
        <v>1742</v>
      </c>
      <c r="C116" s="3469" t="s">
        <v>3485</v>
      </c>
      <c r="D116" s="3469" t="s">
        <v>3486</v>
      </c>
      <c r="E116" s="3469" t="s">
        <v>3487</v>
      </c>
      <c r="F116" s="3469" t="s">
        <v>3488</v>
      </c>
      <c r="G116" s="3469" t="s">
        <v>3489</v>
      </c>
      <c r="H116" s="532"/>
      <c r="I116" s="532"/>
      <c r="J116" s="532"/>
      <c r="K116" s="533"/>
      <c r="L116" s="534"/>
      <c r="M116" s="535"/>
      <c r="N116" s="933"/>
      <c r="O116" s="933"/>
      <c r="P116" s="1919"/>
      <c r="Q116" s="453"/>
    </row>
    <row r="117" spans="1:17" ht="14.4"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19"/>
      <c r="Q117" s="453"/>
    </row>
    <row r="118" spans="1:17" ht="15" thickTop="1">
      <c r="A118" s="548"/>
      <c r="B118" s="487" t="s">
        <v>1743</v>
      </c>
      <c r="C118" s="3467" t="s">
        <v>3490</v>
      </c>
      <c r="D118" s="3467" t="s">
        <v>3491</v>
      </c>
      <c r="E118" s="532"/>
      <c r="F118" s="532"/>
      <c r="G118" s="532"/>
      <c r="H118" s="532"/>
      <c r="I118" s="532"/>
      <c r="J118" s="532"/>
      <c r="K118" s="533"/>
      <c r="L118" s="534"/>
      <c r="M118" s="535"/>
      <c r="N118" s="933"/>
      <c r="O118" s="933"/>
      <c r="P118" s="1919"/>
      <c r="Q118" s="453"/>
    </row>
    <row r="119" spans="1:17" ht="14.4"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4"/>
      <c r="O119" s="934"/>
      <c r="P119" s="1919"/>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4.4"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3477" t="s">
        <v>3492</v>
      </c>
      <c r="D122" s="3477" t="s">
        <v>3493</v>
      </c>
      <c r="E122" s="3477" t="s">
        <v>3494</v>
      </c>
      <c r="F122" s="3467" t="s">
        <v>3495</v>
      </c>
      <c r="G122" s="532"/>
      <c r="H122" s="532"/>
      <c r="I122" s="532"/>
      <c r="J122" s="532"/>
      <c r="K122" s="533"/>
      <c r="L122" s="534"/>
      <c r="M122" s="535"/>
      <c r="N122" s="933"/>
      <c r="O122" s="933"/>
      <c r="P122" s="1919"/>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9"/>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4.4" thickBot="1">
      <c r="A125" s="483"/>
      <c r="B125" s="492"/>
      <c r="C125" s="493">
        <v>100</v>
      </c>
      <c r="D125" s="493">
        <f>C125-$K43</f>
        <v>94</v>
      </c>
      <c r="E125" s="493">
        <f>D125-$K43</f>
        <v>88</v>
      </c>
      <c r="F125" s="493">
        <f>E125-$K43</f>
        <v>82</v>
      </c>
      <c r="G125" s="493">
        <f>F125-$K43</f>
        <v>76</v>
      </c>
      <c r="H125" s="493"/>
      <c r="I125" s="493"/>
      <c r="J125" s="493"/>
      <c r="K125" s="493"/>
      <c r="L125" s="493"/>
      <c r="M125" s="494"/>
      <c r="N125" s="934"/>
      <c r="O125" s="934"/>
      <c r="P125" s="1919"/>
      <c r="Q125" s="453"/>
    </row>
    <row r="126" spans="1:17" s="422" customFormat="1" ht="15" thickTop="1">
      <c r="A126" s="542"/>
      <c r="B126" s="487">
        <f>B44</f>
        <v>0</v>
      </c>
      <c r="C126" s="3485" t="s">
        <v>3548</v>
      </c>
      <c r="D126" s="3485" t="s">
        <v>3549</v>
      </c>
      <c r="E126" s="3485" t="s">
        <v>3550</v>
      </c>
      <c r="F126" s="503"/>
      <c r="G126" s="503"/>
      <c r="H126" s="504"/>
      <c r="I126" s="504"/>
      <c r="J126" s="504"/>
      <c r="K126" s="504"/>
      <c r="L126" s="505"/>
      <c r="M126" s="506"/>
      <c r="N126" s="935"/>
      <c r="O126" s="935"/>
      <c r="P126" s="1920"/>
      <c r="Q126" s="508"/>
    </row>
    <row r="127" spans="1:17" s="422" customFormat="1" ht="14.4" thickBot="1">
      <c r="A127" s="502"/>
      <c r="B127" s="492"/>
      <c r="C127" s="509">
        <v>102</v>
      </c>
      <c r="D127" s="485">
        <v>100</v>
      </c>
      <c r="E127" s="485">
        <v>98</v>
      </c>
      <c r="F127" s="485"/>
      <c r="G127" s="509"/>
      <c r="H127" s="511"/>
      <c r="I127" s="511"/>
      <c r="J127" s="511"/>
      <c r="K127" s="511"/>
      <c r="L127" s="511"/>
      <c r="M127" s="512"/>
      <c r="N127" s="935"/>
      <c r="O127" s="935"/>
      <c r="P127" s="1920"/>
      <c r="Q127" s="508"/>
    </row>
    <row r="128" spans="1:17" ht="14.4" thickTop="1">
      <c r="A128" s="548"/>
      <c r="B128" s="487">
        <f>B45</f>
        <v>111</v>
      </c>
      <c r="C128" s="503"/>
      <c r="D128" s="503"/>
      <c r="E128" s="503"/>
      <c r="F128" s="503"/>
      <c r="G128" s="532"/>
      <c r="H128" s="532"/>
      <c r="I128" s="532"/>
      <c r="J128" s="532"/>
      <c r="K128" s="533"/>
      <c r="L128" s="534"/>
      <c r="M128" s="535"/>
      <c r="N128" s="933"/>
      <c r="O128" s="933"/>
      <c r="P128" s="1919"/>
      <c r="Q128" s="453"/>
    </row>
    <row r="129" spans="1:17" ht="14.4" thickBot="1">
      <c r="A129" s="483"/>
      <c r="B129" s="492"/>
      <c r="C129" s="509"/>
      <c r="D129" s="509"/>
      <c r="E129" s="509"/>
      <c r="F129" s="509"/>
      <c r="G129" s="485"/>
      <c r="H129" s="485"/>
      <c r="I129" s="485"/>
      <c r="J129" s="485"/>
      <c r="K129" s="485"/>
      <c r="L129" s="485"/>
      <c r="M129" s="486"/>
      <c r="N129" s="934"/>
      <c r="O129" s="934"/>
      <c r="P129" s="1919"/>
      <c r="Q129" s="453"/>
    </row>
    <row r="130" spans="1:17" ht="14.4" thickTop="1">
      <c r="A130" s="548"/>
      <c r="B130" s="495">
        <f>B46</f>
        <v>111</v>
      </c>
      <c r="C130" s="503"/>
      <c r="D130" s="503"/>
      <c r="E130" s="503"/>
      <c r="F130" s="503"/>
      <c r="G130" s="536"/>
      <c r="H130" s="536"/>
      <c r="I130" s="536"/>
      <c r="J130" s="536"/>
      <c r="K130" s="472"/>
      <c r="L130" s="473"/>
      <c r="M130" s="539"/>
      <c r="N130" s="933"/>
      <c r="O130" s="933"/>
      <c r="P130" s="1919"/>
      <c r="Q130" s="453"/>
    </row>
    <row r="131" spans="1:17" ht="14.4"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6.2"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ht="14.4">
      <c r="B147" s="1926" t="s">
        <v>1764</v>
      </c>
    </row>
    <row r="148" spans="2:11" ht="14.4">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
  <sheetViews>
    <sheetView workbookViewId="0">
      <selection activeCell="B2" sqref="B2"/>
    </sheetView>
  </sheetViews>
  <sheetFormatPr defaultRowHeight="14.4"/>
  <cols>
    <col min="17" max="17" width="10.88671875" customWidth="1"/>
  </cols>
  <sheetData>
    <row r="1" spans="1:24" ht="15" thickBot="1">
      <c r="A1" s="3455" t="s">
        <v>3408</v>
      </c>
      <c r="B1" s="3455" t="s">
        <v>3409</v>
      </c>
      <c r="C1" s="3455" t="s">
        <v>3410</v>
      </c>
      <c r="D1" s="3455" t="s">
        <v>3411</v>
      </c>
      <c r="E1" s="3455" t="s">
        <v>3412</v>
      </c>
      <c r="F1" s="3455" t="s">
        <v>3413</v>
      </c>
      <c r="G1" s="3455" t="s">
        <v>3414</v>
      </c>
      <c r="H1" s="3455" t="s">
        <v>3415</v>
      </c>
      <c r="I1" s="3455" t="s">
        <v>3416</v>
      </c>
      <c r="J1" s="3455" t="s">
        <v>3417</v>
      </c>
      <c r="K1" s="3455" t="s">
        <v>3418</v>
      </c>
      <c r="L1" s="3455" t="s">
        <v>3419</v>
      </c>
      <c r="M1" s="3455" t="s">
        <v>3420</v>
      </c>
      <c r="N1" s="3455" t="s">
        <v>3421</v>
      </c>
      <c r="O1" s="3455" t="s">
        <v>3422</v>
      </c>
      <c r="P1" s="3455" t="s">
        <v>3423</v>
      </c>
      <c r="Q1" s="3455" t="s">
        <v>3424</v>
      </c>
    </row>
    <row r="2" spans="1:24" s="3464" customFormat="1" ht="34.799999999999997" thickBot="1">
      <c r="A2" s="3462" t="s">
        <v>3425</v>
      </c>
      <c r="B2" s="3462" t="s">
        <v>3682</v>
      </c>
      <c r="C2" s="3462" t="s">
        <v>3426</v>
      </c>
      <c r="D2" s="3462" t="s">
        <v>3427</v>
      </c>
      <c r="E2" s="3462" t="s">
        <v>3428</v>
      </c>
      <c r="F2" s="3462">
        <v>78.42</v>
      </c>
      <c r="G2" s="3462" t="s">
        <v>3429</v>
      </c>
      <c r="H2" s="3462" t="s">
        <v>3430</v>
      </c>
      <c r="I2" s="3462">
        <v>13</v>
      </c>
      <c r="J2" s="3462" t="s">
        <v>633</v>
      </c>
      <c r="K2" s="3462">
        <v>1990</v>
      </c>
      <c r="L2" s="3462" t="s">
        <v>633</v>
      </c>
      <c r="M2" s="3462" t="s">
        <v>633</v>
      </c>
      <c r="N2" s="3462">
        <v>82249</v>
      </c>
      <c r="O2" s="3462">
        <v>82425</v>
      </c>
      <c r="P2" s="3462">
        <v>6463769</v>
      </c>
      <c r="Q2" s="3463">
        <v>45407</v>
      </c>
      <c r="R2" s="3464" t="s">
        <v>3503</v>
      </c>
      <c r="S2" s="3464" t="s">
        <v>3505</v>
      </c>
      <c r="T2" s="3464" t="s">
        <v>3506</v>
      </c>
      <c r="V2" s="3464" t="s">
        <v>3515</v>
      </c>
      <c r="W2" s="3464" t="s">
        <v>3518</v>
      </c>
      <c r="X2" s="3464" t="s">
        <v>3519</v>
      </c>
    </row>
    <row r="3" spans="1:24" s="3464" customFormat="1" ht="34.799999999999997" thickBot="1">
      <c r="A3" s="3462" t="s">
        <v>3425</v>
      </c>
      <c r="B3" s="3462" t="s">
        <v>3507</v>
      </c>
      <c r="C3" s="3462" t="s">
        <v>3426</v>
      </c>
      <c r="D3" s="3462" t="s">
        <v>3431</v>
      </c>
      <c r="E3" s="3462" t="s">
        <v>3428</v>
      </c>
      <c r="F3" s="3462">
        <v>64.67</v>
      </c>
      <c r="G3" s="3462" t="s">
        <v>3429</v>
      </c>
      <c r="H3" s="3462">
        <v>16</v>
      </c>
      <c r="I3" s="3462">
        <v>10</v>
      </c>
      <c r="J3" s="3462" t="s">
        <v>633</v>
      </c>
      <c r="K3" s="3462">
        <v>1990</v>
      </c>
      <c r="L3" s="3462" t="s">
        <v>633</v>
      </c>
      <c r="M3" s="3462" t="s">
        <v>633</v>
      </c>
      <c r="N3" s="3462">
        <v>79635</v>
      </c>
      <c r="O3" s="3462">
        <v>79852</v>
      </c>
      <c r="P3" s="3462">
        <v>5164029</v>
      </c>
      <c r="Q3" s="3463">
        <v>45374</v>
      </c>
      <c r="R3" s="3464" t="s">
        <v>3508</v>
      </c>
      <c r="S3" s="3464" t="s">
        <v>3505</v>
      </c>
      <c r="T3" s="3464" t="s">
        <v>3509</v>
      </c>
      <c r="V3" s="3464" t="s">
        <v>3514</v>
      </c>
      <c r="W3" s="3464" t="s">
        <v>3518</v>
      </c>
      <c r="X3" s="3464" t="s">
        <v>3519</v>
      </c>
    </row>
    <row r="4" spans="1:24" ht="23.4" thickBot="1">
      <c r="A4" s="3456" t="s">
        <v>3425</v>
      </c>
      <c r="B4" s="3456" t="s">
        <v>3432</v>
      </c>
      <c r="C4" s="3456" t="s">
        <v>3433</v>
      </c>
      <c r="D4" s="3456" t="s">
        <v>3427</v>
      </c>
      <c r="E4" s="3456" t="s">
        <v>3434</v>
      </c>
      <c r="F4" s="3456">
        <v>54</v>
      </c>
      <c r="G4" s="3456" t="s">
        <v>3435</v>
      </c>
      <c r="H4" s="3456">
        <v>13</v>
      </c>
      <c r="I4" s="3456">
        <v>9</v>
      </c>
      <c r="J4" s="3456" t="s">
        <v>633</v>
      </c>
      <c r="K4" s="3456">
        <v>2003</v>
      </c>
      <c r="L4" s="3456" t="s">
        <v>633</v>
      </c>
      <c r="M4" s="3456" t="s">
        <v>633</v>
      </c>
      <c r="N4" s="3456">
        <v>79630</v>
      </c>
      <c r="O4" s="3456">
        <v>79866</v>
      </c>
      <c r="P4" s="3456">
        <v>4312764</v>
      </c>
      <c r="Q4" s="3457">
        <v>45650</v>
      </c>
    </row>
    <row r="5" spans="1:24" s="3464" customFormat="1" ht="34.799999999999997" thickBot="1">
      <c r="A5" s="3462" t="s">
        <v>3425</v>
      </c>
      <c r="B5" s="3462" t="s">
        <v>3552</v>
      </c>
      <c r="C5" s="3462" t="s">
        <v>3436</v>
      </c>
      <c r="D5" s="3462" t="s">
        <v>3427</v>
      </c>
      <c r="E5" s="3462" t="s">
        <v>3434</v>
      </c>
      <c r="F5" s="3462">
        <v>81.93</v>
      </c>
      <c r="G5" s="3462" t="s">
        <v>3435</v>
      </c>
      <c r="H5" s="3462" t="s">
        <v>3437</v>
      </c>
      <c r="I5" s="3462">
        <v>13</v>
      </c>
      <c r="J5" s="3462" t="s">
        <v>633</v>
      </c>
      <c r="K5" s="3462">
        <v>2008</v>
      </c>
      <c r="L5" s="3462" t="s">
        <v>633</v>
      </c>
      <c r="M5" s="3462" t="s">
        <v>633</v>
      </c>
      <c r="N5" s="3462">
        <v>78115</v>
      </c>
      <c r="O5" s="3462">
        <v>78332</v>
      </c>
      <c r="P5" s="3462">
        <v>6417741</v>
      </c>
      <c r="Q5" s="3463">
        <v>45645</v>
      </c>
      <c r="R5" s="3464" t="s">
        <v>3511</v>
      </c>
      <c r="S5" s="3464" t="s">
        <v>3512</v>
      </c>
      <c r="T5" s="3464" t="s">
        <v>3510</v>
      </c>
      <c r="V5" s="3464" t="s">
        <v>3513</v>
      </c>
      <c r="W5" s="3464" t="s">
        <v>3516</v>
      </c>
      <c r="X5" s="3464" t="s">
        <v>3517</v>
      </c>
    </row>
    <row r="6" spans="1:24">
      <c r="K6">
        <f>2025-1979</f>
        <v>46</v>
      </c>
    </row>
    <row r="7" spans="1:24">
      <c r="K7">
        <f>1-K6/60</f>
        <v>0.23333333333333328</v>
      </c>
      <c r="L7">
        <f>(K7+K8)/2</f>
        <v>0.51666666666666661</v>
      </c>
    </row>
    <row r="8" spans="1:24">
      <c r="K8">
        <v>0.8</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6" sqref="H36"/>
    </sheetView>
  </sheetViews>
  <sheetFormatPr defaultRowHeight="14.4"/>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估价对象为北京市房地产，为所有。根据《国有土地使用证》[]，估价对象（分摊）出让国有建设用地使用权面积为0平方米，建筑面积为64.67平方米。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估价对象为北京市房地产,属开发建设的，该项目尚在开发建设中。根据《国有土地使用证》[]，估价对象（分摊）出让国有建设用地使用权面积为0平方米，规划建筑面积为64.67平方米。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2025年2月11日（评估专业人员实地查勘之日）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本次评估采用的主估价方法为收益法和比较法。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topLeftCell="A22" workbookViewId="0">
      <selection activeCell="F34" sqref="F34"/>
    </sheetView>
  </sheetViews>
  <sheetFormatPr defaultRowHeight="14.4"/>
  <cols>
    <col min="21" max="21" width="14.44140625" customWidth="1"/>
  </cols>
  <sheetData>
    <row r="1" spans="1:21">
      <c r="A1" s="3495" t="s">
        <v>3553</v>
      </c>
      <c r="B1" s="3495" t="s">
        <v>3554</v>
      </c>
      <c r="C1" s="3495" t="s">
        <v>3555</v>
      </c>
      <c r="D1" s="3495" t="s">
        <v>3556</v>
      </c>
      <c r="E1" s="3495" t="s">
        <v>3408</v>
      </c>
      <c r="F1" s="3495" t="s">
        <v>3409</v>
      </c>
      <c r="G1" s="3495" t="s">
        <v>3410</v>
      </c>
      <c r="H1" s="3495" t="s">
        <v>3411</v>
      </c>
      <c r="I1" s="3495" t="s">
        <v>3412</v>
      </c>
      <c r="J1" s="3495" t="s">
        <v>3413</v>
      </c>
      <c r="K1" s="3495" t="s">
        <v>3414</v>
      </c>
      <c r="L1" s="3495" t="s">
        <v>3415</v>
      </c>
      <c r="M1" s="3495" t="s">
        <v>3416</v>
      </c>
      <c r="N1" s="3495" t="s">
        <v>3417</v>
      </c>
      <c r="O1" s="3495" t="s">
        <v>3418</v>
      </c>
      <c r="P1" s="3495" t="s">
        <v>3419</v>
      </c>
      <c r="Q1" s="3495" t="s">
        <v>3420</v>
      </c>
      <c r="R1" s="3495" t="s">
        <v>3421</v>
      </c>
      <c r="S1" s="3495" t="s">
        <v>3422</v>
      </c>
      <c r="T1" s="3495" t="s">
        <v>3423</v>
      </c>
      <c r="U1" s="3495" t="s">
        <v>3424</v>
      </c>
    </row>
    <row r="2" spans="1:21" ht="34.799999999999997" thickBot="1">
      <c r="A2" s="3486">
        <v>1</v>
      </c>
      <c r="B2" s="3487" t="s">
        <v>3557</v>
      </c>
      <c r="C2" s="3486" t="s">
        <v>3558</v>
      </c>
      <c r="D2" s="3486" t="s">
        <v>3559</v>
      </c>
      <c r="E2" s="3486" t="s">
        <v>3560</v>
      </c>
      <c r="F2" s="3486" t="s">
        <v>3561</v>
      </c>
      <c r="G2" s="3486" t="s">
        <v>3562</v>
      </c>
      <c r="H2" s="3486" t="s">
        <v>3563</v>
      </c>
      <c r="I2" s="3486" t="s">
        <v>3434</v>
      </c>
      <c r="J2" s="3486">
        <v>102.61</v>
      </c>
      <c r="K2" s="3486" t="s">
        <v>3435</v>
      </c>
      <c r="L2" s="3486" t="s">
        <v>3564</v>
      </c>
      <c r="M2" s="3486">
        <v>20</v>
      </c>
      <c r="N2" s="3486" t="s">
        <v>633</v>
      </c>
      <c r="O2" s="3486">
        <v>2011</v>
      </c>
      <c r="P2" s="3486" t="s">
        <v>633</v>
      </c>
      <c r="Q2" s="3486" t="s">
        <v>633</v>
      </c>
      <c r="R2" s="3486">
        <v>56330</v>
      </c>
      <c r="S2" s="3486">
        <v>56457</v>
      </c>
      <c r="T2" s="3486">
        <v>5793053</v>
      </c>
      <c r="U2" s="3488">
        <v>45675</v>
      </c>
    </row>
    <row r="3" spans="1:21" ht="34.799999999999997" thickBot="1">
      <c r="A3" s="3489">
        <v>2</v>
      </c>
      <c r="B3" s="3490" t="s">
        <v>3557</v>
      </c>
      <c r="C3" s="3489" t="s">
        <v>3565</v>
      </c>
      <c r="D3" s="3489" t="s">
        <v>3566</v>
      </c>
      <c r="E3" s="3489" t="s">
        <v>3560</v>
      </c>
      <c r="F3" s="3489" t="s">
        <v>3567</v>
      </c>
      <c r="G3" s="3489" t="s">
        <v>3568</v>
      </c>
      <c r="H3" s="3489"/>
      <c r="I3" s="3489" t="s">
        <v>3434</v>
      </c>
      <c r="J3" s="3489">
        <v>148.6</v>
      </c>
      <c r="K3" s="3489" t="s">
        <v>3435</v>
      </c>
      <c r="L3" s="3489">
        <v>28</v>
      </c>
      <c r="M3" s="3489">
        <v>19</v>
      </c>
      <c r="N3" s="3489" t="s">
        <v>633</v>
      </c>
      <c r="O3" s="3489">
        <v>2010</v>
      </c>
      <c r="P3" s="3489" t="s">
        <v>633</v>
      </c>
      <c r="Q3" s="3489" t="s">
        <v>633</v>
      </c>
      <c r="R3" s="3489">
        <v>63594</v>
      </c>
      <c r="S3" s="3489">
        <v>63694</v>
      </c>
      <c r="T3" s="3489">
        <v>9464928</v>
      </c>
      <c r="U3" s="3491">
        <v>45665</v>
      </c>
    </row>
    <row r="4" spans="1:21" ht="34.799999999999997" thickBot="1">
      <c r="A4" s="3486">
        <v>3</v>
      </c>
      <c r="B4" s="3487" t="s">
        <v>3557</v>
      </c>
      <c r="C4" s="3486" t="s">
        <v>3569</v>
      </c>
      <c r="D4" s="3486" t="s">
        <v>3570</v>
      </c>
      <c r="E4" s="3486" t="s">
        <v>3560</v>
      </c>
      <c r="F4" s="3486" t="s">
        <v>3571</v>
      </c>
      <c r="G4" s="3486" t="s">
        <v>3572</v>
      </c>
      <c r="H4" s="3486" t="s">
        <v>3427</v>
      </c>
      <c r="I4" s="3486" t="s">
        <v>3428</v>
      </c>
      <c r="J4" s="3486">
        <v>46.42</v>
      </c>
      <c r="K4" s="3486" t="s">
        <v>3429</v>
      </c>
      <c r="L4" s="3486">
        <v>5</v>
      </c>
      <c r="M4" s="3486">
        <v>3</v>
      </c>
      <c r="N4" s="3486">
        <v>1974</v>
      </c>
      <c r="O4" s="3486" t="s">
        <v>633</v>
      </c>
      <c r="P4" s="3486" t="s">
        <v>633</v>
      </c>
      <c r="Q4" s="3486" t="s">
        <v>633</v>
      </c>
      <c r="R4" s="3486">
        <v>58165</v>
      </c>
      <c r="S4" s="3486">
        <v>58188</v>
      </c>
      <c r="T4" s="3486">
        <v>2701087</v>
      </c>
      <c r="U4" s="3488">
        <v>45657</v>
      </c>
    </row>
    <row r="5" spans="1:21" ht="34.799999999999997" thickBot="1">
      <c r="A5" s="3489">
        <v>4</v>
      </c>
      <c r="B5" s="3490" t="s">
        <v>3557</v>
      </c>
      <c r="C5" s="3489" t="s">
        <v>3573</v>
      </c>
      <c r="D5" s="3489" t="s">
        <v>3574</v>
      </c>
      <c r="E5" s="3489" t="s">
        <v>3425</v>
      </c>
      <c r="F5" s="3489" t="s">
        <v>3551</v>
      </c>
      <c r="G5" s="3489" t="s">
        <v>3436</v>
      </c>
      <c r="H5" s="3489" t="s">
        <v>3427</v>
      </c>
      <c r="I5" s="3489" t="s">
        <v>3434</v>
      </c>
      <c r="J5" s="3489">
        <v>81.93</v>
      </c>
      <c r="K5" s="3489" t="s">
        <v>3435</v>
      </c>
      <c r="L5" s="3489" t="s">
        <v>3437</v>
      </c>
      <c r="M5" s="3489">
        <v>13</v>
      </c>
      <c r="N5" s="3489" t="s">
        <v>633</v>
      </c>
      <c r="O5" s="3489">
        <v>2008</v>
      </c>
      <c r="P5" s="3489" t="s">
        <v>633</v>
      </c>
      <c r="Q5" s="3489" t="s">
        <v>633</v>
      </c>
      <c r="R5" s="3489">
        <v>78115</v>
      </c>
      <c r="S5" s="3489">
        <v>78332</v>
      </c>
      <c r="T5" s="3489">
        <v>6417741</v>
      </c>
      <c r="U5" s="3491">
        <v>45645</v>
      </c>
    </row>
    <row r="6" spans="1:21" ht="34.799999999999997" thickBot="1">
      <c r="A6" s="3486">
        <v>5</v>
      </c>
      <c r="B6" s="3487" t="s">
        <v>3557</v>
      </c>
      <c r="C6" s="3486" t="s">
        <v>3575</v>
      </c>
      <c r="D6" s="3486" t="s">
        <v>3566</v>
      </c>
      <c r="E6" s="3486" t="s">
        <v>3560</v>
      </c>
      <c r="F6" s="3486" t="s">
        <v>3576</v>
      </c>
      <c r="G6" s="3486" t="s">
        <v>3568</v>
      </c>
      <c r="H6" s="3486"/>
      <c r="I6" s="3486" t="s">
        <v>3434</v>
      </c>
      <c r="J6" s="3486">
        <v>121.73</v>
      </c>
      <c r="K6" s="3486" t="s">
        <v>3435</v>
      </c>
      <c r="L6" s="3486">
        <v>28</v>
      </c>
      <c r="M6" s="3486">
        <v>11</v>
      </c>
      <c r="N6" s="3486" t="s">
        <v>633</v>
      </c>
      <c r="O6" s="3486">
        <v>2010</v>
      </c>
      <c r="P6" s="3486" t="s">
        <v>633</v>
      </c>
      <c r="Q6" s="3486" t="s">
        <v>633</v>
      </c>
      <c r="R6" s="3486">
        <v>61612</v>
      </c>
      <c r="S6" s="3486">
        <v>61906</v>
      </c>
      <c r="T6" s="3486">
        <v>7535817</v>
      </c>
      <c r="U6" s="3488">
        <v>45637</v>
      </c>
    </row>
    <row r="7" spans="1:21" ht="34.799999999999997" thickBot="1">
      <c r="A7" s="3489">
        <v>6</v>
      </c>
      <c r="B7" s="3490" t="s">
        <v>3557</v>
      </c>
      <c r="C7" s="3489" t="s">
        <v>3577</v>
      </c>
      <c r="D7" s="3489" t="s">
        <v>3566</v>
      </c>
      <c r="E7" s="3489" t="s">
        <v>3560</v>
      </c>
      <c r="F7" s="3489" t="s">
        <v>3578</v>
      </c>
      <c r="G7" s="3489" t="s">
        <v>3579</v>
      </c>
      <c r="H7" s="3489"/>
      <c r="I7" s="3489" t="s">
        <v>3434</v>
      </c>
      <c r="J7" s="3489">
        <v>253.98</v>
      </c>
      <c r="K7" s="3489" t="s">
        <v>3429</v>
      </c>
      <c r="L7" s="3489" t="s">
        <v>3580</v>
      </c>
      <c r="M7" s="3489">
        <v>26</v>
      </c>
      <c r="N7" s="3489">
        <v>2003</v>
      </c>
      <c r="O7" s="3489" t="s">
        <v>633</v>
      </c>
      <c r="P7" s="3489" t="s">
        <v>633</v>
      </c>
      <c r="Q7" s="3489" t="s">
        <v>3581</v>
      </c>
      <c r="R7" s="3489">
        <v>72840</v>
      </c>
      <c r="S7" s="3489">
        <v>72988</v>
      </c>
      <c r="T7" s="3489">
        <v>18537492</v>
      </c>
      <c r="U7" s="3491">
        <v>45597</v>
      </c>
    </row>
    <row r="8" spans="1:21" ht="34.799999999999997" thickBot="1">
      <c r="A8" s="3486">
        <v>7</v>
      </c>
      <c r="B8" s="3487" t="s">
        <v>3557</v>
      </c>
      <c r="C8" s="3486" t="s">
        <v>3582</v>
      </c>
      <c r="D8" s="3486" t="s">
        <v>3583</v>
      </c>
      <c r="E8" s="3486" t="s">
        <v>3425</v>
      </c>
      <c r="F8" s="3486" t="s">
        <v>3584</v>
      </c>
      <c r="G8" s="3486" t="s">
        <v>3585</v>
      </c>
      <c r="H8" s="3486" t="s">
        <v>3427</v>
      </c>
      <c r="I8" s="3486" t="s">
        <v>3434</v>
      </c>
      <c r="J8" s="3486">
        <v>91.21</v>
      </c>
      <c r="K8" s="3486" t="s">
        <v>3586</v>
      </c>
      <c r="L8" s="3486" t="s">
        <v>3587</v>
      </c>
      <c r="M8" s="3486">
        <v>10</v>
      </c>
      <c r="N8" s="3486" t="s">
        <v>633</v>
      </c>
      <c r="O8" s="3486">
        <v>2013</v>
      </c>
      <c r="P8" s="3486" t="s">
        <v>633</v>
      </c>
      <c r="Q8" s="3486" t="s">
        <v>633</v>
      </c>
      <c r="R8" s="3486">
        <v>58656</v>
      </c>
      <c r="S8" s="3486">
        <v>59026</v>
      </c>
      <c r="T8" s="3486">
        <v>5383761</v>
      </c>
      <c r="U8" s="3488">
        <v>45574</v>
      </c>
    </row>
    <row r="9" spans="1:21" ht="34.799999999999997" thickBot="1">
      <c r="A9" s="3489">
        <v>8</v>
      </c>
      <c r="B9" s="3490" t="s">
        <v>3557</v>
      </c>
      <c r="C9" s="3489" t="s">
        <v>3588</v>
      </c>
      <c r="D9" s="3489" t="s">
        <v>3589</v>
      </c>
      <c r="E9" s="3489" t="s">
        <v>3560</v>
      </c>
      <c r="F9" s="3489" t="s">
        <v>3590</v>
      </c>
      <c r="G9" s="3489" t="s">
        <v>3568</v>
      </c>
      <c r="H9" s="3489" t="s">
        <v>3427</v>
      </c>
      <c r="I9" s="3489" t="s">
        <v>3434</v>
      </c>
      <c r="J9" s="3489">
        <v>209.37</v>
      </c>
      <c r="K9" s="3489" t="s">
        <v>3435</v>
      </c>
      <c r="L9" s="3489">
        <v>28</v>
      </c>
      <c r="M9" s="3489">
        <v>21</v>
      </c>
      <c r="N9" s="3489" t="s">
        <v>633</v>
      </c>
      <c r="O9" s="3489">
        <v>2010</v>
      </c>
      <c r="P9" s="3489" t="s">
        <v>633</v>
      </c>
      <c r="Q9" s="3489" t="s">
        <v>633</v>
      </c>
      <c r="R9" s="3489">
        <v>57315</v>
      </c>
      <c r="S9" s="3489">
        <v>57403</v>
      </c>
      <c r="T9" s="3489">
        <v>12018466</v>
      </c>
      <c r="U9" s="3491">
        <v>45518</v>
      </c>
    </row>
    <row r="10" spans="1:21" ht="34.799999999999997" thickBot="1">
      <c r="A10" s="3486">
        <v>9</v>
      </c>
      <c r="B10" s="3487" t="s">
        <v>3557</v>
      </c>
      <c r="C10" s="3486" t="s">
        <v>3591</v>
      </c>
      <c r="D10" s="3486" t="s">
        <v>3592</v>
      </c>
      <c r="E10" s="3486" t="s">
        <v>3560</v>
      </c>
      <c r="F10" s="3486" t="s">
        <v>3593</v>
      </c>
      <c r="G10" s="3486" t="s">
        <v>3594</v>
      </c>
      <c r="H10" s="3486" t="s">
        <v>3427</v>
      </c>
      <c r="I10" s="3486" t="s">
        <v>3434</v>
      </c>
      <c r="J10" s="3486">
        <v>125.72</v>
      </c>
      <c r="K10" s="3486" t="s">
        <v>3429</v>
      </c>
      <c r="L10" s="3486">
        <v>7</v>
      </c>
      <c r="M10" s="3486">
        <v>4</v>
      </c>
      <c r="N10" s="3486">
        <v>2003</v>
      </c>
      <c r="O10" s="3486" t="s">
        <v>633</v>
      </c>
      <c r="P10" s="3486" t="s">
        <v>633</v>
      </c>
      <c r="Q10" s="3486" t="s">
        <v>633</v>
      </c>
      <c r="R10" s="3486">
        <v>78746</v>
      </c>
      <c r="S10" s="3486">
        <v>78882</v>
      </c>
      <c r="T10" s="3486">
        <v>9917045</v>
      </c>
      <c r="U10" s="3488">
        <v>45490</v>
      </c>
    </row>
    <row r="11" spans="1:21" ht="34.799999999999997" thickBot="1">
      <c r="A11" s="3489">
        <v>10</v>
      </c>
      <c r="B11" s="3490" t="s">
        <v>3557</v>
      </c>
      <c r="C11" s="3489" t="s">
        <v>3595</v>
      </c>
      <c r="D11" s="3489" t="s">
        <v>3596</v>
      </c>
      <c r="E11" s="3489" t="s">
        <v>3425</v>
      </c>
      <c r="F11" s="3489" t="s">
        <v>3597</v>
      </c>
      <c r="G11" s="3489" t="s">
        <v>3598</v>
      </c>
      <c r="H11" s="3489" t="s">
        <v>3563</v>
      </c>
      <c r="I11" s="3489" t="s">
        <v>3434</v>
      </c>
      <c r="J11" s="3489">
        <v>79.89</v>
      </c>
      <c r="K11" s="3489" t="s">
        <v>3429</v>
      </c>
      <c r="L11" s="3489">
        <v>5</v>
      </c>
      <c r="M11" s="3489">
        <v>4</v>
      </c>
      <c r="N11" s="3489" t="s">
        <v>633</v>
      </c>
      <c r="O11" s="3489">
        <v>1993</v>
      </c>
      <c r="P11" s="3489" t="s">
        <v>633</v>
      </c>
      <c r="Q11" s="3489" t="s">
        <v>633</v>
      </c>
      <c r="R11" s="3489">
        <v>105645</v>
      </c>
      <c r="S11" s="3489">
        <v>100263</v>
      </c>
      <c r="T11" s="3489">
        <v>8010011</v>
      </c>
      <c r="U11" s="3491">
        <v>45479</v>
      </c>
    </row>
    <row r="12" spans="1:21" ht="34.799999999999997" thickBot="1">
      <c r="A12" s="3486">
        <v>11</v>
      </c>
      <c r="B12" s="3487" t="s">
        <v>3557</v>
      </c>
      <c r="C12" s="3486" t="s">
        <v>3599</v>
      </c>
      <c r="D12" s="3486" t="s">
        <v>3600</v>
      </c>
      <c r="E12" s="3486" t="s">
        <v>3560</v>
      </c>
      <c r="F12" s="3486" t="s">
        <v>3601</v>
      </c>
      <c r="G12" s="3486" t="s">
        <v>3568</v>
      </c>
      <c r="H12" s="3486" t="s">
        <v>3427</v>
      </c>
      <c r="I12" s="3486" t="s">
        <v>3434</v>
      </c>
      <c r="J12" s="3486">
        <v>158.12</v>
      </c>
      <c r="K12" s="3486" t="s">
        <v>3435</v>
      </c>
      <c r="L12" s="3486">
        <v>28</v>
      </c>
      <c r="M12" s="3486">
        <v>18</v>
      </c>
      <c r="N12" s="3486" t="s">
        <v>633</v>
      </c>
      <c r="O12" s="3486">
        <v>2010</v>
      </c>
      <c r="P12" s="3486" t="s">
        <v>633</v>
      </c>
      <c r="Q12" s="3486" t="s">
        <v>633</v>
      </c>
      <c r="R12" s="3486">
        <v>56919</v>
      </c>
      <c r="S12" s="3486">
        <v>56920</v>
      </c>
      <c r="T12" s="3486">
        <v>9000190</v>
      </c>
      <c r="U12" s="3488">
        <v>45469</v>
      </c>
    </row>
    <row r="13" spans="1:21" ht="34.799999999999997" thickBot="1">
      <c r="A13" s="3492">
        <v>12</v>
      </c>
      <c r="B13" s="3493" t="s">
        <v>3557</v>
      </c>
      <c r="C13" s="3492" t="s">
        <v>3602</v>
      </c>
      <c r="D13" s="3492" t="s">
        <v>3603</v>
      </c>
      <c r="E13" s="3492" t="s">
        <v>3425</v>
      </c>
      <c r="F13" s="3492" t="s">
        <v>3604</v>
      </c>
      <c r="G13" s="3492" t="s">
        <v>3585</v>
      </c>
      <c r="H13" s="3492" t="s">
        <v>3427</v>
      </c>
      <c r="I13" s="3492" t="s">
        <v>3434</v>
      </c>
      <c r="J13" s="3492">
        <v>50.77</v>
      </c>
      <c r="K13" s="3492" t="s">
        <v>3586</v>
      </c>
      <c r="L13" s="3492" t="s">
        <v>3605</v>
      </c>
      <c r="M13" s="3492">
        <v>6</v>
      </c>
      <c r="N13" s="3492">
        <v>2013</v>
      </c>
      <c r="O13" s="3492" t="s">
        <v>633</v>
      </c>
      <c r="P13" s="3492" t="s">
        <v>633</v>
      </c>
      <c r="Q13" s="3492" t="s">
        <v>633</v>
      </c>
      <c r="R13" s="3492">
        <v>0</v>
      </c>
      <c r="S13" s="3492">
        <v>68304</v>
      </c>
      <c r="T13" s="3492">
        <v>3467794</v>
      </c>
      <c r="U13" s="3494">
        <v>45468</v>
      </c>
    </row>
    <row r="14" spans="1:21" ht="34.799999999999997" thickBot="1">
      <c r="A14" s="3486">
        <v>13</v>
      </c>
      <c r="B14" s="3487" t="s">
        <v>3557</v>
      </c>
      <c r="C14" s="3486" t="s">
        <v>3606</v>
      </c>
      <c r="D14" s="3486" t="s">
        <v>3607</v>
      </c>
      <c r="E14" s="3486" t="s">
        <v>3560</v>
      </c>
      <c r="F14" s="3486" t="s">
        <v>3608</v>
      </c>
      <c r="G14" s="3486" t="s">
        <v>3579</v>
      </c>
      <c r="H14" s="3486" t="s">
        <v>3427</v>
      </c>
      <c r="I14" s="3486" t="s">
        <v>3434</v>
      </c>
      <c r="J14" s="3486">
        <v>272.19</v>
      </c>
      <c r="K14" s="3486" t="s">
        <v>3429</v>
      </c>
      <c r="L14" s="3486" t="s">
        <v>3609</v>
      </c>
      <c r="M14" s="3486">
        <v>13</v>
      </c>
      <c r="N14" s="3486">
        <v>2003</v>
      </c>
      <c r="O14" s="3486" t="s">
        <v>633</v>
      </c>
      <c r="P14" s="3486" t="s">
        <v>633</v>
      </c>
      <c r="Q14" s="3486" t="s">
        <v>633</v>
      </c>
      <c r="R14" s="3486">
        <v>69437</v>
      </c>
      <c r="S14" s="3486">
        <v>69699</v>
      </c>
      <c r="T14" s="3486">
        <v>18971371</v>
      </c>
      <c r="U14" s="3488">
        <v>45463</v>
      </c>
    </row>
    <row r="15" spans="1:21" ht="34.799999999999997" thickBot="1">
      <c r="A15" s="3489">
        <v>14</v>
      </c>
      <c r="B15" s="3490" t="s">
        <v>3557</v>
      </c>
      <c r="C15" s="3489" t="s">
        <v>3610</v>
      </c>
      <c r="D15" s="3489" t="s">
        <v>3611</v>
      </c>
      <c r="E15" s="3489" t="s">
        <v>3560</v>
      </c>
      <c r="F15" s="3489" t="s">
        <v>3612</v>
      </c>
      <c r="G15" s="3489" t="s">
        <v>3568</v>
      </c>
      <c r="H15" s="3489" t="s">
        <v>3613</v>
      </c>
      <c r="I15" s="3489" t="s">
        <v>3434</v>
      </c>
      <c r="J15" s="3489">
        <v>122.45</v>
      </c>
      <c r="K15" s="3489" t="s">
        <v>3435</v>
      </c>
      <c r="L15" s="3489">
        <v>28</v>
      </c>
      <c r="M15" s="3489">
        <v>21</v>
      </c>
      <c r="N15" s="3489" t="s">
        <v>633</v>
      </c>
      <c r="O15" s="3489">
        <v>2010</v>
      </c>
      <c r="P15" s="3489" t="s">
        <v>633</v>
      </c>
      <c r="Q15" s="3489" t="s">
        <v>633</v>
      </c>
      <c r="R15" s="3489">
        <v>0</v>
      </c>
      <c r="S15" s="3489">
        <v>65228</v>
      </c>
      <c r="T15" s="3489">
        <v>7987169</v>
      </c>
      <c r="U15" s="3491">
        <v>45436</v>
      </c>
    </row>
    <row r="16" spans="1:21" ht="34.799999999999997" thickBot="1">
      <c r="A16" s="3486">
        <v>15</v>
      </c>
      <c r="B16" s="3487" t="s">
        <v>3557</v>
      </c>
      <c r="C16" s="3486" t="s">
        <v>3614</v>
      </c>
      <c r="D16" s="3486" t="s">
        <v>3615</v>
      </c>
      <c r="E16" s="3486" t="s">
        <v>3425</v>
      </c>
      <c r="F16" s="3486" t="s">
        <v>3616</v>
      </c>
      <c r="G16" s="3486" t="s">
        <v>3426</v>
      </c>
      <c r="H16" s="3486" t="s">
        <v>3427</v>
      </c>
      <c r="I16" s="3486" t="s">
        <v>3428</v>
      </c>
      <c r="J16" s="3486">
        <v>78.42</v>
      </c>
      <c r="K16" s="3486" t="s">
        <v>3429</v>
      </c>
      <c r="L16" s="3486" t="s">
        <v>3430</v>
      </c>
      <c r="M16" s="3486">
        <v>13</v>
      </c>
      <c r="N16" s="3486" t="s">
        <v>633</v>
      </c>
      <c r="O16" s="3486">
        <v>1990</v>
      </c>
      <c r="P16" s="3486" t="s">
        <v>633</v>
      </c>
      <c r="Q16" s="3486" t="s">
        <v>633</v>
      </c>
      <c r="R16" s="3486">
        <v>82249</v>
      </c>
      <c r="S16" s="3486">
        <v>82425</v>
      </c>
      <c r="T16" s="3486">
        <v>6463769</v>
      </c>
      <c r="U16" s="3488">
        <v>45407</v>
      </c>
    </row>
    <row r="17" spans="1:21" ht="34.799999999999997" thickBot="1">
      <c r="A17" s="3496">
        <v>16</v>
      </c>
      <c r="B17" s="3497" t="s">
        <v>3557</v>
      </c>
      <c r="C17" s="3496" t="s">
        <v>3617</v>
      </c>
      <c r="D17" s="3496" t="s">
        <v>3618</v>
      </c>
      <c r="E17" s="3496" t="s">
        <v>3425</v>
      </c>
      <c r="F17" s="3496" t="s">
        <v>3619</v>
      </c>
      <c r="G17" s="3496" t="s">
        <v>3426</v>
      </c>
      <c r="H17" s="3496" t="s">
        <v>3431</v>
      </c>
      <c r="I17" s="3496" t="s">
        <v>3428</v>
      </c>
      <c r="J17" s="3496">
        <v>64.67</v>
      </c>
      <c r="K17" s="3496" t="s">
        <v>3429</v>
      </c>
      <c r="L17" s="3496">
        <v>16</v>
      </c>
      <c r="M17" s="3496">
        <v>10</v>
      </c>
      <c r="N17" s="3496" t="s">
        <v>633</v>
      </c>
      <c r="O17" s="3496">
        <v>1990</v>
      </c>
      <c r="P17" s="3496" t="s">
        <v>633</v>
      </c>
      <c r="Q17" s="3496" t="s">
        <v>633</v>
      </c>
      <c r="R17" s="3496">
        <v>79635</v>
      </c>
      <c r="S17" s="3496">
        <v>79852</v>
      </c>
      <c r="T17" s="3496">
        <v>5164029</v>
      </c>
      <c r="U17" s="3498">
        <v>45374</v>
      </c>
    </row>
    <row r="18" spans="1:21" ht="34.799999999999997" thickBot="1">
      <c r="A18" s="3489">
        <v>17</v>
      </c>
      <c r="B18" s="3490" t="s">
        <v>3557</v>
      </c>
      <c r="C18" s="3489" t="s">
        <v>3620</v>
      </c>
      <c r="D18" s="3489" t="s">
        <v>3621</v>
      </c>
      <c r="E18" s="3489" t="s">
        <v>3425</v>
      </c>
      <c r="F18" s="3489" t="s">
        <v>3622</v>
      </c>
      <c r="G18" s="3489" t="s">
        <v>3585</v>
      </c>
      <c r="H18" s="3489" t="s">
        <v>3427</v>
      </c>
      <c r="I18" s="3489" t="s">
        <v>3434</v>
      </c>
      <c r="J18" s="3489">
        <v>50.77</v>
      </c>
      <c r="K18" s="3489" t="s">
        <v>3586</v>
      </c>
      <c r="L18" s="3489" t="s">
        <v>3605</v>
      </c>
      <c r="M18" s="3489">
        <v>8</v>
      </c>
      <c r="N18" s="3489" t="s">
        <v>633</v>
      </c>
      <c r="O18" s="3489">
        <v>2013</v>
      </c>
      <c r="P18" s="3489" t="s">
        <v>633</v>
      </c>
      <c r="Q18" s="3489" t="s">
        <v>633</v>
      </c>
      <c r="R18" s="3489">
        <v>72878</v>
      </c>
      <c r="S18" s="3489">
        <v>73177</v>
      </c>
      <c r="T18" s="3489">
        <v>3715196</v>
      </c>
      <c r="U18" s="3491">
        <v>45364</v>
      </c>
    </row>
    <row r="19" spans="1:21" ht="46.2" thickBot="1">
      <c r="A19" s="3486">
        <v>18</v>
      </c>
      <c r="B19" s="3487" t="s">
        <v>3557</v>
      </c>
      <c r="C19" s="3486" t="s">
        <v>3623</v>
      </c>
      <c r="D19" s="3486" t="s">
        <v>3624</v>
      </c>
      <c r="E19" s="3486" t="s">
        <v>3560</v>
      </c>
      <c r="F19" s="3486" t="s">
        <v>3625</v>
      </c>
      <c r="G19" s="3486" t="s">
        <v>3594</v>
      </c>
      <c r="H19" s="3486" t="s">
        <v>3626</v>
      </c>
      <c r="I19" s="3486" t="s">
        <v>3434</v>
      </c>
      <c r="J19" s="3486">
        <v>213.93</v>
      </c>
      <c r="K19" s="3486" t="s">
        <v>3429</v>
      </c>
      <c r="L19" s="3486">
        <v>21</v>
      </c>
      <c r="M19" s="3486">
        <v>10</v>
      </c>
      <c r="N19" s="3486">
        <v>2003</v>
      </c>
      <c r="O19" s="3486" t="s">
        <v>633</v>
      </c>
      <c r="P19" s="3486" t="s">
        <v>633</v>
      </c>
      <c r="Q19" s="3486" t="s">
        <v>633</v>
      </c>
      <c r="R19" s="3486">
        <v>0</v>
      </c>
      <c r="S19" s="3486">
        <v>77258</v>
      </c>
      <c r="T19" s="3486">
        <v>16527804</v>
      </c>
      <c r="U19" s="3488">
        <v>45356</v>
      </c>
    </row>
    <row r="20" spans="1:21" ht="34.799999999999997" thickBot="1">
      <c r="A20" s="3489">
        <v>19</v>
      </c>
      <c r="B20" s="3490" t="s">
        <v>3557</v>
      </c>
      <c r="C20" s="3489" t="s">
        <v>3627</v>
      </c>
      <c r="D20" s="3489" t="s">
        <v>3628</v>
      </c>
      <c r="E20" s="3489" t="s">
        <v>3425</v>
      </c>
      <c r="F20" s="3489" t="s">
        <v>3629</v>
      </c>
      <c r="G20" s="3489" t="s">
        <v>3436</v>
      </c>
      <c r="H20" s="3489"/>
      <c r="I20" s="3489" t="s">
        <v>3434</v>
      </c>
      <c r="J20" s="3489">
        <v>124.68</v>
      </c>
      <c r="K20" s="3489" t="s">
        <v>3435</v>
      </c>
      <c r="L20" s="3489" t="s">
        <v>3437</v>
      </c>
      <c r="M20" s="3489">
        <v>8</v>
      </c>
      <c r="N20" s="3489">
        <v>2008</v>
      </c>
      <c r="O20" s="3489" t="s">
        <v>633</v>
      </c>
      <c r="P20" s="3489" t="s">
        <v>633</v>
      </c>
      <c r="Q20" s="3489" t="s">
        <v>633</v>
      </c>
      <c r="R20" s="3489">
        <v>0</v>
      </c>
      <c r="S20" s="3489">
        <v>80019</v>
      </c>
      <c r="T20" s="3489">
        <v>9976769</v>
      </c>
      <c r="U20" s="3491">
        <v>45352</v>
      </c>
    </row>
    <row r="21" spans="1:21" ht="34.799999999999997" thickBot="1">
      <c r="A21" s="3486">
        <v>20</v>
      </c>
      <c r="B21" s="3487" t="s">
        <v>3557</v>
      </c>
      <c r="C21" s="3486" t="s">
        <v>3630</v>
      </c>
      <c r="D21" s="3486" t="s">
        <v>3631</v>
      </c>
      <c r="E21" s="3486" t="s">
        <v>3560</v>
      </c>
      <c r="F21" s="3486" t="s">
        <v>3632</v>
      </c>
      <c r="G21" s="3486" t="s">
        <v>3568</v>
      </c>
      <c r="H21" s="3486" t="s">
        <v>3626</v>
      </c>
      <c r="I21" s="3486" t="s">
        <v>3434</v>
      </c>
      <c r="J21" s="3486">
        <v>182.02</v>
      </c>
      <c r="K21" s="3486" t="s">
        <v>3435</v>
      </c>
      <c r="L21" s="3486">
        <v>28</v>
      </c>
      <c r="M21" s="3486">
        <v>20</v>
      </c>
      <c r="N21" s="3486" t="s">
        <v>633</v>
      </c>
      <c r="O21" s="3486">
        <v>2010</v>
      </c>
      <c r="P21" s="3486" t="s">
        <v>633</v>
      </c>
      <c r="Q21" s="3486" t="s">
        <v>633</v>
      </c>
      <c r="R21" s="3486">
        <v>68124</v>
      </c>
      <c r="S21" s="3486">
        <v>66521</v>
      </c>
      <c r="T21" s="3486">
        <v>12108152</v>
      </c>
      <c r="U21" s="3488">
        <v>45353</v>
      </c>
    </row>
    <row r="22" spans="1:21" ht="46.2" thickBot="1">
      <c r="A22" s="3492">
        <v>21</v>
      </c>
      <c r="B22" s="3493" t="s">
        <v>3557</v>
      </c>
      <c r="C22" s="3492" t="s">
        <v>3633</v>
      </c>
      <c r="D22" s="3492" t="s">
        <v>3634</v>
      </c>
      <c r="E22" s="3492" t="s">
        <v>3560</v>
      </c>
      <c r="F22" s="3492" t="s">
        <v>3635</v>
      </c>
      <c r="G22" s="3492" t="s">
        <v>3594</v>
      </c>
      <c r="H22" s="3492" t="s">
        <v>3626</v>
      </c>
      <c r="I22" s="3492" t="s">
        <v>3434</v>
      </c>
      <c r="J22" s="3492">
        <v>155.55000000000001</v>
      </c>
      <c r="K22" s="3492" t="s">
        <v>3429</v>
      </c>
      <c r="L22" s="3492" t="s">
        <v>3636</v>
      </c>
      <c r="M22" s="3492">
        <v>11</v>
      </c>
      <c r="N22" s="3492">
        <v>2003</v>
      </c>
      <c r="O22" s="3492" t="s">
        <v>633</v>
      </c>
      <c r="P22" s="3492" t="s">
        <v>633</v>
      </c>
      <c r="Q22" s="3492" t="s">
        <v>633</v>
      </c>
      <c r="R22" s="3492">
        <v>87946</v>
      </c>
      <c r="S22" s="3492">
        <v>81649</v>
      </c>
      <c r="T22" s="3492">
        <v>12700502</v>
      </c>
      <c r="U22" s="3494">
        <v>45355</v>
      </c>
    </row>
    <row r="23" spans="1:21" ht="34.799999999999997" thickBot="1">
      <c r="A23" s="3496">
        <v>1</v>
      </c>
      <c r="B23" s="3497" t="s">
        <v>3557</v>
      </c>
      <c r="C23" s="3496" t="s">
        <v>3637</v>
      </c>
      <c r="D23" s="3496" t="s">
        <v>3624</v>
      </c>
      <c r="E23" s="3496" t="s">
        <v>3425</v>
      </c>
      <c r="F23" s="3496" t="s">
        <v>3638</v>
      </c>
      <c r="G23" s="3496" t="s">
        <v>3639</v>
      </c>
      <c r="H23" s="3496"/>
      <c r="I23" s="3496" t="s">
        <v>3434</v>
      </c>
      <c r="J23" s="3496">
        <v>58.4</v>
      </c>
      <c r="K23" s="3496" t="s">
        <v>3429</v>
      </c>
      <c r="L23" s="3496">
        <v>7</v>
      </c>
      <c r="M23" s="3496">
        <v>6</v>
      </c>
      <c r="N23" s="3496" t="s">
        <v>633</v>
      </c>
      <c r="O23" s="3496">
        <v>1990</v>
      </c>
      <c r="P23" s="3496" t="s">
        <v>633</v>
      </c>
      <c r="Q23" s="3496" t="s">
        <v>633</v>
      </c>
      <c r="R23" s="3496">
        <v>75000</v>
      </c>
      <c r="S23" s="3496">
        <v>75218</v>
      </c>
      <c r="T23" s="3496">
        <v>4392731</v>
      </c>
      <c r="U23" s="3498">
        <v>45698</v>
      </c>
    </row>
    <row r="24" spans="1:21" s="3502" customFormat="1" ht="34.799999999999997" thickBot="1">
      <c r="A24" s="3503">
        <v>2</v>
      </c>
      <c r="B24" s="3504" t="s">
        <v>3557</v>
      </c>
      <c r="C24" s="3503" t="s">
        <v>3640</v>
      </c>
      <c r="D24" s="3503" t="s">
        <v>3641</v>
      </c>
      <c r="E24" s="3503" t="s">
        <v>3425</v>
      </c>
      <c r="F24" s="3503" t="s">
        <v>3642</v>
      </c>
      <c r="G24" s="3503" t="s">
        <v>3639</v>
      </c>
      <c r="H24" s="3503" t="s">
        <v>3563</v>
      </c>
      <c r="I24" s="3503" t="s">
        <v>3434</v>
      </c>
      <c r="J24" s="3503">
        <v>38.75</v>
      </c>
      <c r="K24" s="3503" t="s">
        <v>3429</v>
      </c>
      <c r="L24" s="3503">
        <v>7</v>
      </c>
      <c r="M24" s="3503">
        <v>5</v>
      </c>
      <c r="N24" s="3503" t="s">
        <v>633</v>
      </c>
      <c r="O24" s="3503">
        <v>1989</v>
      </c>
      <c r="P24" s="3503" t="s">
        <v>633</v>
      </c>
      <c r="Q24" s="3503" t="s">
        <v>633</v>
      </c>
      <c r="R24" s="3503">
        <v>93161</v>
      </c>
      <c r="S24" s="3503">
        <v>93438</v>
      </c>
      <c r="T24" s="3503">
        <v>3620723</v>
      </c>
      <c r="U24" s="3505">
        <v>45675</v>
      </c>
    </row>
    <row r="25" spans="1:21" ht="34.799999999999997" thickBot="1">
      <c r="A25" s="3486">
        <v>3</v>
      </c>
      <c r="B25" s="3487" t="s">
        <v>3557</v>
      </c>
      <c r="C25" s="3486" t="s">
        <v>3643</v>
      </c>
      <c r="D25" s="3486" t="s">
        <v>3644</v>
      </c>
      <c r="E25" s="3486" t="s">
        <v>3425</v>
      </c>
      <c r="F25" s="3486" t="s">
        <v>3645</v>
      </c>
      <c r="G25" s="3486" t="s">
        <v>3639</v>
      </c>
      <c r="H25" s="3486" t="s">
        <v>3427</v>
      </c>
      <c r="I25" s="3486" t="s">
        <v>3434</v>
      </c>
      <c r="J25" s="3486">
        <v>41.64</v>
      </c>
      <c r="K25" s="3486" t="s">
        <v>3429</v>
      </c>
      <c r="L25" s="3486">
        <v>7</v>
      </c>
      <c r="M25" s="3486">
        <v>2</v>
      </c>
      <c r="N25" s="3486" t="s">
        <v>633</v>
      </c>
      <c r="O25" s="3486">
        <v>1990</v>
      </c>
      <c r="P25" s="3486" t="s">
        <v>633</v>
      </c>
      <c r="Q25" s="3486" t="s">
        <v>633</v>
      </c>
      <c r="R25" s="3486">
        <v>88761</v>
      </c>
      <c r="S25" s="3486">
        <v>88958</v>
      </c>
      <c r="T25" s="3486">
        <v>3704211</v>
      </c>
      <c r="U25" s="3488">
        <v>45626</v>
      </c>
    </row>
    <row r="26" spans="1:21" ht="34.799999999999997" thickBot="1">
      <c r="A26" s="3489">
        <v>4</v>
      </c>
      <c r="B26" s="3490" t="s">
        <v>3557</v>
      </c>
      <c r="C26" s="3489" t="s">
        <v>3646</v>
      </c>
      <c r="D26" s="3489" t="s">
        <v>3647</v>
      </c>
      <c r="E26" s="3489" t="s">
        <v>3425</v>
      </c>
      <c r="F26" s="3489" t="s">
        <v>3648</v>
      </c>
      <c r="G26" s="3489" t="s">
        <v>3639</v>
      </c>
      <c r="H26" s="3489" t="s">
        <v>3427</v>
      </c>
      <c r="I26" s="3489" t="s">
        <v>3434</v>
      </c>
      <c r="J26" s="3489">
        <v>44.71</v>
      </c>
      <c r="K26" s="3489" t="s">
        <v>3429</v>
      </c>
      <c r="L26" s="3489">
        <v>7</v>
      </c>
      <c r="M26" s="3489">
        <v>3</v>
      </c>
      <c r="N26" s="3489" t="s">
        <v>633</v>
      </c>
      <c r="O26" s="3489">
        <v>1990</v>
      </c>
      <c r="P26" s="3489" t="s">
        <v>633</v>
      </c>
      <c r="Q26" s="3489" t="s">
        <v>633</v>
      </c>
      <c r="R26" s="3489">
        <v>78461</v>
      </c>
      <c r="S26" s="3489">
        <v>78631</v>
      </c>
      <c r="T26" s="3489">
        <v>3515592</v>
      </c>
      <c r="U26" s="3491">
        <v>45629</v>
      </c>
    </row>
    <row r="27" spans="1:21" ht="34.799999999999997" thickBot="1">
      <c r="A27" s="3486">
        <v>5</v>
      </c>
      <c r="B27" s="3487" t="s">
        <v>3557</v>
      </c>
      <c r="C27" s="3486" t="s">
        <v>3649</v>
      </c>
      <c r="D27" s="3486" t="s">
        <v>3650</v>
      </c>
      <c r="E27" s="3486" t="s">
        <v>3425</v>
      </c>
      <c r="F27" s="3486" t="s">
        <v>3651</v>
      </c>
      <c r="G27" s="3486" t="s">
        <v>3639</v>
      </c>
      <c r="H27" s="3486" t="s">
        <v>3427</v>
      </c>
      <c r="I27" s="3486" t="s">
        <v>3434</v>
      </c>
      <c r="J27" s="3486">
        <v>58.61</v>
      </c>
      <c r="K27" s="3486" t="s">
        <v>3429</v>
      </c>
      <c r="L27" s="3486">
        <v>7</v>
      </c>
      <c r="M27" s="3486">
        <v>2</v>
      </c>
      <c r="N27" s="3486" t="s">
        <v>633</v>
      </c>
      <c r="O27" s="3486">
        <v>1990</v>
      </c>
      <c r="P27" s="3486" t="s">
        <v>633</v>
      </c>
      <c r="Q27" s="3486" t="s">
        <v>633</v>
      </c>
      <c r="R27" s="3486">
        <v>90258</v>
      </c>
      <c r="S27" s="3486">
        <v>90326</v>
      </c>
      <c r="T27" s="3486">
        <v>5294007</v>
      </c>
      <c r="U27" s="3488">
        <v>45616</v>
      </c>
    </row>
    <row r="28" spans="1:21" ht="34.799999999999997" thickBot="1">
      <c r="A28" s="3489">
        <v>6</v>
      </c>
      <c r="B28" s="3490" t="s">
        <v>3557</v>
      </c>
      <c r="C28" s="3489" t="s">
        <v>3652</v>
      </c>
      <c r="D28" s="3489" t="s">
        <v>3653</v>
      </c>
      <c r="E28" s="3489" t="s">
        <v>3425</v>
      </c>
      <c r="F28" s="3489" t="s">
        <v>3654</v>
      </c>
      <c r="G28" s="3489" t="s">
        <v>3639</v>
      </c>
      <c r="H28" s="3489" t="s">
        <v>3427</v>
      </c>
      <c r="I28" s="3489" t="s">
        <v>3434</v>
      </c>
      <c r="J28" s="3489">
        <v>40.51</v>
      </c>
      <c r="K28" s="3489" t="s">
        <v>3429</v>
      </c>
      <c r="L28" s="3489">
        <v>7</v>
      </c>
      <c r="M28" s="3489">
        <v>1</v>
      </c>
      <c r="N28" s="3489" t="s">
        <v>633</v>
      </c>
      <c r="O28" s="3489">
        <v>1990</v>
      </c>
      <c r="P28" s="3489" t="s">
        <v>633</v>
      </c>
      <c r="Q28" s="3489" t="s">
        <v>633</v>
      </c>
      <c r="R28" s="3489">
        <v>80474</v>
      </c>
      <c r="S28" s="3489">
        <v>80504</v>
      </c>
      <c r="T28" s="3489">
        <v>3261217</v>
      </c>
      <c r="U28" s="3491">
        <v>45615</v>
      </c>
    </row>
    <row r="29" spans="1:21" ht="34.799999999999997" thickBot="1">
      <c r="A29" s="3486">
        <v>7</v>
      </c>
      <c r="B29" s="3487" t="s">
        <v>3557</v>
      </c>
      <c r="C29" s="3486" t="s">
        <v>3655</v>
      </c>
      <c r="D29" s="3486" t="s">
        <v>3656</v>
      </c>
      <c r="E29" s="3486" t="s">
        <v>3425</v>
      </c>
      <c r="F29" s="3486" t="s">
        <v>3657</v>
      </c>
      <c r="G29" s="3486" t="s">
        <v>3639</v>
      </c>
      <c r="H29" s="3486" t="s">
        <v>3427</v>
      </c>
      <c r="I29" s="3486" t="s">
        <v>3428</v>
      </c>
      <c r="J29" s="3486">
        <v>58.61</v>
      </c>
      <c r="K29" s="3486" t="s">
        <v>3429</v>
      </c>
      <c r="L29" s="3486">
        <v>7</v>
      </c>
      <c r="M29" s="3486">
        <v>3</v>
      </c>
      <c r="N29" s="3486" t="s">
        <v>633</v>
      </c>
      <c r="O29" s="3486">
        <v>1990</v>
      </c>
      <c r="P29" s="3486" t="s">
        <v>633</v>
      </c>
      <c r="Q29" s="3486" t="s">
        <v>633</v>
      </c>
      <c r="R29" s="3486">
        <v>81044</v>
      </c>
      <c r="S29" s="3486">
        <v>81657</v>
      </c>
      <c r="T29" s="3486">
        <v>4785917</v>
      </c>
      <c r="U29" s="3488">
        <v>45581</v>
      </c>
    </row>
    <row r="30" spans="1:21" ht="23.4" thickBot="1">
      <c r="A30" s="3489">
        <v>8</v>
      </c>
      <c r="B30" s="3490" t="s">
        <v>3557</v>
      </c>
      <c r="C30" s="3489" t="s">
        <v>3658</v>
      </c>
      <c r="D30" s="3489" t="s">
        <v>3659</v>
      </c>
      <c r="E30" s="3489" t="s">
        <v>3425</v>
      </c>
      <c r="F30" s="3489" t="s">
        <v>3660</v>
      </c>
      <c r="G30" s="3489" t="s">
        <v>3639</v>
      </c>
      <c r="H30" s="3489" t="s">
        <v>3427</v>
      </c>
      <c r="I30" s="3489" t="s">
        <v>3434</v>
      </c>
      <c r="J30" s="3489">
        <v>58.53</v>
      </c>
      <c r="K30" s="3489" t="s">
        <v>3429</v>
      </c>
      <c r="L30" s="3489">
        <v>7</v>
      </c>
      <c r="M30" s="3489">
        <v>6</v>
      </c>
      <c r="N30" s="3489" t="s">
        <v>633</v>
      </c>
      <c r="O30" s="3489">
        <v>1990</v>
      </c>
      <c r="P30" s="3489" t="s">
        <v>633</v>
      </c>
      <c r="Q30" s="3489" t="s">
        <v>633</v>
      </c>
      <c r="R30" s="3489">
        <v>71331</v>
      </c>
      <c r="S30" s="3489">
        <v>71532</v>
      </c>
      <c r="T30" s="3489">
        <v>4186768</v>
      </c>
      <c r="U30" s="3491">
        <v>45631</v>
      </c>
    </row>
    <row r="31" spans="1:21" ht="34.799999999999997" thickBot="1">
      <c r="A31" s="3486">
        <v>9</v>
      </c>
      <c r="B31" s="3487" t="s">
        <v>3557</v>
      </c>
      <c r="C31" s="3486" t="s">
        <v>3661</v>
      </c>
      <c r="D31" s="3486" t="s">
        <v>3662</v>
      </c>
      <c r="E31" s="3486" t="s">
        <v>3425</v>
      </c>
      <c r="F31" s="3486" t="s">
        <v>3663</v>
      </c>
      <c r="G31" s="3486" t="s">
        <v>3639</v>
      </c>
      <c r="H31" s="3486" t="s">
        <v>3427</v>
      </c>
      <c r="I31" s="3486" t="s">
        <v>3434</v>
      </c>
      <c r="J31" s="3486">
        <v>44.71</v>
      </c>
      <c r="K31" s="3486" t="s">
        <v>3429</v>
      </c>
      <c r="L31" s="3486">
        <v>7</v>
      </c>
      <c r="M31" s="3486">
        <v>2</v>
      </c>
      <c r="N31" s="3486" t="s">
        <v>633</v>
      </c>
      <c r="O31" s="3486">
        <v>1990</v>
      </c>
      <c r="P31" s="3486" t="s">
        <v>633</v>
      </c>
      <c r="Q31" s="3486" t="s">
        <v>633</v>
      </c>
      <c r="R31" s="3486">
        <v>79535</v>
      </c>
      <c r="S31" s="3486">
        <v>80207</v>
      </c>
      <c r="T31" s="3486">
        <v>3586055</v>
      </c>
      <c r="U31" s="3488">
        <v>45512</v>
      </c>
    </row>
    <row r="32" spans="1:21" ht="34.799999999999997" thickBot="1">
      <c r="A32" s="3492">
        <v>10</v>
      </c>
      <c r="B32" s="3493" t="s">
        <v>3557</v>
      </c>
      <c r="C32" s="3492" t="s">
        <v>3664</v>
      </c>
      <c r="D32" s="3492" t="s">
        <v>3665</v>
      </c>
      <c r="E32" s="3492" t="s">
        <v>3425</v>
      </c>
      <c r="F32" s="3492" t="s">
        <v>3666</v>
      </c>
      <c r="G32" s="3492" t="s">
        <v>3639</v>
      </c>
      <c r="H32" s="3492" t="s">
        <v>3626</v>
      </c>
      <c r="I32" s="3492" t="s">
        <v>3434</v>
      </c>
      <c r="J32" s="3492">
        <v>44.71</v>
      </c>
      <c r="K32" s="3492" t="s">
        <v>3429</v>
      </c>
      <c r="L32" s="3492">
        <v>7</v>
      </c>
      <c r="M32" s="3492">
        <v>4</v>
      </c>
      <c r="N32" s="3492" t="s">
        <v>633</v>
      </c>
      <c r="O32" s="3492">
        <v>1990</v>
      </c>
      <c r="P32" s="3492" t="s">
        <v>633</v>
      </c>
      <c r="Q32" s="3492" t="s">
        <v>633</v>
      </c>
      <c r="R32" s="3492">
        <v>77164</v>
      </c>
      <c r="S32" s="3492">
        <v>77251</v>
      </c>
      <c r="T32" s="3492">
        <v>3453892</v>
      </c>
      <c r="U32" s="3494">
        <v>45533</v>
      </c>
    </row>
    <row r="33" spans="1:21" ht="34.799999999999997" thickBot="1">
      <c r="A33" s="3486">
        <v>11</v>
      </c>
      <c r="B33" s="3487" t="s">
        <v>3557</v>
      </c>
      <c r="C33" s="3486" t="s">
        <v>3667</v>
      </c>
      <c r="D33" s="3486" t="s">
        <v>3668</v>
      </c>
      <c r="E33" s="3486" t="s">
        <v>3425</v>
      </c>
      <c r="F33" s="3486" t="s">
        <v>3669</v>
      </c>
      <c r="G33" s="3486" t="s">
        <v>3639</v>
      </c>
      <c r="H33" s="3486" t="s">
        <v>3626</v>
      </c>
      <c r="I33" s="3486" t="s">
        <v>3434</v>
      </c>
      <c r="J33" s="3486">
        <v>38.950000000000003</v>
      </c>
      <c r="K33" s="3486" t="s">
        <v>3429</v>
      </c>
      <c r="L33" s="3486">
        <v>7</v>
      </c>
      <c r="M33" s="3486">
        <v>4</v>
      </c>
      <c r="N33" s="3486" t="s">
        <v>633</v>
      </c>
      <c r="O33" s="3486">
        <v>1990</v>
      </c>
      <c r="P33" s="3486" t="s">
        <v>633</v>
      </c>
      <c r="Q33" s="3486" t="s">
        <v>633</v>
      </c>
      <c r="R33" s="3486">
        <v>95507</v>
      </c>
      <c r="S33" s="3486">
        <v>95586</v>
      </c>
      <c r="T33" s="3486">
        <v>3723075</v>
      </c>
      <c r="U33" s="3488">
        <v>45469</v>
      </c>
    </row>
    <row r="34" spans="1:21" s="3502" customFormat="1" ht="34.799999999999997" thickBot="1">
      <c r="A34" s="3499">
        <v>1</v>
      </c>
      <c r="B34" s="3500" t="s">
        <v>3557</v>
      </c>
      <c r="C34" s="3499" t="s">
        <v>3670</v>
      </c>
      <c r="D34" s="3499" t="s">
        <v>3671</v>
      </c>
      <c r="E34" s="3499" t="s">
        <v>3425</v>
      </c>
      <c r="F34" s="3499" t="s">
        <v>3683</v>
      </c>
      <c r="G34" s="3499" t="s">
        <v>3672</v>
      </c>
      <c r="H34" s="3499" t="s">
        <v>3427</v>
      </c>
      <c r="I34" s="3499" t="s">
        <v>3434</v>
      </c>
      <c r="J34" s="3499">
        <v>72.38</v>
      </c>
      <c r="K34" s="3499" t="s">
        <v>3429</v>
      </c>
      <c r="L34" s="3499">
        <v>5</v>
      </c>
      <c r="M34" s="3499">
        <v>2</v>
      </c>
      <c r="N34" s="3499" t="s">
        <v>633</v>
      </c>
      <c r="O34" s="3499">
        <v>1979</v>
      </c>
      <c r="P34" s="3499" t="s">
        <v>633</v>
      </c>
      <c r="Q34" s="3499" t="s">
        <v>633</v>
      </c>
      <c r="R34" s="3499">
        <v>96850</v>
      </c>
      <c r="S34" s="3499">
        <v>96936</v>
      </c>
      <c r="T34" s="3499">
        <v>7016228</v>
      </c>
      <c r="U34" s="3501">
        <v>45596</v>
      </c>
    </row>
    <row r="35" spans="1:21" ht="34.799999999999997" thickBot="1">
      <c r="A35" s="3489">
        <v>2</v>
      </c>
      <c r="B35" s="3490" t="s">
        <v>3557</v>
      </c>
      <c r="C35" s="3489" t="s">
        <v>3673</v>
      </c>
      <c r="D35" s="3489" t="s">
        <v>3674</v>
      </c>
      <c r="E35" s="3489" t="s">
        <v>3425</v>
      </c>
      <c r="F35" s="3489" t="s">
        <v>3675</v>
      </c>
      <c r="G35" s="3489" t="s">
        <v>3672</v>
      </c>
      <c r="H35" s="3489" t="s">
        <v>3427</v>
      </c>
      <c r="I35" s="3489" t="s">
        <v>3434</v>
      </c>
      <c r="J35" s="3489">
        <v>51.05</v>
      </c>
      <c r="K35" s="3489" t="s">
        <v>3429</v>
      </c>
      <c r="L35" s="3489">
        <v>6</v>
      </c>
      <c r="M35" s="3489">
        <v>6</v>
      </c>
      <c r="N35" s="3489" t="s">
        <v>633</v>
      </c>
      <c r="O35" s="3489">
        <v>1979</v>
      </c>
      <c r="P35" s="3489" t="s">
        <v>633</v>
      </c>
      <c r="Q35" s="3489" t="s">
        <v>633</v>
      </c>
      <c r="R35" s="3489">
        <v>77649</v>
      </c>
      <c r="S35" s="3489">
        <v>78646</v>
      </c>
      <c r="T35" s="3489">
        <v>4014878</v>
      </c>
      <c r="U35" s="3491">
        <v>45588</v>
      </c>
    </row>
    <row r="36" spans="1:21" ht="34.799999999999997" thickBot="1">
      <c r="A36" s="3492">
        <v>3</v>
      </c>
      <c r="B36" s="3493" t="s">
        <v>3557</v>
      </c>
      <c r="C36" s="3492" t="s">
        <v>3676</v>
      </c>
      <c r="D36" s="3492" t="s">
        <v>3677</v>
      </c>
      <c r="E36" s="3492" t="s">
        <v>3425</v>
      </c>
      <c r="F36" s="3492" t="s">
        <v>3678</v>
      </c>
      <c r="G36" s="3492" t="s">
        <v>3672</v>
      </c>
      <c r="H36" s="3492" t="s">
        <v>3427</v>
      </c>
      <c r="I36" s="3492" t="s">
        <v>3434</v>
      </c>
      <c r="J36" s="3492">
        <v>38.46</v>
      </c>
      <c r="K36" s="3492" t="s">
        <v>3429</v>
      </c>
      <c r="L36" s="3492">
        <v>5</v>
      </c>
      <c r="M36" s="3492">
        <v>2</v>
      </c>
      <c r="N36" s="3492" t="s">
        <v>633</v>
      </c>
      <c r="O36" s="3492">
        <v>1979</v>
      </c>
      <c r="P36" s="3492" t="s">
        <v>633</v>
      </c>
      <c r="Q36" s="3492" t="s">
        <v>633</v>
      </c>
      <c r="R36" s="3492">
        <v>103900</v>
      </c>
      <c r="S36" s="3492">
        <v>103905</v>
      </c>
      <c r="T36" s="3492">
        <v>3996186</v>
      </c>
      <c r="U36" s="3494">
        <v>45574</v>
      </c>
    </row>
  </sheetData>
  <phoneticPr fontId="1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topLeftCell="A7" workbookViewId="0">
      <selection activeCell="A26" sqref="A26"/>
    </sheetView>
  </sheetViews>
  <sheetFormatPr defaultRowHeight="14.4"/>
  <cols>
    <col min="1" max="1" width="16.77734375" customWidth="1"/>
    <col min="3" max="3" width="9.5546875" bestFit="1" customWidth="1"/>
    <col min="5" max="5" width="9.5546875" bestFit="1" customWidth="1"/>
    <col min="7" max="7" width="11.6640625" bestFit="1" customWidth="1"/>
  </cols>
  <sheetData>
    <row r="1" spans="1:7">
      <c r="A1" s="3481" t="s">
        <v>3532</v>
      </c>
      <c r="B1" s="3481" t="s">
        <v>3531</v>
      </c>
    </row>
    <row r="2" spans="1:7">
      <c r="A2" s="3481" t="s">
        <v>3542</v>
      </c>
      <c r="B2" s="3481" t="s">
        <v>3533</v>
      </c>
      <c r="C2" s="3481" t="s">
        <v>3534</v>
      </c>
      <c r="D2" s="3481" t="s">
        <v>3535</v>
      </c>
      <c r="E2" s="3481" t="s">
        <v>3536</v>
      </c>
      <c r="F2" s="3481" t="s">
        <v>3537</v>
      </c>
      <c r="G2" s="3481" t="s">
        <v>3538</v>
      </c>
    </row>
    <row r="3" spans="1:7">
      <c r="B3">
        <v>193.49</v>
      </c>
      <c r="C3">
        <v>11329400</v>
      </c>
      <c r="D3">
        <f>ROUND(C3/B3,0)</f>
        <v>58553</v>
      </c>
      <c r="E3">
        <v>11183520</v>
      </c>
      <c r="F3">
        <f>ROUND(E3/B3,0)</f>
        <v>57799</v>
      </c>
      <c r="G3" s="3482">
        <v>45608</v>
      </c>
    </row>
    <row r="4" spans="1:7">
      <c r="A4" s="3483" t="s">
        <v>3539</v>
      </c>
    </row>
    <row r="26" spans="1:7">
      <c r="A26" s="3481" t="s">
        <v>3541</v>
      </c>
      <c r="B26" s="3481" t="s">
        <v>3540</v>
      </c>
    </row>
    <row r="27" spans="1:7">
      <c r="A27" s="3481" t="s">
        <v>3543</v>
      </c>
      <c r="B27" s="3481" t="s">
        <v>3533</v>
      </c>
      <c r="C27" s="3481" t="s">
        <v>3534</v>
      </c>
      <c r="D27" s="3481" t="s">
        <v>3535</v>
      </c>
      <c r="E27" s="3481" t="s">
        <v>3536</v>
      </c>
      <c r="F27" s="3481" t="s">
        <v>3537</v>
      </c>
      <c r="G27" s="3481" t="s">
        <v>3538</v>
      </c>
    </row>
    <row r="28" spans="1:7">
      <c r="B28">
        <v>79.900000000000006</v>
      </c>
      <c r="C28">
        <v>6729180</v>
      </c>
      <c r="D28">
        <f>ROUND(C28/B28,0)</f>
        <v>84220</v>
      </c>
      <c r="E28">
        <v>4306675</v>
      </c>
      <c r="F28">
        <f>ROUND(E28/B28,0)</f>
        <v>53901</v>
      </c>
      <c r="G28" s="3482">
        <v>45556</v>
      </c>
    </row>
    <row r="29" spans="1:7">
      <c r="A29" s="3483" t="s">
        <v>3544</v>
      </c>
    </row>
    <row r="49" spans="1:7">
      <c r="A49" s="3481" t="s">
        <v>3546</v>
      </c>
      <c r="B49" s="3481" t="s">
        <v>3545</v>
      </c>
    </row>
    <row r="50" spans="1:7">
      <c r="A50" s="3481" t="s">
        <v>3542</v>
      </c>
      <c r="B50" s="3481" t="s">
        <v>3533</v>
      </c>
      <c r="C50" s="3481" t="s">
        <v>3534</v>
      </c>
      <c r="D50" s="3481" t="s">
        <v>3535</v>
      </c>
      <c r="E50" s="3481" t="s">
        <v>3536</v>
      </c>
      <c r="F50" s="3481" t="s">
        <v>3537</v>
      </c>
      <c r="G50" s="3481" t="s">
        <v>3538</v>
      </c>
    </row>
    <row r="51" spans="1:7">
      <c r="B51">
        <v>127.43</v>
      </c>
      <c r="C51">
        <v>12376044.33</v>
      </c>
      <c r="D51">
        <f>ROUND(C51/B51,0)</f>
        <v>97120</v>
      </c>
      <c r="E51">
        <v>7920668.3799999999</v>
      </c>
      <c r="F51">
        <f>ROUND(E51/B51,0)</f>
        <v>62157</v>
      </c>
      <c r="G51" s="3482">
        <v>45556</v>
      </c>
    </row>
    <row r="52" spans="1:7">
      <c r="B52" s="3483" t="s">
        <v>3547</v>
      </c>
    </row>
  </sheetData>
  <phoneticPr fontId="134" type="noConversion"/>
  <hyperlinks>
    <hyperlink ref="A4" r:id="rId1"/>
    <hyperlink ref="A29" r:id="rId2"/>
    <hyperlink ref="B52" r:id="rId3"/>
  </hyperlinks>
  <pageMargins left="0.7" right="0.7" top="0.75" bottom="0.75" header="0.3" footer="0.3"/>
  <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6"/>
      <c r="Q1" s="1947"/>
      <c r="R1" s="1947"/>
      <c r="S1" s="1947"/>
      <c r="T1" s="1947"/>
      <c r="U1" s="1947"/>
      <c r="V1" s="1947"/>
      <c r="W1" s="1947"/>
      <c r="X1" s="1947"/>
      <c r="Y1" s="1947"/>
      <c r="Z1" s="1947"/>
      <c r="AA1" s="1947"/>
      <c r="AB1" s="1947"/>
      <c r="AC1" s="1948"/>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64.67</v>
      </c>
      <c r="E3" s="1951"/>
      <c r="F3" s="909"/>
      <c r="G3" s="908"/>
      <c r="H3" s="908"/>
      <c r="I3" s="908"/>
      <c r="J3" s="908"/>
      <c r="K3" s="910"/>
      <c r="L3" s="2731"/>
      <c r="M3" s="2732"/>
      <c r="N3" s="2732"/>
      <c r="O3" s="2732"/>
      <c r="P3" s="1949"/>
      <c r="Q3" s="912"/>
      <c r="R3" s="912"/>
      <c r="S3" s="912"/>
      <c r="T3" s="912"/>
      <c r="U3" s="912"/>
      <c r="V3" s="912"/>
      <c r="W3" s="912"/>
      <c r="X3" s="912"/>
      <c r="Y3" s="912"/>
      <c r="Z3" s="912"/>
      <c r="AA3" s="912"/>
      <c r="AB3" s="912"/>
      <c r="AC3" s="1951"/>
    </row>
    <row r="4" spans="1:29" ht="14.4">
      <c r="A4" s="355" t="s">
        <v>1769</v>
      </c>
      <c r="B4" s="356"/>
      <c r="C4" s="3736" t="s">
        <v>1770</v>
      </c>
      <c r="D4" s="3737"/>
      <c r="E4" s="3738" t="s">
        <v>1771</v>
      </c>
      <c r="F4" s="3739"/>
      <c r="G4" s="3736" t="s">
        <v>1772</v>
      </c>
      <c r="H4" s="3737"/>
      <c r="I4" s="3736" t="s">
        <v>1773</v>
      </c>
      <c r="J4" s="3737"/>
      <c r="K4" s="559" t="s">
        <v>1774</v>
      </c>
      <c r="L4" s="2712"/>
      <c r="M4" s="2713"/>
      <c r="N4" s="2713"/>
      <c r="O4" s="2713"/>
      <c r="P4" s="3740" t="s">
        <v>1775</v>
      </c>
      <c r="Q4" s="3741"/>
      <c r="R4" s="3723" t="s">
        <v>1771</v>
      </c>
      <c r="S4" s="3724"/>
      <c r="T4" s="3723" t="s">
        <v>1772</v>
      </c>
      <c r="U4" s="3724"/>
      <c r="V4" s="3748" t="s">
        <v>1773</v>
      </c>
      <c r="W4" s="3748"/>
      <c r="X4" s="1355"/>
      <c r="Y4" s="3723" t="s">
        <v>1775</v>
      </c>
      <c r="Z4" s="3724"/>
      <c r="AA4" s="3718" t="s">
        <v>1771</v>
      </c>
      <c r="AB4" s="3748" t="s">
        <v>1772</v>
      </c>
      <c r="AC4" s="3718" t="s">
        <v>1773</v>
      </c>
    </row>
    <row r="5" spans="1:29">
      <c r="A5" s="358"/>
      <c r="B5" s="359"/>
      <c r="C5" s="3729" t="s">
        <v>1673</v>
      </c>
      <c r="D5" s="3730"/>
      <c r="E5" s="3727" t="s">
        <v>1674</v>
      </c>
      <c r="F5" s="3728"/>
      <c r="G5" s="3729" t="s">
        <v>1675</v>
      </c>
      <c r="H5" s="3730"/>
      <c r="I5" s="3729" t="s">
        <v>1676</v>
      </c>
      <c r="J5" s="3730"/>
      <c r="K5" s="559"/>
      <c r="L5" s="2712"/>
      <c r="M5" s="2713"/>
      <c r="N5" s="2713"/>
      <c r="O5" s="2713"/>
      <c r="P5" s="3742"/>
      <c r="Q5" s="3743"/>
      <c r="R5" s="3725"/>
      <c r="S5" s="3726"/>
      <c r="T5" s="3725"/>
      <c r="U5" s="3726"/>
      <c r="V5" s="3748"/>
      <c r="W5" s="3748"/>
      <c r="X5" s="1355"/>
      <c r="Y5" s="3725"/>
      <c r="Z5" s="3726"/>
      <c r="AA5" s="3719"/>
      <c r="AB5" s="3748"/>
      <c r="AC5" s="3719"/>
    </row>
    <row r="6" spans="1:29" ht="15" thickBot="1">
      <c r="A6" s="360"/>
      <c r="B6" s="361"/>
      <c r="C6" s="3731" t="s">
        <v>1677</v>
      </c>
      <c r="D6" s="3732"/>
      <c r="E6" s="3733" t="s">
        <v>1677</v>
      </c>
      <c r="F6" s="3734"/>
      <c r="G6" s="3731" t="s">
        <v>1677</v>
      </c>
      <c r="H6" s="3732"/>
      <c r="I6" s="3731" t="s">
        <v>1677</v>
      </c>
      <c r="J6" s="3732"/>
      <c r="K6" s="559" t="s">
        <v>1678</v>
      </c>
      <c r="L6" s="2712"/>
      <c r="M6" s="2713"/>
      <c r="N6" s="2713"/>
      <c r="O6" s="2713"/>
      <c r="P6" s="3744"/>
      <c r="Q6" s="3745"/>
      <c r="R6" s="3725"/>
      <c r="S6" s="3726"/>
      <c r="T6" s="3746"/>
      <c r="U6" s="3747"/>
      <c r="V6" s="3748"/>
      <c r="W6" s="3748"/>
      <c r="X6" s="1355"/>
      <c r="Y6" s="3746"/>
      <c r="Z6" s="3747"/>
      <c r="AA6" s="3720"/>
      <c r="AB6" s="3748"/>
      <c r="AC6" s="3720"/>
    </row>
    <row r="7" spans="1:29" s="108" customFormat="1" ht="15" thickBot="1">
      <c r="A7" s="362" t="s">
        <v>1679</v>
      </c>
      <c r="B7" s="363"/>
      <c r="C7" s="364">
        <f>'数据-取费表'!B2</f>
        <v>45699</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21" t="s">
        <v>1680</v>
      </c>
      <c r="Q7" s="3749"/>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21" t="s">
        <v>1683</v>
      </c>
      <c r="Q8" s="3722"/>
      <c r="R8" s="701" t="s">
        <v>14</v>
      </c>
      <c r="S8" s="702">
        <f t="shared" si="0"/>
        <v>100</v>
      </c>
      <c r="T8" s="701" t="s">
        <v>14</v>
      </c>
      <c r="U8" s="702">
        <f t="shared" si="1"/>
        <v>100</v>
      </c>
      <c r="V8" s="701" t="s">
        <v>14</v>
      </c>
      <c r="W8" s="702">
        <f t="shared" si="2"/>
        <v>100</v>
      </c>
      <c r="X8" s="703"/>
      <c r="Y8" s="3721" t="s">
        <v>1683</v>
      </c>
      <c r="Z8" s="372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35" t="s">
        <v>1686</v>
      </c>
      <c r="Q9" s="1343" t="str">
        <f t="shared" ref="Q9:Q15" si="6">B9</f>
        <v>用途</v>
      </c>
      <c r="R9" s="701" t="s">
        <v>14</v>
      </c>
      <c r="S9" s="702">
        <f t="shared" si="0"/>
        <v>100</v>
      </c>
      <c r="T9" s="701" t="s">
        <v>14</v>
      </c>
      <c r="U9" s="702">
        <f t="shared" si="1"/>
        <v>100</v>
      </c>
      <c r="V9" s="701" t="s">
        <v>14</v>
      </c>
      <c r="W9" s="702">
        <f t="shared" si="2"/>
        <v>100</v>
      </c>
      <c r="X9" s="703"/>
      <c r="Y9" s="3665"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35"/>
      <c r="Q10" s="1343" t="str">
        <f t="shared" si="6"/>
        <v>土地使用年限（年）</v>
      </c>
      <c r="R10" s="701" t="s">
        <v>14</v>
      </c>
      <c r="S10" s="702">
        <f t="shared" si="0"/>
        <v>100</v>
      </c>
      <c r="T10" s="701" t="s">
        <v>14</v>
      </c>
      <c r="U10" s="702">
        <f t="shared" si="1"/>
        <v>100</v>
      </c>
      <c r="V10" s="701" t="s">
        <v>14</v>
      </c>
      <c r="W10" s="702">
        <f t="shared" si="2"/>
        <v>100</v>
      </c>
      <c r="X10" s="703"/>
      <c r="Y10" s="366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35"/>
      <c r="Q11" s="1343" t="str">
        <f t="shared" si="6"/>
        <v>容积率</v>
      </c>
      <c r="R11" s="701" t="s">
        <v>14</v>
      </c>
      <c r="S11" s="702" t="e">
        <f t="shared" si="0"/>
        <v>#N/A</v>
      </c>
      <c r="T11" s="701" t="s">
        <v>14</v>
      </c>
      <c r="U11" s="702" t="e">
        <f t="shared" si="1"/>
        <v>#N/A</v>
      </c>
      <c r="V11" s="701" t="s">
        <v>14</v>
      </c>
      <c r="W11" s="702" t="e">
        <f t="shared" si="2"/>
        <v>#N/A</v>
      </c>
      <c r="X11" s="703"/>
      <c r="Y11" s="366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35"/>
      <c r="Q12" s="1343">
        <f t="shared" si="6"/>
        <v>111</v>
      </c>
      <c r="R12" s="701" t="s">
        <v>14</v>
      </c>
      <c r="S12" s="702">
        <f t="shared" si="0"/>
        <v>100</v>
      </c>
      <c r="T12" s="701" t="s">
        <v>14</v>
      </c>
      <c r="U12" s="702">
        <f t="shared" si="1"/>
        <v>100</v>
      </c>
      <c r="V12" s="701" t="s">
        <v>14</v>
      </c>
      <c r="W12" s="702">
        <f t="shared" si="2"/>
        <v>100</v>
      </c>
      <c r="X12" s="703"/>
      <c r="Y12" s="366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35"/>
      <c r="Q13" s="1343">
        <f t="shared" si="6"/>
        <v>111</v>
      </c>
      <c r="R13" s="701" t="s">
        <v>14</v>
      </c>
      <c r="S13" s="702">
        <f t="shared" si="0"/>
        <v>100</v>
      </c>
      <c r="T13" s="701" t="s">
        <v>14</v>
      </c>
      <c r="U13" s="702">
        <f t="shared" si="1"/>
        <v>100</v>
      </c>
      <c r="V13" s="701" t="s">
        <v>14</v>
      </c>
      <c r="W13" s="702">
        <f t="shared" si="2"/>
        <v>100</v>
      </c>
      <c r="X13" s="703"/>
      <c r="Y13" s="3665"/>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35"/>
      <c r="Q14" s="1343">
        <f t="shared" si="6"/>
        <v>111</v>
      </c>
      <c r="R14" s="701" t="s">
        <v>14</v>
      </c>
      <c r="S14" s="702">
        <f t="shared" si="0"/>
        <v>100</v>
      </c>
      <c r="T14" s="701" t="s">
        <v>14</v>
      </c>
      <c r="U14" s="702">
        <f t="shared" si="1"/>
        <v>100</v>
      </c>
      <c r="V14" s="701" t="s">
        <v>14</v>
      </c>
      <c r="W14" s="702">
        <f t="shared" si="2"/>
        <v>100</v>
      </c>
      <c r="X14" s="703"/>
      <c r="Y14" s="3665"/>
      <c r="Z14" s="52">
        <f t="shared" si="7"/>
        <v>111</v>
      </c>
      <c r="AA14" s="704">
        <f t="shared" si="3"/>
        <v>1</v>
      </c>
      <c r="AB14" s="704">
        <f t="shared" si="4"/>
        <v>1</v>
      </c>
      <c r="AC14" s="704">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62" t="s">
        <v>1691</v>
      </c>
      <c r="Q15" s="1352" t="str">
        <f t="shared" si="6"/>
        <v>商业繁华度</v>
      </c>
      <c r="R15" s="705" t="s">
        <v>14</v>
      </c>
      <c r="S15" s="706">
        <f t="shared" si="0"/>
        <v>100</v>
      </c>
      <c r="T15" s="705" t="s">
        <v>14</v>
      </c>
      <c r="U15" s="706">
        <f t="shared" si="1"/>
        <v>100</v>
      </c>
      <c r="V15" s="705" t="s">
        <v>14</v>
      </c>
      <c r="W15" s="706">
        <f t="shared" si="2"/>
        <v>100</v>
      </c>
      <c r="X15" s="1355"/>
      <c r="Y15" s="375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63"/>
      <c r="Q16" s="1352"/>
      <c r="R16" s="705"/>
      <c r="S16" s="706"/>
      <c r="T16" s="705"/>
      <c r="U16" s="706"/>
      <c r="V16" s="705"/>
      <c r="W16" s="706"/>
      <c r="X16" s="1355"/>
      <c r="Y16" s="3756"/>
      <c r="Z16" s="1356"/>
      <c r="AA16" s="1353">
        <v>1</v>
      </c>
      <c r="AB16" s="1353">
        <v>1</v>
      </c>
      <c r="AC16" s="1353">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63"/>
      <c r="Q17" s="1352" t="str">
        <f>B17</f>
        <v>交通便捷度</v>
      </c>
      <c r="R17" s="705" t="s">
        <v>14</v>
      </c>
      <c r="S17" s="706">
        <f>F17</f>
        <v>100</v>
      </c>
      <c r="T17" s="705" t="s">
        <v>14</v>
      </c>
      <c r="U17" s="706">
        <f>H17</f>
        <v>100</v>
      </c>
      <c r="V17" s="705" t="s">
        <v>14</v>
      </c>
      <c r="W17" s="706">
        <f>J17</f>
        <v>100</v>
      </c>
      <c r="X17" s="1355"/>
      <c r="Y17" s="3756"/>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9"/>
      <c r="M18" s="2713"/>
      <c r="N18" s="2713"/>
      <c r="O18" s="2713"/>
      <c r="P18" s="3763"/>
      <c r="Q18" s="1352"/>
      <c r="R18" s="705"/>
      <c r="S18" s="706"/>
      <c r="T18" s="705"/>
      <c r="U18" s="706"/>
      <c r="V18" s="705"/>
      <c r="W18" s="706"/>
      <c r="X18" s="1355"/>
      <c r="Y18" s="3756"/>
      <c r="Z18" s="1356"/>
      <c r="AA18" s="1353">
        <v>1</v>
      </c>
      <c r="AB18" s="1353">
        <v>1</v>
      </c>
      <c r="AC18" s="1353">
        <v>1</v>
      </c>
    </row>
    <row r="19" spans="1:29" ht="41.4">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63"/>
      <c r="Q19" s="1352" t="str">
        <f>B19</f>
        <v>公共配套设施</v>
      </c>
      <c r="R19" s="705" t="s">
        <v>14</v>
      </c>
      <c r="S19" s="706">
        <f>F19</f>
        <v>100</v>
      </c>
      <c r="T19" s="705" t="s">
        <v>14</v>
      </c>
      <c r="U19" s="706">
        <f>H19</f>
        <v>100</v>
      </c>
      <c r="V19" s="705" t="s">
        <v>14</v>
      </c>
      <c r="W19" s="706">
        <f>J19</f>
        <v>100</v>
      </c>
      <c r="X19" s="1355"/>
      <c r="Y19" s="3756"/>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9"/>
      <c r="M20" s="2713"/>
      <c r="N20" s="2713"/>
      <c r="O20" s="2713"/>
      <c r="P20" s="3763"/>
      <c r="Q20" s="1352"/>
      <c r="R20" s="705"/>
      <c r="S20" s="706"/>
      <c r="T20" s="705"/>
      <c r="U20" s="706"/>
      <c r="V20" s="705"/>
      <c r="W20" s="706"/>
      <c r="X20" s="1355"/>
      <c r="Y20" s="3756"/>
      <c r="Z20" s="1356"/>
      <c r="AA20" s="1353">
        <v>1</v>
      </c>
      <c r="AB20" s="1353">
        <v>1</v>
      </c>
      <c r="AC20" s="1353">
        <v>1</v>
      </c>
    </row>
    <row r="21" spans="1:29" ht="27.6">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63"/>
      <c r="Q21" s="1352" t="str">
        <f>B21</f>
        <v>基础设施水平</v>
      </c>
      <c r="R21" s="705" t="s">
        <v>14</v>
      </c>
      <c r="S21" s="706">
        <f>F21</f>
        <v>100</v>
      </c>
      <c r="T21" s="705" t="s">
        <v>14</v>
      </c>
      <c r="U21" s="706">
        <f>H21</f>
        <v>100</v>
      </c>
      <c r="V21" s="705" t="s">
        <v>14</v>
      </c>
      <c r="W21" s="706">
        <f>J21</f>
        <v>100</v>
      </c>
      <c r="X21" s="1355"/>
      <c r="Y21" s="3756"/>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9"/>
      <c r="M22" s="2713"/>
      <c r="N22" s="2713"/>
      <c r="O22" s="2713"/>
      <c r="P22" s="3763"/>
      <c r="Q22" s="1352"/>
      <c r="R22" s="705"/>
      <c r="S22" s="706"/>
      <c r="T22" s="705"/>
      <c r="U22" s="706"/>
      <c r="V22" s="705"/>
      <c r="W22" s="706"/>
      <c r="X22" s="1355"/>
      <c r="Y22" s="3756"/>
      <c r="Z22" s="1356"/>
      <c r="AA22" s="1353">
        <v>1</v>
      </c>
      <c r="AB22" s="1353">
        <v>1</v>
      </c>
      <c r="AC22" s="1353">
        <v>1</v>
      </c>
    </row>
    <row r="23" spans="1:29" ht="55.2">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63"/>
      <c r="Q23" s="1352" t="str">
        <f>B23</f>
        <v>自然及人文环境</v>
      </c>
      <c r="R23" s="705" t="s">
        <v>14</v>
      </c>
      <c r="S23" s="706">
        <f>F23</f>
        <v>100</v>
      </c>
      <c r="T23" s="705" t="s">
        <v>14</v>
      </c>
      <c r="U23" s="706">
        <f>H23</f>
        <v>100</v>
      </c>
      <c r="V23" s="705" t="s">
        <v>14</v>
      </c>
      <c r="W23" s="706">
        <f>J23</f>
        <v>100</v>
      </c>
      <c r="X23" s="1355"/>
      <c r="Y23" s="3756"/>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9"/>
      <c r="M24" s="2713"/>
      <c r="N24" s="2713"/>
      <c r="O24" s="2713"/>
      <c r="P24" s="3763"/>
      <c r="Q24" s="1352"/>
      <c r="R24" s="705"/>
      <c r="S24" s="706"/>
      <c r="T24" s="705"/>
      <c r="U24" s="706"/>
      <c r="V24" s="705"/>
      <c r="W24" s="706"/>
      <c r="X24" s="1355"/>
      <c r="Y24" s="375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63"/>
      <c r="Q25" s="1352" t="str">
        <f t="shared" ref="Q25:Q46" si="11">B25</f>
        <v>临街状况</v>
      </c>
      <c r="R25" s="705" t="s">
        <v>14</v>
      </c>
      <c r="S25" s="706">
        <f>F25</f>
        <v>100</v>
      </c>
      <c r="T25" s="705" t="s">
        <v>14</v>
      </c>
      <c r="U25" s="706">
        <f>H25</f>
        <v>100</v>
      </c>
      <c r="V25" s="705" t="s">
        <v>14</v>
      </c>
      <c r="W25" s="706">
        <f>J25</f>
        <v>100</v>
      </c>
      <c r="X25" s="1355"/>
      <c r="Y25" s="375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63"/>
      <c r="Q26" s="1352" t="str">
        <f t="shared" si="11"/>
        <v>平面位置/可视性</v>
      </c>
      <c r="R26" s="705" t="s">
        <v>14</v>
      </c>
      <c r="S26" s="706">
        <f>F26</f>
        <v>100</v>
      </c>
      <c r="T26" s="705" t="s">
        <v>14</v>
      </c>
      <c r="U26" s="706">
        <f>H26</f>
        <v>100</v>
      </c>
      <c r="V26" s="705" t="s">
        <v>14</v>
      </c>
      <c r="W26" s="706">
        <f>J26</f>
        <v>100</v>
      </c>
      <c r="X26" s="1355"/>
      <c r="Y26" s="3756"/>
      <c r="Z26" s="1356" t="str">
        <f>Q26</f>
        <v>平面位置/可视性</v>
      </c>
      <c r="AA26" s="1353">
        <f t="shared" si="3"/>
        <v>1</v>
      </c>
      <c r="AB26" s="1353">
        <f t="shared" si="4"/>
        <v>1</v>
      </c>
      <c r="AC26" s="1353">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763"/>
      <c r="Q27" s="1343" t="str">
        <f t="shared" si="11"/>
        <v>人流量</v>
      </c>
      <c r="R27" s="701" t="s">
        <v>14</v>
      </c>
      <c r="S27" s="702">
        <f>F27</f>
        <v>100</v>
      </c>
      <c r="T27" s="701" t="s">
        <v>14</v>
      </c>
      <c r="U27" s="702">
        <f>H27</f>
        <v>100</v>
      </c>
      <c r="V27" s="701" t="s">
        <v>14</v>
      </c>
      <c r="W27" s="702">
        <f>J27</f>
        <v>100</v>
      </c>
      <c r="X27" s="703"/>
      <c r="Y27" s="375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6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63"/>
      <c r="Q29" s="1352">
        <f t="shared" si="11"/>
        <v>111</v>
      </c>
      <c r="R29" s="705" t="s">
        <v>14</v>
      </c>
      <c r="S29" s="706">
        <f t="shared" si="12"/>
        <v>100</v>
      </c>
      <c r="T29" s="705" t="s">
        <v>14</v>
      </c>
      <c r="U29" s="706">
        <f t="shared" si="13"/>
        <v>100</v>
      </c>
      <c r="V29" s="705" t="s">
        <v>14</v>
      </c>
      <c r="W29" s="706">
        <f t="shared" si="14"/>
        <v>100</v>
      </c>
      <c r="X29" s="1355"/>
      <c r="Y29" s="375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63"/>
      <c r="Q30" s="1352">
        <f t="shared" si="11"/>
        <v>111</v>
      </c>
      <c r="R30" s="705" t="s">
        <v>14</v>
      </c>
      <c r="S30" s="706">
        <f t="shared" si="12"/>
        <v>100</v>
      </c>
      <c r="T30" s="705" t="s">
        <v>14</v>
      </c>
      <c r="U30" s="706">
        <f t="shared" si="13"/>
        <v>100</v>
      </c>
      <c r="V30" s="705" t="s">
        <v>14</v>
      </c>
      <c r="W30" s="706">
        <f t="shared" si="14"/>
        <v>100</v>
      </c>
      <c r="X30" s="1355"/>
      <c r="Y30" s="375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63"/>
      <c r="Q31" s="1352">
        <f t="shared" si="11"/>
        <v>111</v>
      </c>
      <c r="R31" s="705" t="s">
        <v>14</v>
      </c>
      <c r="S31" s="706">
        <f t="shared" si="12"/>
        <v>100</v>
      </c>
      <c r="T31" s="705" t="s">
        <v>14</v>
      </c>
      <c r="U31" s="706">
        <f t="shared" si="13"/>
        <v>100</v>
      </c>
      <c r="V31" s="705" t="s">
        <v>14</v>
      </c>
      <c r="W31" s="706">
        <f t="shared" si="14"/>
        <v>100</v>
      </c>
      <c r="X31" s="1355"/>
      <c r="Y31" s="3756"/>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57" t="s">
        <v>1696</v>
      </c>
      <c r="Q32" s="1352" t="str">
        <f t="shared" si="11"/>
        <v>商业类型</v>
      </c>
      <c r="R32" s="705" t="s">
        <v>14</v>
      </c>
      <c r="S32" s="706">
        <f t="shared" si="12"/>
        <v>100</v>
      </c>
      <c r="T32" s="705" t="s">
        <v>14</v>
      </c>
      <c r="U32" s="706">
        <f t="shared" si="13"/>
        <v>100</v>
      </c>
      <c r="V32" s="705" t="s">
        <v>14</v>
      </c>
      <c r="W32" s="706">
        <f t="shared" si="14"/>
        <v>100</v>
      </c>
      <c r="X32" s="1355"/>
      <c r="Y32" s="376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58"/>
      <c r="Q33" s="707" t="str">
        <f t="shared" si="11"/>
        <v>项目建筑规模</v>
      </c>
      <c r="R33" s="708" t="s">
        <v>14</v>
      </c>
      <c r="S33" s="709" t="e">
        <f t="shared" si="12"/>
        <v>#N/A</v>
      </c>
      <c r="T33" s="708" t="s">
        <v>14</v>
      </c>
      <c r="U33" s="709" t="e">
        <f t="shared" si="13"/>
        <v>#N/A</v>
      </c>
      <c r="V33" s="708" t="s">
        <v>14</v>
      </c>
      <c r="W33" s="709" t="e">
        <f t="shared" si="14"/>
        <v>#N/A</v>
      </c>
      <c r="X33" s="710"/>
      <c r="Y33" s="3760"/>
      <c r="Z33" s="711" t="str">
        <f t="shared" si="15"/>
        <v>项目建筑规模</v>
      </c>
      <c r="AA33" s="1353" t="e">
        <f t="shared" si="3"/>
        <v>#N/A</v>
      </c>
      <c r="AB33" s="1353" t="e">
        <f t="shared" si="4"/>
        <v>#N/A</v>
      </c>
      <c r="AC33" s="1353"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758"/>
      <c r="Q34" s="1352" t="str">
        <f t="shared" si="11"/>
        <v>建筑结构</v>
      </c>
      <c r="R34" s="705" t="s">
        <v>14</v>
      </c>
      <c r="S34" s="706">
        <f t="shared" si="12"/>
        <v>100</v>
      </c>
      <c r="T34" s="705" t="s">
        <v>14</v>
      </c>
      <c r="U34" s="706">
        <f t="shared" si="13"/>
        <v>100</v>
      </c>
      <c r="V34" s="705" t="s">
        <v>14</v>
      </c>
      <c r="W34" s="706">
        <f t="shared" si="14"/>
        <v>100</v>
      </c>
      <c r="X34" s="1355"/>
      <c r="Y34" s="3760"/>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58"/>
      <c r="Q35" s="1352" t="str">
        <f t="shared" si="11"/>
        <v>公共部分装修</v>
      </c>
      <c r="R35" s="705" t="s">
        <v>14</v>
      </c>
      <c r="S35" s="706">
        <f t="shared" si="12"/>
        <v>100</v>
      </c>
      <c r="T35" s="705" t="s">
        <v>14</v>
      </c>
      <c r="U35" s="706">
        <f t="shared" si="13"/>
        <v>100</v>
      </c>
      <c r="V35" s="705" t="s">
        <v>14</v>
      </c>
      <c r="W35" s="706">
        <f t="shared" si="14"/>
        <v>100</v>
      </c>
      <c r="X35" s="1355"/>
      <c r="Y35" s="376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58"/>
      <c r="Q36" s="1352" t="str">
        <f t="shared" si="11"/>
        <v>成新度</v>
      </c>
      <c r="R36" s="705" t="s">
        <v>14</v>
      </c>
      <c r="S36" s="706" t="e">
        <f t="shared" si="12"/>
        <v>#N/A</v>
      </c>
      <c r="T36" s="705" t="s">
        <v>14</v>
      </c>
      <c r="U36" s="706" t="e">
        <f t="shared" si="13"/>
        <v>#N/A</v>
      </c>
      <c r="V36" s="705" t="s">
        <v>14</v>
      </c>
      <c r="W36" s="706" t="e">
        <f t="shared" si="14"/>
        <v>#N/A</v>
      </c>
      <c r="X36" s="1355"/>
      <c r="Y36" s="3760"/>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58"/>
      <c r="Q37" s="1343" t="str">
        <f t="shared" si="11"/>
        <v>市政基础设施</v>
      </c>
      <c r="R37" s="701" t="s">
        <v>14</v>
      </c>
      <c r="S37" s="702">
        <f t="shared" si="12"/>
        <v>100</v>
      </c>
      <c r="T37" s="701" t="s">
        <v>14</v>
      </c>
      <c r="U37" s="702">
        <f t="shared" si="13"/>
        <v>100</v>
      </c>
      <c r="V37" s="701" t="s">
        <v>14</v>
      </c>
      <c r="W37" s="702">
        <f t="shared" si="14"/>
        <v>100</v>
      </c>
      <c r="X37" s="703"/>
      <c r="Y37" s="376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58" t="s">
        <v>1696</v>
      </c>
      <c r="Q38" s="1352" t="str">
        <f t="shared" si="11"/>
        <v>业态</v>
      </c>
      <c r="R38" s="705" t="s">
        <v>14</v>
      </c>
      <c r="S38" s="706">
        <f t="shared" si="12"/>
        <v>100</v>
      </c>
      <c r="T38" s="705" t="s">
        <v>14</v>
      </c>
      <c r="U38" s="706">
        <f t="shared" si="13"/>
        <v>100</v>
      </c>
      <c r="V38" s="705" t="s">
        <v>14</v>
      </c>
      <c r="W38" s="706">
        <f t="shared" si="14"/>
        <v>100</v>
      </c>
      <c r="X38" s="1355"/>
      <c r="Y38" s="3760"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58"/>
      <c r="Q39" s="1352" t="str">
        <f t="shared" si="11"/>
        <v>层高</v>
      </c>
      <c r="R39" s="705" t="s">
        <v>14</v>
      </c>
      <c r="S39" s="706">
        <f t="shared" si="12"/>
        <v>100</v>
      </c>
      <c r="T39" s="705" t="s">
        <v>14</v>
      </c>
      <c r="U39" s="706">
        <f t="shared" si="13"/>
        <v>100</v>
      </c>
      <c r="V39" s="705" t="s">
        <v>14</v>
      </c>
      <c r="W39" s="706">
        <f t="shared" si="14"/>
        <v>100</v>
      </c>
      <c r="X39" s="1355"/>
      <c r="Y39" s="376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58"/>
      <c r="Q40" s="1352" t="str">
        <f t="shared" si="11"/>
        <v>单套建筑面积</v>
      </c>
      <c r="R40" s="705" t="s">
        <v>14</v>
      </c>
      <c r="S40" s="706">
        <f t="shared" si="12"/>
        <v>100</v>
      </c>
      <c r="T40" s="705" t="s">
        <v>14</v>
      </c>
      <c r="U40" s="706">
        <f t="shared" si="13"/>
        <v>100</v>
      </c>
      <c r="V40" s="705" t="s">
        <v>14</v>
      </c>
      <c r="W40" s="706">
        <f t="shared" si="14"/>
        <v>100</v>
      </c>
      <c r="X40" s="1355"/>
      <c r="Y40" s="376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58"/>
      <c r="Q41" s="707" t="str">
        <f t="shared" si="11"/>
        <v>进深比</v>
      </c>
      <c r="R41" s="708" t="s">
        <v>14</v>
      </c>
      <c r="S41" s="709">
        <f t="shared" si="12"/>
        <v>100</v>
      </c>
      <c r="T41" s="708" t="s">
        <v>14</v>
      </c>
      <c r="U41" s="709">
        <f t="shared" si="13"/>
        <v>100</v>
      </c>
      <c r="V41" s="708" t="s">
        <v>14</v>
      </c>
      <c r="W41" s="709">
        <f t="shared" si="14"/>
        <v>100</v>
      </c>
      <c r="X41" s="710"/>
      <c r="Y41" s="3760"/>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58"/>
      <c r="Q42" s="1352" t="str">
        <f t="shared" si="11"/>
        <v>内部装修</v>
      </c>
      <c r="R42" s="705" t="s">
        <v>14</v>
      </c>
      <c r="S42" s="706">
        <f t="shared" si="12"/>
        <v>100</v>
      </c>
      <c r="T42" s="705" t="s">
        <v>14</v>
      </c>
      <c r="U42" s="706">
        <f t="shared" si="13"/>
        <v>100</v>
      </c>
      <c r="V42" s="705" t="s">
        <v>14</v>
      </c>
      <c r="W42" s="706">
        <f t="shared" si="14"/>
        <v>100</v>
      </c>
      <c r="X42" s="1355"/>
      <c r="Y42" s="3760"/>
      <c r="Z42" s="1356" t="str">
        <f t="shared" si="15"/>
        <v>内部装修</v>
      </c>
      <c r="AA42" s="1353">
        <f t="shared" si="3"/>
        <v>1</v>
      </c>
      <c r="AB42" s="1353">
        <f t="shared" si="4"/>
        <v>1</v>
      </c>
      <c r="AC42" s="1353">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58"/>
      <c r="Q43" s="1352" t="str">
        <f t="shared" si="11"/>
        <v>内部装修维护情况</v>
      </c>
      <c r="R43" s="705" t="s">
        <v>14</v>
      </c>
      <c r="S43" s="706">
        <f t="shared" si="12"/>
        <v>100</v>
      </c>
      <c r="T43" s="705" t="s">
        <v>14</v>
      </c>
      <c r="U43" s="706">
        <f t="shared" si="13"/>
        <v>100</v>
      </c>
      <c r="V43" s="705" t="s">
        <v>14</v>
      </c>
      <c r="W43" s="706">
        <f t="shared" si="14"/>
        <v>100</v>
      </c>
      <c r="X43" s="1355"/>
      <c r="Y43" s="376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58"/>
      <c r="Q44" s="1343">
        <f t="shared" si="11"/>
        <v>111</v>
      </c>
      <c r="R44" s="701" t="s">
        <v>14</v>
      </c>
      <c r="S44" s="702">
        <f t="shared" si="12"/>
        <v>100</v>
      </c>
      <c r="T44" s="701" t="s">
        <v>14</v>
      </c>
      <c r="U44" s="702">
        <f t="shared" si="13"/>
        <v>100</v>
      </c>
      <c r="V44" s="701" t="s">
        <v>14</v>
      </c>
      <c r="W44" s="702">
        <f t="shared" si="14"/>
        <v>100</v>
      </c>
      <c r="X44" s="703"/>
      <c r="Y44" s="376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58"/>
      <c r="Q45" s="1352">
        <f t="shared" si="11"/>
        <v>111</v>
      </c>
      <c r="R45" s="705" t="s">
        <v>14</v>
      </c>
      <c r="S45" s="706">
        <f t="shared" si="12"/>
        <v>100</v>
      </c>
      <c r="T45" s="705" t="s">
        <v>14</v>
      </c>
      <c r="U45" s="706">
        <f t="shared" si="13"/>
        <v>100</v>
      </c>
      <c r="V45" s="705" t="s">
        <v>14</v>
      </c>
      <c r="W45" s="706">
        <f t="shared" si="14"/>
        <v>100</v>
      </c>
      <c r="X45" s="1355"/>
      <c r="Y45" s="3760"/>
      <c r="Z45" s="1356">
        <f t="shared" si="15"/>
        <v>111</v>
      </c>
      <c r="AA45" s="1353">
        <f t="shared" si="3"/>
        <v>1</v>
      </c>
      <c r="AB45" s="1353">
        <f t="shared" si="4"/>
        <v>1</v>
      </c>
      <c r="AC45" s="1353">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59"/>
      <c r="Q46" s="1352">
        <f t="shared" si="11"/>
        <v>111</v>
      </c>
      <c r="R46" s="705" t="s">
        <v>14</v>
      </c>
      <c r="S46" s="706">
        <f t="shared" si="12"/>
        <v>100</v>
      </c>
      <c r="T46" s="705" t="s">
        <v>14</v>
      </c>
      <c r="U46" s="706">
        <f t="shared" si="13"/>
        <v>100</v>
      </c>
      <c r="V46" s="705" t="s">
        <v>14</v>
      </c>
      <c r="W46" s="706">
        <f t="shared" si="14"/>
        <v>100</v>
      </c>
      <c r="X46" s="1355"/>
      <c r="Y46" s="3761"/>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1"/>
      <c r="M47" s="2722"/>
      <c r="N47" s="2713"/>
      <c r="O47" s="2722"/>
      <c r="P47" s="3753" t="str">
        <f>A47</f>
        <v>成交单价（元/平方米）</v>
      </c>
      <c r="Q47" s="3753"/>
      <c r="R47" s="3748">
        <f>E47</f>
        <v>0</v>
      </c>
      <c r="S47" s="3748"/>
      <c r="T47" s="3748">
        <f>G47</f>
        <v>0</v>
      </c>
      <c r="U47" s="3748"/>
      <c r="V47" s="3748">
        <f>I47</f>
        <v>0</v>
      </c>
      <c r="W47" s="3748"/>
      <c r="X47" s="690"/>
      <c r="Y47" s="712"/>
      <c r="Z47" s="690"/>
      <c r="AA47" s="690"/>
      <c r="AB47" s="690"/>
      <c r="AC47" s="690"/>
    </row>
    <row r="48" spans="1:29" ht="15" thickBot="1">
      <c r="A48" s="437" t="s">
        <v>1793</v>
      </c>
      <c r="B48" s="438"/>
      <c r="C48" s="1160" t="e">
        <f>R49</f>
        <v>#DIV/0!</v>
      </c>
      <c r="D48" s="2314" t="s">
        <v>2138</v>
      </c>
      <c r="E48" s="1161" t="e">
        <f>R48</f>
        <v>#DIV/0!</v>
      </c>
      <c r="F48" s="2315"/>
      <c r="G48" s="1160" t="e">
        <f>T48</f>
        <v>#DIV/0!</v>
      </c>
      <c r="H48" s="2315"/>
      <c r="I48" s="1161" t="e">
        <f>V48</f>
        <v>#DIV/0!</v>
      </c>
      <c r="J48" s="2315"/>
      <c r="K48" s="2317">
        <f>F48+H48+J48</f>
        <v>0</v>
      </c>
      <c r="L48" s="2721"/>
      <c r="M48" s="2722"/>
      <c r="N48" s="2713"/>
      <c r="O48" s="2722"/>
      <c r="P48" s="3753" t="str">
        <f>A48</f>
        <v>比较价值（元/平方米）</v>
      </c>
      <c r="Q48" s="3753"/>
      <c r="R48" s="3754" t="e">
        <f>IF(F1="售价",ROUND(PRODUCT(R47,AA7:AA46),0),ROUND(PRODUCT(R47,AA7:AA46),1))</f>
        <v>#DIV/0!</v>
      </c>
      <c r="S48" s="3754"/>
      <c r="T48" s="3754" t="e">
        <f>IF(F1="售价",ROUND(PRODUCT(T47,AB7:AB46),0),ROUND(PRODUCT(T47,AB7:AB46),1))</f>
        <v>#DIV/0!</v>
      </c>
      <c r="U48" s="3754"/>
      <c r="V48" s="3754" t="e">
        <f>IF(F1="售价",ROUND(PRODUCT(V47,AC7:AC46),0),ROUND(PRODUCT(V47,AC7:AC46),1))</f>
        <v>#DIV/0!</v>
      </c>
      <c r="W48" s="3754"/>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1"/>
      <c r="M49" s="2722"/>
      <c r="N49" s="2713"/>
      <c r="O49" s="2722"/>
      <c r="P49" s="3750" t="str">
        <f>A49</f>
        <v>估价对象XX用房的比较价值（楼面单价，元/平方米）</v>
      </c>
      <c r="Q49" s="3751"/>
      <c r="R49" s="3752" t="e">
        <f>IF(F1="售价",ROUND(IF(D48="简单平均",AVERAGE(R48:V48),R48*F48+T48*H48+V48*J48),0),ROUND(IF(D48="简单平均",AVERAGE(R48:V48),R48*F48+T48*H48+V48*J48),1))</f>
        <v>#DIV/0!</v>
      </c>
      <c r="S49" s="3752"/>
      <c r="T49" s="3752"/>
      <c r="U49" s="3752"/>
      <c r="V49" s="3752"/>
      <c r="W49" s="375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4.4">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37"/>
      <c r="Q58" s="2738"/>
      <c r="R58" s="2738"/>
      <c r="S58" s="2738"/>
      <c r="T58" s="2738"/>
      <c r="U58" s="2738"/>
      <c r="V58" s="2738"/>
      <c r="W58" s="2738"/>
      <c r="X58" s="2738"/>
      <c r="Y58" s="2738"/>
      <c r="Z58" s="2738"/>
      <c r="AA58" s="2738"/>
      <c r="AB58" s="2738"/>
      <c r="AC58" s="2738"/>
    </row>
    <row r="59" spans="1:29" s="108" customFormat="1">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4.4">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4.4"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ht="14.4">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4.4"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9.4"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4.4"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4.4"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4.4"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4.4"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4.4"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4.4"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4.4"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ht="14.4">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4.4"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4.4"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4.4"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4.4"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4.4"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4.4"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4.4"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4.4"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4.4"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4.4"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4.4"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ht="14.4">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4.4"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4.4"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4.4"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4.4"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4.4"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4.4"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4.4"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4.4"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4"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64.67</v>
      </c>
      <c r="E3" s="1951"/>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4.4">
      <c r="A4" s="355" t="s">
        <v>1769</v>
      </c>
      <c r="B4" s="356"/>
      <c r="C4" s="3736" t="s">
        <v>1770</v>
      </c>
      <c r="D4" s="3737"/>
      <c r="E4" s="3738" t="s">
        <v>1771</v>
      </c>
      <c r="F4" s="3739"/>
      <c r="G4" s="3736" t="s">
        <v>1772</v>
      </c>
      <c r="H4" s="3737"/>
      <c r="I4" s="3736" t="s">
        <v>1773</v>
      </c>
      <c r="J4" s="3737"/>
      <c r="K4" s="559" t="s">
        <v>1774</v>
      </c>
      <c r="L4" s="2712"/>
      <c r="M4" s="2713"/>
      <c r="N4" s="2713"/>
      <c r="O4" s="2713"/>
      <c r="P4" s="3770" t="s">
        <v>1775</v>
      </c>
      <c r="Q4" s="3771"/>
      <c r="R4" s="3765" t="s">
        <v>1771</v>
      </c>
      <c r="S4" s="3766"/>
      <c r="T4" s="3765" t="s">
        <v>1772</v>
      </c>
      <c r="U4" s="3766"/>
      <c r="V4" s="3774" t="s">
        <v>1773</v>
      </c>
      <c r="W4" s="3774"/>
      <c r="X4" s="1955"/>
      <c r="Y4" s="3765" t="s">
        <v>1775</v>
      </c>
      <c r="Z4" s="3766"/>
      <c r="AA4" s="3764" t="s">
        <v>1771</v>
      </c>
      <c r="AB4" s="3764" t="s">
        <v>1772</v>
      </c>
      <c r="AC4" s="3767" t="s">
        <v>1773</v>
      </c>
    </row>
    <row r="5" spans="1:29">
      <c r="A5" s="358"/>
      <c r="B5" s="359"/>
      <c r="C5" s="3729" t="s">
        <v>1673</v>
      </c>
      <c r="D5" s="3730"/>
      <c r="E5" s="3727" t="s">
        <v>1674</v>
      </c>
      <c r="F5" s="3728"/>
      <c r="G5" s="3729" t="s">
        <v>1675</v>
      </c>
      <c r="H5" s="3730"/>
      <c r="I5" s="3729" t="s">
        <v>1676</v>
      </c>
      <c r="J5" s="3730"/>
      <c r="K5" s="559"/>
      <c r="L5" s="2712"/>
      <c r="M5" s="2713"/>
      <c r="N5" s="2713"/>
      <c r="O5" s="2713"/>
      <c r="P5" s="3772"/>
      <c r="Q5" s="3743"/>
      <c r="R5" s="3725"/>
      <c r="S5" s="3726"/>
      <c r="T5" s="3725"/>
      <c r="U5" s="3726"/>
      <c r="V5" s="3748"/>
      <c r="W5" s="3748"/>
      <c r="X5" s="1355"/>
      <c r="Y5" s="3725"/>
      <c r="Z5" s="3726"/>
      <c r="AA5" s="3719"/>
      <c r="AB5" s="3719"/>
      <c r="AC5" s="3768"/>
    </row>
    <row r="6" spans="1:29" ht="15" thickBot="1">
      <c r="A6" s="360"/>
      <c r="B6" s="361"/>
      <c r="C6" s="3731" t="s">
        <v>1677</v>
      </c>
      <c r="D6" s="3732"/>
      <c r="E6" s="3733" t="s">
        <v>1677</v>
      </c>
      <c r="F6" s="3734"/>
      <c r="G6" s="3731" t="s">
        <v>1677</v>
      </c>
      <c r="H6" s="3732"/>
      <c r="I6" s="3731" t="s">
        <v>1677</v>
      </c>
      <c r="J6" s="3732"/>
      <c r="K6" s="559" t="s">
        <v>1678</v>
      </c>
      <c r="L6" s="2712"/>
      <c r="M6" s="2713"/>
      <c r="N6" s="2713"/>
      <c r="O6" s="2713"/>
      <c r="P6" s="3773"/>
      <c r="Q6" s="3745"/>
      <c r="R6" s="3725"/>
      <c r="S6" s="3726"/>
      <c r="T6" s="3746"/>
      <c r="U6" s="3747"/>
      <c r="V6" s="3748"/>
      <c r="W6" s="3748"/>
      <c r="X6" s="1355"/>
      <c r="Y6" s="3746"/>
      <c r="Z6" s="3747"/>
      <c r="AA6" s="3720"/>
      <c r="AB6" s="3720"/>
      <c r="AC6" s="3769"/>
    </row>
    <row r="7" spans="1:29" s="108" customFormat="1" ht="15" thickBot="1">
      <c r="A7" s="362" t="s">
        <v>1679</v>
      </c>
      <c r="B7" s="363"/>
      <c r="C7" s="364">
        <f>'数据-取费表'!B2</f>
        <v>45699</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75" t="s">
        <v>1680</v>
      </c>
      <c r="Q7" s="3749"/>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1956"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75" t="s">
        <v>1683</v>
      </c>
      <c r="Q8" s="3722"/>
      <c r="R8" s="701" t="s">
        <v>14</v>
      </c>
      <c r="S8" s="702">
        <f t="shared" si="0"/>
        <v>100</v>
      </c>
      <c r="T8" s="701" t="s">
        <v>14</v>
      </c>
      <c r="U8" s="702">
        <f t="shared" si="1"/>
        <v>100</v>
      </c>
      <c r="V8" s="701" t="s">
        <v>14</v>
      </c>
      <c r="W8" s="702">
        <f t="shared" si="2"/>
        <v>100</v>
      </c>
      <c r="X8" s="703"/>
      <c r="Y8" s="3721" t="s">
        <v>1683</v>
      </c>
      <c r="Z8" s="3722"/>
      <c r="AA8" s="704">
        <f t="shared" ref="AA8:AA47" si="3">D8/F8</f>
        <v>1</v>
      </c>
      <c r="AB8" s="704">
        <f t="shared" ref="AB8:AB47" si="4">D8/H8</f>
        <v>1</v>
      </c>
      <c r="AC8" s="1956">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35" t="s">
        <v>1686</v>
      </c>
      <c r="Q9" s="1343" t="str">
        <f t="shared" ref="Q9:Q15" si="6">B9</f>
        <v>用途</v>
      </c>
      <c r="R9" s="701" t="s">
        <v>14</v>
      </c>
      <c r="S9" s="702">
        <f t="shared" si="0"/>
        <v>100</v>
      </c>
      <c r="T9" s="701" t="s">
        <v>14</v>
      </c>
      <c r="U9" s="702">
        <f t="shared" si="1"/>
        <v>100</v>
      </c>
      <c r="V9" s="701" t="s">
        <v>14</v>
      </c>
      <c r="W9" s="702">
        <f t="shared" si="2"/>
        <v>100</v>
      </c>
      <c r="X9" s="703"/>
      <c r="Y9" s="3665" t="s">
        <v>1687</v>
      </c>
      <c r="Z9" s="52" t="str">
        <f t="shared" ref="Z9:Z15" si="7">Q9</f>
        <v>用途</v>
      </c>
      <c r="AA9" s="704">
        <f t="shared" si="3"/>
        <v>1</v>
      </c>
      <c r="AB9" s="704">
        <f t="shared" si="4"/>
        <v>1</v>
      </c>
      <c r="AC9" s="1956">
        <f t="shared" si="5"/>
        <v>1</v>
      </c>
    </row>
    <row r="10" spans="1:29" s="378" customFormat="1" ht="28.8">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35"/>
      <c r="Q10" s="1343" t="str">
        <f t="shared" si="6"/>
        <v>土地使用年限（年）</v>
      </c>
      <c r="R10" s="701" t="s">
        <v>14</v>
      </c>
      <c r="S10" s="702">
        <f t="shared" si="0"/>
        <v>100</v>
      </c>
      <c r="T10" s="701" t="s">
        <v>14</v>
      </c>
      <c r="U10" s="702">
        <f t="shared" si="1"/>
        <v>100</v>
      </c>
      <c r="V10" s="701" t="s">
        <v>14</v>
      </c>
      <c r="W10" s="702">
        <f t="shared" si="2"/>
        <v>100</v>
      </c>
      <c r="X10" s="703"/>
      <c r="Y10" s="3665"/>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35"/>
      <c r="Q11" s="1343" t="str">
        <f t="shared" si="6"/>
        <v>容积率</v>
      </c>
      <c r="R11" s="701" t="s">
        <v>14</v>
      </c>
      <c r="S11" s="702">
        <f t="shared" si="0"/>
        <v>100</v>
      </c>
      <c r="T11" s="701" t="s">
        <v>14</v>
      </c>
      <c r="U11" s="702">
        <f t="shared" si="1"/>
        <v>100</v>
      </c>
      <c r="V11" s="701" t="s">
        <v>14</v>
      </c>
      <c r="W11" s="702">
        <f t="shared" si="2"/>
        <v>100</v>
      </c>
      <c r="X11" s="703"/>
      <c r="Y11" s="3665"/>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735"/>
      <c r="Q12" s="1343">
        <f t="shared" si="6"/>
        <v>111</v>
      </c>
      <c r="R12" s="701" t="s">
        <v>14</v>
      </c>
      <c r="S12" s="702">
        <f t="shared" si="0"/>
        <v>100</v>
      </c>
      <c r="T12" s="701" t="s">
        <v>14</v>
      </c>
      <c r="U12" s="702">
        <f t="shared" si="1"/>
        <v>100</v>
      </c>
      <c r="V12" s="701" t="s">
        <v>14</v>
      </c>
      <c r="W12" s="702">
        <f t="shared" si="2"/>
        <v>100</v>
      </c>
      <c r="X12" s="703"/>
      <c r="Y12" s="3665"/>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735"/>
      <c r="Q13" s="1343">
        <f t="shared" si="6"/>
        <v>111</v>
      </c>
      <c r="R13" s="701" t="s">
        <v>14</v>
      </c>
      <c r="S13" s="702">
        <f t="shared" si="0"/>
        <v>100</v>
      </c>
      <c r="T13" s="701" t="s">
        <v>14</v>
      </c>
      <c r="U13" s="702">
        <f t="shared" si="1"/>
        <v>100</v>
      </c>
      <c r="V13" s="701" t="s">
        <v>14</v>
      </c>
      <c r="W13" s="702">
        <f t="shared" si="2"/>
        <v>100</v>
      </c>
      <c r="X13" s="703"/>
      <c r="Y13" s="3665"/>
      <c r="Z13" s="52">
        <f t="shared" si="7"/>
        <v>111</v>
      </c>
      <c r="AA13" s="704">
        <f t="shared" si="3"/>
        <v>1</v>
      </c>
      <c r="AB13" s="704">
        <f t="shared" si="4"/>
        <v>1</v>
      </c>
      <c r="AC13" s="1956">
        <f t="shared" si="5"/>
        <v>1</v>
      </c>
    </row>
    <row r="14" spans="1:29" ht="15.6"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735"/>
      <c r="Q14" s="1343">
        <f t="shared" si="6"/>
        <v>111</v>
      </c>
      <c r="R14" s="701" t="s">
        <v>14</v>
      </c>
      <c r="S14" s="702">
        <f t="shared" si="0"/>
        <v>100</v>
      </c>
      <c r="T14" s="701" t="s">
        <v>14</v>
      </c>
      <c r="U14" s="702">
        <f t="shared" si="1"/>
        <v>100</v>
      </c>
      <c r="V14" s="701" t="s">
        <v>14</v>
      </c>
      <c r="W14" s="702">
        <f t="shared" si="2"/>
        <v>100</v>
      </c>
      <c r="X14" s="703"/>
      <c r="Y14" s="3665"/>
      <c r="Z14" s="52">
        <f t="shared" si="7"/>
        <v>111</v>
      </c>
      <c r="AA14" s="704">
        <f t="shared" si="3"/>
        <v>1</v>
      </c>
      <c r="AB14" s="704">
        <f t="shared" si="4"/>
        <v>1</v>
      </c>
      <c r="AC14" s="1956">
        <f t="shared" si="5"/>
        <v>1</v>
      </c>
    </row>
    <row r="15" spans="1:29" ht="69">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62" t="s">
        <v>1691</v>
      </c>
      <c r="Q15" s="1352" t="str">
        <f t="shared" si="6"/>
        <v>办公集聚程度</v>
      </c>
      <c r="R15" s="705" t="s">
        <v>14</v>
      </c>
      <c r="S15" s="706">
        <f t="shared" si="0"/>
        <v>100</v>
      </c>
      <c r="T15" s="705" t="s">
        <v>14</v>
      </c>
      <c r="U15" s="706">
        <f t="shared" si="1"/>
        <v>100</v>
      </c>
      <c r="V15" s="705" t="s">
        <v>14</v>
      </c>
      <c r="W15" s="706">
        <f t="shared" si="2"/>
        <v>100</v>
      </c>
      <c r="X15" s="1355"/>
      <c r="Y15" s="3755" t="s">
        <v>1691</v>
      </c>
      <c r="Z15" s="1356" t="str">
        <f t="shared" si="7"/>
        <v>办公集聚程度</v>
      </c>
      <c r="AA15" s="1353">
        <f t="shared" si="3"/>
        <v>1</v>
      </c>
      <c r="AB15" s="1353">
        <f t="shared" si="4"/>
        <v>1</v>
      </c>
      <c r="AC15" s="1959">
        <f t="shared" si="5"/>
        <v>1</v>
      </c>
    </row>
    <row r="16" spans="1:29" ht="15">
      <c r="A16" s="379"/>
      <c r="B16" s="578"/>
      <c r="C16" s="1903"/>
      <c r="D16" s="399"/>
      <c r="E16" s="398"/>
      <c r="F16" s="399"/>
      <c r="G16" s="1903"/>
      <c r="H16" s="401"/>
      <c r="I16" s="398"/>
      <c r="J16" s="399"/>
      <c r="K16" s="564"/>
      <c r="L16" s="2719"/>
      <c r="M16" s="2713"/>
      <c r="N16" s="2713"/>
      <c r="O16" s="2713"/>
      <c r="P16" s="3763"/>
      <c r="Q16" s="1352"/>
      <c r="R16" s="705"/>
      <c r="S16" s="706"/>
      <c r="T16" s="705"/>
      <c r="U16" s="706"/>
      <c r="V16" s="705"/>
      <c r="W16" s="706"/>
      <c r="X16" s="1355"/>
      <c r="Y16" s="3756"/>
      <c r="Z16" s="1356"/>
      <c r="AA16" s="1353">
        <v>1</v>
      </c>
      <c r="AB16" s="1353">
        <v>1</v>
      </c>
      <c r="AC16" s="1959">
        <v>1</v>
      </c>
    </row>
    <row r="17" spans="1:29" ht="82.8">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63"/>
      <c r="Q17" s="1352" t="str">
        <f>B17</f>
        <v>交通便捷度</v>
      </c>
      <c r="R17" s="705" t="s">
        <v>14</v>
      </c>
      <c r="S17" s="706">
        <f>F17</f>
        <v>100</v>
      </c>
      <c r="T17" s="705" t="s">
        <v>14</v>
      </c>
      <c r="U17" s="706">
        <f>H17</f>
        <v>100</v>
      </c>
      <c r="V17" s="705" t="s">
        <v>14</v>
      </c>
      <c r="W17" s="706">
        <f>J17</f>
        <v>100</v>
      </c>
      <c r="X17" s="1355"/>
      <c r="Y17" s="3756"/>
      <c r="Z17" s="1356" t="str">
        <f>Q17</f>
        <v>交通便捷度</v>
      </c>
      <c r="AA17" s="1353">
        <f t="shared" si="3"/>
        <v>1</v>
      </c>
      <c r="AB17" s="1353">
        <f t="shared" si="4"/>
        <v>1</v>
      </c>
      <c r="AC17" s="1959">
        <f t="shared" si="5"/>
        <v>1</v>
      </c>
    </row>
    <row r="18" spans="1:29" ht="15">
      <c r="A18" s="379"/>
      <c r="B18" s="580"/>
      <c r="C18" s="1961"/>
      <c r="D18" s="401"/>
      <c r="E18" s="1901"/>
      <c r="F18" s="401"/>
      <c r="G18" s="1902"/>
      <c r="H18" s="399"/>
      <c r="I18" s="1902"/>
      <c r="J18" s="399"/>
      <c r="K18" s="564"/>
      <c r="L18" s="2719"/>
      <c r="M18" s="2713"/>
      <c r="N18" s="2713"/>
      <c r="O18" s="2713"/>
      <c r="P18" s="3763"/>
      <c r="Q18" s="1352"/>
      <c r="R18" s="705"/>
      <c r="S18" s="706"/>
      <c r="T18" s="705"/>
      <c r="U18" s="706"/>
      <c r="V18" s="705"/>
      <c r="W18" s="706"/>
      <c r="X18" s="1355"/>
      <c r="Y18" s="3756"/>
      <c r="Z18" s="1356"/>
      <c r="AA18" s="1353">
        <v>1</v>
      </c>
      <c r="AB18" s="1353">
        <v>1</v>
      </c>
      <c r="AC18" s="1959">
        <v>1</v>
      </c>
    </row>
    <row r="19" spans="1:29" ht="41.4">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63"/>
      <c r="Q19" s="1352" t="str">
        <f>B19</f>
        <v>公共配套设施</v>
      </c>
      <c r="R19" s="705" t="s">
        <v>14</v>
      </c>
      <c r="S19" s="706">
        <f>F19</f>
        <v>100</v>
      </c>
      <c r="T19" s="705" t="s">
        <v>14</v>
      </c>
      <c r="U19" s="706">
        <f>H19</f>
        <v>100</v>
      </c>
      <c r="V19" s="705" t="s">
        <v>14</v>
      </c>
      <c r="W19" s="706">
        <f>J19</f>
        <v>100</v>
      </c>
      <c r="X19" s="1355"/>
      <c r="Y19" s="3756"/>
      <c r="Z19" s="1356" t="str">
        <f>Q19</f>
        <v>公共配套设施</v>
      </c>
      <c r="AA19" s="1353">
        <f t="shared" si="3"/>
        <v>1</v>
      </c>
      <c r="AB19" s="1353">
        <f t="shared" si="4"/>
        <v>1</v>
      </c>
      <c r="AC19" s="1959">
        <f t="shared" si="5"/>
        <v>1</v>
      </c>
    </row>
    <row r="20" spans="1:29" ht="15">
      <c r="A20" s="379"/>
      <c r="B20" s="580"/>
      <c r="C20" s="1903"/>
      <c r="D20" s="399"/>
      <c r="E20" s="1896"/>
      <c r="F20" s="399"/>
      <c r="G20" s="1897"/>
      <c r="H20" s="399"/>
      <c r="I20" s="1897"/>
      <c r="J20" s="399"/>
      <c r="K20" s="564"/>
      <c r="L20" s="2719"/>
      <c r="M20" s="2713"/>
      <c r="N20" s="2713"/>
      <c r="O20" s="2713"/>
      <c r="P20" s="3763"/>
      <c r="Q20" s="1352"/>
      <c r="R20" s="705"/>
      <c r="S20" s="706"/>
      <c r="T20" s="705"/>
      <c r="U20" s="706"/>
      <c r="V20" s="705"/>
      <c r="W20" s="706"/>
      <c r="X20" s="1355"/>
      <c r="Y20" s="3756"/>
      <c r="Z20" s="1356"/>
      <c r="AA20" s="1353">
        <v>1</v>
      </c>
      <c r="AB20" s="1353">
        <v>1</v>
      </c>
      <c r="AC20" s="1959">
        <v>1</v>
      </c>
    </row>
    <row r="21" spans="1:29" ht="27.6">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63"/>
      <c r="Q21" s="1352" t="str">
        <f>B21</f>
        <v>基础设施水平</v>
      </c>
      <c r="R21" s="705" t="s">
        <v>14</v>
      </c>
      <c r="S21" s="706">
        <f>F21</f>
        <v>100</v>
      </c>
      <c r="T21" s="705" t="s">
        <v>14</v>
      </c>
      <c r="U21" s="706">
        <f>H21</f>
        <v>100</v>
      </c>
      <c r="V21" s="705" t="s">
        <v>14</v>
      </c>
      <c r="W21" s="706">
        <f>J21</f>
        <v>100</v>
      </c>
      <c r="X21" s="1355"/>
      <c r="Y21" s="3756"/>
      <c r="Z21" s="1356" t="str">
        <f>Q21</f>
        <v>基础设施水平</v>
      </c>
      <c r="AA21" s="1353">
        <f t="shared" ref="AA21" si="8">D21/F21</f>
        <v>1</v>
      </c>
      <c r="AB21" s="1353">
        <f t="shared" ref="AB21" si="9">D21/H21</f>
        <v>1</v>
      </c>
      <c r="AC21" s="1959">
        <f t="shared" ref="AC21" si="10">D21/J21</f>
        <v>1</v>
      </c>
    </row>
    <row r="22" spans="1:29" ht="15">
      <c r="A22" s="379"/>
      <c r="B22" s="581"/>
      <c r="C22" s="1961"/>
      <c r="D22" s="399"/>
      <c r="E22" s="398"/>
      <c r="F22" s="399"/>
      <c r="G22" s="1903"/>
      <c r="H22" s="399"/>
      <c r="I22" s="1903"/>
      <c r="J22" s="399"/>
      <c r="K22" s="1130"/>
      <c r="L22" s="2719"/>
      <c r="M22" s="2713"/>
      <c r="N22" s="2713"/>
      <c r="O22" s="2713"/>
      <c r="P22" s="3763"/>
      <c r="Q22" s="1352"/>
      <c r="R22" s="705"/>
      <c r="S22" s="706"/>
      <c r="T22" s="705"/>
      <c r="U22" s="706"/>
      <c r="V22" s="705"/>
      <c r="W22" s="706"/>
      <c r="X22" s="1355"/>
      <c r="Y22" s="3756"/>
      <c r="Z22" s="1356"/>
      <c r="AA22" s="1353">
        <v>1</v>
      </c>
      <c r="AB22" s="1353">
        <v>1</v>
      </c>
      <c r="AC22" s="1959">
        <v>1</v>
      </c>
    </row>
    <row r="23" spans="1:29" ht="55.2">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63"/>
      <c r="Q23" s="1352" t="str">
        <f>B23</f>
        <v>环境质量</v>
      </c>
      <c r="R23" s="705" t="s">
        <v>14</v>
      </c>
      <c r="S23" s="706">
        <f>F23</f>
        <v>100</v>
      </c>
      <c r="T23" s="705" t="s">
        <v>14</v>
      </c>
      <c r="U23" s="706">
        <f>H23</f>
        <v>100</v>
      </c>
      <c r="V23" s="705" t="s">
        <v>14</v>
      </c>
      <c r="W23" s="706">
        <f>J23</f>
        <v>100</v>
      </c>
      <c r="X23" s="1355"/>
      <c r="Y23" s="3756"/>
      <c r="Z23" s="1356" t="str">
        <f>Q23</f>
        <v>环境质量</v>
      </c>
      <c r="AA23" s="1353">
        <f t="shared" si="3"/>
        <v>1</v>
      </c>
      <c r="AB23" s="1353">
        <f t="shared" si="4"/>
        <v>1</v>
      </c>
      <c r="AC23" s="1959">
        <f t="shared" si="5"/>
        <v>1</v>
      </c>
    </row>
    <row r="24" spans="1:29" ht="15">
      <c r="A24" s="379"/>
      <c r="B24" s="581"/>
      <c r="C24" s="1903"/>
      <c r="D24" s="399"/>
      <c r="E24" s="1896"/>
      <c r="F24" s="399"/>
      <c r="G24" s="1897"/>
      <c r="H24" s="399"/>
      <c r="I24" s="1897"/>
      <c r="J24" s="399"/>
      <c r="K24" s="564"/>
      <c r="L24" s="2719"/>
      <c r="M24" s="2713"/>
      <c r="N24" s="2713"/>
      <c r="O24" s="2713"/>
      <c r="P24" s="3763"/>
      <c r="Q24" s="1352"/>
      <c r="R24" s="705"/>
      <c r="S24" s="706"/>
      <c r="T24" s="705"/>
      <c r="U24" s="706"/>
      <c r="V24" s="705"/>
      <c r="W24" s="706"/>
      <c r="X24" s="1355"/>
      <c r="Y24" s="3756"/>
      <c r="Z24" s="1356"/>
      <c r="AA24" s="1353">
        <v>1</v>
      </c>
      <c r="AB24" s="1353">
        <v>1</v>
      </c>
      <c r="AC24" s="1959">
        <v>1</v>
      </c>
    </row>
    <row r="25" spans="1:29" ht="28.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63"/>
      <c r="Q25" s="1352" t="str">
        <f>B25</f>
        <v>毗邻道路的类型与等级</v>
      </c>
      <c r="R25" s="705" t="s">
        <v>14</v>
      </c>
      <c r="S25" s="706">
        <f>F25</f>
        <v>100</v>
      </c>
      <c r="T25" s="705" t="s">
        <v>14</v>
      </c>
      <c r="U25" s="706">
        <f>H25</f>
        <v>100</v>
      </c>
      <c r="V25" s="705" t="s">
        <v>14</v>
      </c>
      <c r="W25" s="706">
        <f>J25</f>
        <v>100</v>
      </c>
      <c r="X25" s="1355"/>
      <c r="Y25" s="3756"/>
      <c r="Z25" s="1356" t="str">
        <f>Q25</f>
        <v>毗邻道路的类型与等级</v>
      </c>
      <c r="AA25" s="1353">
        <f t="shared" si="3"/>
        <v>1</v>
      </c>
      <c r="AB25" s="1353">
        <f t="shared" si="4"/>
        <v>1</v>
      </c>
      <c r="AC25" s="1959">
        <f t="shared" si="5"/>
        <v>1</v>
      </c>
    </row>
    <row r="26" spans="1:29" ht="15">
      <c r="A26" s="358"/>
      <c r="B26" s="580"/>
      <c r="C26" s="582"/>
      <c r="D26" s="386"/>
      <c r="E26" s="565"/>
      <c r="F26" s="386"/>
      <c r="G26" s="582"/>
      <c r="H26" s="386"/>
      <c r="I26" s="565"/>
      <c r="J26" s="386"/>
      <c r="K26" s="564"/>
      <c r="L26" s="2719"/>
      <c r="M26" s="2713"/>
      <c r="N26" s="2713"/>
      <c r="O26" s="2713"/>
      <c r="P26" s="3763"/>
      <c r="Q26" s="1352"/>
      <c r="R26" s="705"/>
      <c r="S26" s="706"/>
      <c r="T26" s="705"/>
      <c r="U26" s="706"/>
      <c r="V26" s="705"/>
      <c r="W26" s="706"/>
      <c r="X26" s="1355"/>
      <c r="Y26" s="3756"/>
      <c r="Z26" s="1356"/>
      <c r="AA26" s="1353">
        <v>1</v>
      </c>
      <c r="AB26" s="1353">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63"/>
      <c r="Q27" s="1352" t="str">
        <f t="shared" ref="Q27:Q47" si="11">B27</f>
        <v>楼层</v>
      </c>
      <c r="R27" s="705" t="s">
        <v>14</v>
      </c>
      <c r="S27" s="706">
        <f>F27</f>
        <v>100</v>
      </c>
      <c r="T27" s="705" t="s">
        <v>14</v>
      </c>
      <c r="U27" s="706">
        <f>H27</f>
        <v>100</v>
      </c>
      <c r="V27" s="705" t="s">
        <v>14</v>
      </c>
      <c r="W27" s="706">
        <f>J27</f>
        <v>100</v>
      </c>
      <c r="X27" s="1355"/>
      <c r="Y27" s="3756"/>
      <c r="Z27" s="1356" t="str">
        <f>Q27</f>
        <v>楼层</v>
      </c>
      <c r="AA27" s="1353">
        <f t="shared" si="3"/>
        <v>1</v>
      </c>
      <c r="AB27" s="1353">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763"/>
      <c r="Q28" s="1343" t="str">
        <f t="shared" si="11"/>
        <v>朝向</v>
      </c>
      <c r="R28" s="701" t="s">
        <v>14</v>
      </c>
      <c r="S28" s="702">
        <f>F28</f>
        <v>100</v>
      </c>
      <c r="T28" s="701" t="s">
        <v>14</v>
      </c>
      <c r="U28" s="702">
        <f>H28</f>
        <v>100</v>
      </c>
      <c r="V28" s="701" t="s">
        <v>14</v>
      </c>
      <c r="W28" s="702">
        <f>J28</f>
        <v>100</v>
      </c>
      <c r="X28" s="703"/>
      <c r="Y28" s="3756"/>
      <c r="Z28" s="52" t="str">
        <f>Q28</f>
        <v>朝向</v>
      </c>
      <c r="AA28" s="1353">
        <f>D28/F28</f>
        <v>1</v>
      </c>
      <c r="AB28" s="1353">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763"/>
      <c r="Q29" s="1352">
        <f t="shared" si="11"/>
        <v>111</v>
      </c>
      <c r="R29" s="705" t="s">
        <v>14</v>
      </c>
      <c r="S29" s="706">
        <f t="shared" ref="S29:S47" si="12">F29</f>
        <v>100</v>
      </c>
      <c r="T29" s="705" t="s">
        <v>14</v>
      </c>
      <c r="U29" s="706">
        <f t="shared" ref="U29:U47" si="13">H29</f>
        <v>100</v>
      </c>
      <c r="V29" s="705" t="s">
        <v>14</v>
      </c>
      <c r="W29" s="706">
        <f t="shared" ref="W29:W47" si="14">J29</f>
        <v>100</v>
      </c>
      <c r="X29" s="1355"/>
      <c r="Y29" s="3756"/>
      <c r="Z29" s="1356">
        <f t="shared" ref="Z29:Z47" si="15">Q29</f>
        <v>111</v>
      </c>
      <c r="AA29" s="1353">
        <f t="shared" si="3"/>
        <v>1</v>
      </c>
      <c r="AB29" s="1353">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763"/>
      <c r="Q30" s="1352">
        <f t="shared" si="11"/>
        <v>111</v>
      </c>
      <c r="R30" s="705" t="s">
        <v>14</v>
      </c>
      <c r="S30" s="706">
        <f t="shared" si="12"/>
        <v>100</v>
      </c>
      <c r="T30" s="705" t="s">
        <v>14</v>
      </c>
      <c r="U30" s="706">
        <f t="shared" si="13"/>
        <v>100</v>
      </c>
      <c r="V30" s="705" t="s">
        <v>14</v>
      </c>
      <c r="W30" s="706">
        <f t="shared" si="14"/>
        <v>100</v>
      </c>
      <c r="X30" s="1355"/>
      <c r="Y30" s="3756"/>
      <c r="Z30" s="1356">
        <f t="shared" si="15"/>
        <v>111</v>
      </c>
      <c r="AA30" s="1353">
        <f t="shared" si="3"/>
        <v>1</v>
      </c>
      <c r="AB30" s="1353">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763"/>
      <c r="Q31" s="1352">
        <f t="shared" si="11"/>
        <v>111</v>
      </c>
      <c r="R31" s="705" t="s">
        <v>14</v>
      </c>
      <c r="S31" s="706">
        <f t="shared" si="12"/>
        <v>100</v>
      </c>
      <c r="T31" s="705" t="s">
        <v>14</v>
      </c>
      <c r="U31" s="706">
        <f t="shared" si="13"/>
        <v>100</v>
      </c>
      <c r="V31" s="705" t="s">
        <v>14</v>
      </c>
      <c r="W31" s="706">
        <f t="shared" si="14"/>
        <v>100</v>
      </c>
      <c r="X31" s="1355"/>
      <c r="Y31" s="3756"/>
      <c r="Z31" s="1356">
        <f t="shared" si="15"/>
        <v>111</v>
      </c>
      <c r="AA31" s="1353">
        <f t="shared" si="3"/>
        <v>1</v>
      </c>
      <c r="AB31" s="1353">
        <f t="shared" si="4"/>
        <v>1</v>
      </c>
      <c r="AC31" s="1959">
        <f t="shared" si="5"/>
        <v>1</v>
      </c>
    </row>
    <row r="32" spans="1:29" ht="15.6"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763"/>
      <c r="Q32" s="1352">
        <f t="shared" si="11"/>
        <v>111</v>
      </c>
      <c r="R32" s="705" t="s">
        <v>14</v>
      </c>
      <c r="S32" s="706">
        <f t="shared" si="12"/>
        <v>100</v>
      </c>
      <c r="T32" s="705" t="s">
        <v>14</v>
      </c>
      <c r="U32" s="706">
        <f t="shared" si="13"/>
        <v>100</v>
      </c>
      <c r="V32" s="705" t="s">
        <v>14</v>
      </c>
      <c r="W32" s="706">
        <f t="shared" si="14"/>
        <v>100</v>
      </c>
      <c r="X32" s="1355"/>
      <c r="Y32" s="3756"/>
      <c r="Z32" s="1356">
        <f t="shared" si="15"/>
        <v>111</v>
      </c>
      <c r="AA32" s="1353">
        <f t="shared" si="3"/>
        <v>1</v>
      </c>
      <c r="AB32" s="1353">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757" t="s">
        <v>1696</v>
      </c>
      <c r="Q33" s="1352" t="str">
        <f t="shared" si="11"/>
        <v>建筑类型</v>
      </c>
      <c r="R33" s="705" t="s">
        <v>14</v>
      </c>
      <c r="S33" s="706">
        <f t="shared" si="12"/>
        <v>100</v>
      </c>
      <c r="T33" s="705" t="s">
        <v>14</v>
      </c>
      <c r="U33" s="706">
        <f t="shared" si="13"/>
        <v>100</v>
      </c>
      <c r="V33" s="705" t="s">
        <v>14</v>
      </c>
      <c r="W33" s="706">
        <f t="shared" si="14"/>
        <v>100</v>
      </c>
      <c r="X33" s="1355"/>
      <c r="Y33" s="3760" t="s">
        <v>1696</v>
      </c>
      <c r="Z33" s="1356" t="str">
        <f t="shared" si="15"/>
        <v>建筑类型</v>
      </c>
      <c r="AA33" s="1353">
        <f t="shared" si="3"/>
        <v>1</v>
      </c>
      <c r="AB33" s="1353">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58"/>
      <c r="Q34" s="707" t="str">
        <f t="shared" si="11"/>
        <v>项目建筑规模</v>
      </c>
      <c r="R34" s="708" t="s">
        <v>14</v>
      </c>
      <c r="S34" s="709" t="e">
        <f t="shared" si="12"/>
        <v>#N/A</v>
      </c>
      <c r="T34" s="708" t="s">
        <v>14</v>
      </c>
      <c r="U34" s="709" t="e">
        <f t="shared" si="13"/>
        <v>#N/A</v>
      </c>
      <c r="V34" s="708" t="s">
        <v>14</v>
      </c>
      <c r="W34" s="709" t="e">
        <f t="shared" si="14"/>
        <v>#N/A</v>
      </c>
      <c r="X34" s="710"/>
      <c r="Y34" s="3760"/>
      <c r="Z34" s="711" t="str">
        <f t="shared" si="15"/>
        <v>项目建筑规模</v>
      </c>
      <c r="AA34" s="1353" t="e">
        <f t="shared" si="3"/>
        <v>#N/A</v>
      </c>
      <c r="AB34" s="1353"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58"/>
      <c r="Q35" s="1352" t="str">
        <f t="shared" si="11"/>
        <v>建筑结构</v>
      </c>
      <c r="R35" s="705" t="s">
        <v>14</v>
      </c>
      <c r="S35" s="706">
        <f t="shared" si="12"/>
        <v>100</v>
      </c>
      <c r="T35" s="705" t="s">
        <v>14</v>
      </c>
      <c r="U35" s="706">
        <f t="shared" si="13"/>
        <v>100</v>
      </c>
      <c r="V35" s="705" t="s">
        <v>14</v>
      </c>
      <c r="W35" s="706">
        <f t="shared" si="14"/>
        <v>100</v>
      </c>
      <c r="X35" s="1355"/>
      <c r="Y35" s="3760"/>
      <c r="Z35" s="1356" t="str">
        <f t="shared" si="15"/>
        <v>建筑结构</v>
      </c>
      <c r="AA35" s="1353">
        <f t="shared" si="3"/>
        <v>1</v>
      </c>
      <c r="AB35" s="1353">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58"/>
      <c r="Q36" s="1352" t="str">
        <f t="shared" si="11"/>
        <v>公共部分装修</v>
      </c>
      <c r="R36" s="705" t="s">
        <v>14</v>
      </c>
      <c r="S36" s="706">
        <f t="shared" si="12"/>
        <v>100</v>
      </c>
      <c r="T36" s="705" t="s">
        <v>14</v>
      </c>
      <c r="U36" s="706">
        <f t="shared" si="13"/>
        <v>100</v>
      </c>
      <c r="V36" s="705" t="s">
        <v>14</v>
      </c>
      <c r="W36" s="706">
        <f t="shared" si="14"/>
        <v>100</v>
      </c>
      <c r="X36" s="1355"/>
      <c r="Y36" s="3760"/>
      <c r="Z36" s="1356" t="str">
        <f t="shared" si="15"/>
        <v>公共部分装修</v>
      </c>
      <c r="AA36" s="1353">
        <f t="shared" si="3"/>
        <v>1</v>
      </c>
      <c r="AB36" s="1353">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58"/>
      <c r="Q37" s="1352" t="str">
        <f t="shared" si="11"/>
        <v>成新度</v>
      </c>
      <c r="R37" s="705" t="s">
        <v>14</v>
      </c>
      <c r="S37" s="706" t="e">
        <f t="shared" si="12"/>
        <v>#N/A</v>
      </c>
      <c r="T37" s="705" t="s">
        <v>14</v>
      </c>
      <c r="U37" s="706" t="e">
        <f t="shared" si="13"/>
        <v>#N/A</v>
      </c>
      <c r="V37" s="705" t="s">
        <v>14</v>
      </c>
      <c r="W37" s="706" t="e">
        <f t="shared" si="14"/>
        <v>#N/A</v>
      </c>
      <c r="X37" s="1355"/>
      <c r="Y37" s="3760"/>
      <c r="Z37" s="1356" t="str">
        <f t="shared" si="15"/>
        <v>成新度</v>
      </c>
      <c r="AA37" s="1353" t="e">
        <f t="shared" si="3"/>
        <v>#N/A</v>
      </c>
      <c r="AB37" s="1353"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58"/>
      <c r="Q38" s="1343" t="str">
        <f t="shared" si="11"/>
        <v>写字楼等级</v>
      </c>
      <c r="R38" s="701" t="s">
        <v>14</v>
      </c>
      <c r="S38" s="702">
        <f t="shared" si="12"/>
        <v>100</v>
      </c>
      <c r="T38" s="701" t="s">
        <v>14</v>
      </c>
      <c r="U38" s="702">
        <f t="shared" si="13"/>
        <v>100</v>
      </c>
      <c r="V38" s="701" t="s">
        <v>14</v>
      </c>
      <c r="W38" s="702">
        <f t="shared" si="14"/>
        <v>100</v>
      </c>
      <c r="X38" s="703"/>
      <c r="Y38" s="3760"/>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58" t="s">
        <v>1696</v>
      </c>
      <c r="Q39" s="1352" t="str">
        <f t="shared" si="11"/>
        <v>物业管理</v>
      </c>
      <c r="R39" s="705" t="s">
        <v>14</v>
      </c>
      <c r="S39" s="706">
        <f t="shared" si="12"/>
        <v>100</v>
      </c>
      <c r="T39" s="705" t="s">
        <v>14</v>
      </c>
      <c r="U39" s="706">
        <f t="shared" si="13"/>
        <v>100</v>
      </c>
      <c r="V39" s="705" t="s">
        <v>14</v>
      </c>
      <c r="W39" s="706">
        <f t="shared" si="14"/>
        <v>100</v>
      </c>
      <c r="X39" s="1355"/>
      <c r="Y39" s="3760" t="s">
        <v>1696</v>
      </c>
      <c r="Z39" s="1356" t="str">
        <f t="shared" si="15"/>
        <v>物业管理</v>
      </c>
      <c r="AA39" s="1353">
        <f t="shared" si="3"/>
        <v>1</v>
      </c>
      <c r="AB39" s="1353">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58"/>
      <c r="Q40" s="1352" t="str">
        <f t="shared" si="11"/>
        <v>市政基础设施</v>
      </c>
      <c r="R40" s="705" t="s">
        <v>14</v>
      </c>
      <c r="S40" s="706">
        <f t="shared" si="12"/>
        <v>100</v>
      </c>
      <c r="T40" s="705" t="s">
        <v>14</v>
      </c>
      <c r="U40" s="706">
        <f t="shared" si="13"/>
        <v>100</v>
      </c>
      <c r="V40" s="705" t="s">
        <v>14</v>
      </c>
      <c r="W40" s="706">
        <f t="shared" si="14"/>
        <v>100</v>
      </c>
      <c r="X40" s="1355"/>
      <c r="Y40" s="3760"/>
      <c r="Z40" s="1356" t="str">
        <f t="shared" si="15"/>
        <v>市政基础设施</v>
      </c>
      <c r="AA40" s="1353">
        <f t="shared" si="3"/>
        <v>1</v>
      </c>
      <c r="AB40" s="1353">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58"/>
      <c r="Q41" s="1352" t="str">
        <f t="shared" si="11"/>
        <v>层高</v>
      </c>
      <c r="R41" s="705" t="s">
        <v>14</v>
      </c>
      <c r="S41" s="706">
        <f t="shared" si="12"/>
        <v>100</v>
      </c>
      <c r="T41" s="705" t="s">
        <v>14</v>
      </c>
      <c r="U41" s="706">
        <f t="shared" si="13"/>
        <v>100</v>
      </c>
      <c r="V41" s="705" t="s">
        <v>14</v>
      </c>
      <c r="W41" s="706">
        <f t="shared" si="14"/>
        <v>100</v>
      </c>
      <c r="X41" s="1355"/>
      <c r="Y41" s="3760"/>
      <c r="Z41" s="1356" t="str">
        <f t="shared" si="15"/>
        <v>层高</v>
      </c>
      <c r="AA41" s="1353">
        <f t="shared" si="3"/>
        <v>1</v>
      </c>
      <c r="AB41" s="1353">
        <f t="shared" si="4"/>
        <v>1</v>
      </c>
      <c r="AC41" s="1959">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58"/>
      <c r="Q42" s="707" t="str">
        <f t="shared" si="11"/>
        <v>单套建筑面积</v>
      </c>
      <c r="R42" s="708" t="s">
        <v>14</v>
      </c>
      <c r="S42" s="709">
        <f t="shared" si="12"/>
        <v>100</v>
      </c>
      <c r="T42" s="708" t="s">
        <v>14</v>
      </c>
      <c r="U42" s="709">
        <f t="shared" si="13"/>
        <v>100</v>
      </c>
      <c r="V42" s="708" t="s">
        <v>14</v>
      </c>
      <c r="W42" s="709">
        <f t="shared" si="14"/>
        <v>100</v>
      </c>
      <c r="X42" s="710"/>
      <c r="Y42" s="3760"/>
      <c r="Z42" s="711" t="str">
        <f t="shared" si="15"/>
        <v>单套建筑面积</v>
      </c>
      <c r="AA42" s="1353">
        <f t="shared" si="3"/>
        <v>1</v>
      </c>
      <c r="AB42" s="1353">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58"/>
      <c r="Q43" s="1352" t="str">
        <f t="shared" si="11"/>
        <v>内部装修</v>
      </c>
      <c r="R43" s="705" t="s">
        <v>14</v>
      </c>
      <c r="S43" s="706">
        <f t="shared" si="12"/>
        <v>100</v>
      </c>
      <c r="T43" s="705" t="s">
        <v>14</v>
      </c>
      <c r="U43" s="706">
        <f t="shared" si="13"/>
        <v>100</v>
      </c>
      <c r="V43" s="705" t="s">
        <v>14</v>
      </c>
      <c r="W43" s="706">
        <f t="shared" si="14"/>
        <v>100</v>
      </c>
      <c r="X43" s="1355"/>
      <c r="Y43" s="3760"/>
      <c r="Z43" s="1356" t="str">
        <f t="shared" si="15"/>
        <v>内部装修</v>
      </c>
      <c r="AA43" s="1353">
        <f t="shared" si="3"/>
        <v>1</v>
      </c>
      <c r="AB43" s="1353">
        <f t="shared" si="4"/>
        <v>1</v>
      </c>
      <c r="AC43" s="1959">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58"/>
      <c r="Q44" s="1352" t="str">
        <f t="shared" si="11"/>
        <v>内部装修维护情况</v>
      </c>
      <c r="R44" s="705" t="s">
        <v>14</v>
      </c>
      <c r="S44" s="706">
        <f t="shared" si="12"/>
        <v>100</v>
      </c>
      <c r="T44" s="705" t="s">
        <v>14</v>
      </c>
      <c r="U44" s="706">
        <f t="shared" si="13"/>
        <v>100</v>
      </c>
      <c r="V44" s="705" t="s">
        <v>14</v>
      </c>
      <c r="W44" s="706">
        <f t="shared" si="14"/>
        <v>100</v>
      </c>
      <c r="X44" s="1355"/>
      <c r="Y44" s="3760"/>
      <c r="Z44" s="1356" t="str">
        <f t="shared" si="15"/>
        <v>内部装修维护情况</v>
      </c>
      <c r="AA44" s="1353">
        <f t="shared" si="3"/>
        <v>1</v>
      </c>
      <c r="AB44" s="1353">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58"/>
      <c r="Q45" s="1343">
        <f t="shared" si="11"/>
        <v>111</v>
      </c>
      <c r="R45" s="701" t="s">
        <v>14</v>
      </c>
      <c r="S45" s="702">
        <f t="shared" si="12"/>
        <v>100</v>
      </c>
      <c r="T45" s="701" t="s">
        <v>14</v>
      </c>
      <c r="U45" s="702">
        <f t="shared" si="13"/>
        <v>100</v>
      </c>
      <c r="V45" s="701" t="s">
        <v>14</v>
      </c>
      <c r="W45" s="702">
        <f t="shared" si="14"/>
        <v>100</v>
      </c>
      <c r="X45" s="703"/>
      <c r="Y45" s="3760"/>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58"/>
      <c r="Q46" s="1352">
        <f t="shared" si="11"/>
        <v>111</v>
      </c>
      <c r="R46" s="705" t="s">
        <v>14</v>
      </c>
      <c r="S46" s="706">
        <f t="shared" si="12"/>
        <v>100</v>
      </c>
      <c r="T46" s="705" t="s">
        <v>14</v>
      </c>
      <c r="U46" s="706">
        <f t="shared" si="13"/>
        <v>100</v>
      </c>
      <c r="V46" s="705" t="s">
        <v>14</v>
      </c>
      <c r="W46" s="706">
        <f t="shared" si="14"/>
        <v>100</v>
      </c>
      <c r="X46" s="1355"/>
      <c r="Y46" s="3760"/>
      <c r="Z46" s="1356">
        <f t="shared" si="15"/>
        <v>111</v>
      </c>
      <c r="AA46" s="1353">
        <f t="shared" si="3"/>
        <v>1</v>
      </c>
      <c r="AB46" s="1353">
        <f t="shared" si="4"/>
        <v>1</v>
      </c>
      <c r="AC46" s="1959">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59"/>
      <c r="Q47" s="1352">
        <f t="shared" si="11"/>
        <v>111</v>
      </c>
      <c r="R47" s="705" t="s">
        <v>14</v>
      </c>
      <c r="S47" s="706">
        <f t="shared" si="12"/>
        <v>100</v>
      </c>
      <c r="T47" s="705" t="s">
        <v>14</v>
      </c>
      <c r="U47" s="706">
        <f t="shared" si="13"/>
        <v>100</v>
      </c>
      <c r="V47" s="705" t="s">
        <v>14</v>
      </c>
      <c r="W47" s="706">
        <f t="shared" si="14"/>
        <v>100</v>
      </c>
      <c r="X47" s="1355"/>
      <c r="Y47" s="3761"/>
      <c r="Z47" s="1356">
        <f t="shared" si="15"/>
        <v>111</v>
      </c>
      <c r="AA47" s="1353">
        <f t="shared" si="3"/>
        <v>1</v>
      </c>
      <c r="AB47" s="1353">
        <f t="shared" si="4"/>
        <v>1</v>
      </c>
      <c r="AC47" s="1959">
        <f t="shared" si="5"/>
        <v>1</v>
      </c>
    </row>
    <row r="48" spans="1:29" ht="14.4">
      <c r="A48" s="430" t="s">
        <v>1708</v>
      </c>
      <c r="B48" s="431"/>
      <c r="C48" s="1154" t="s">
        <v>0</v>
      </c>
      <c r="D48" s="1155"/>
      <c r="E48" s="1156"/>
      <c r="F48" s="1157"/>
      <c r="G48" s="1158"/>
      <c r="H48" s="1159"/>
      <c r="I48" s="1156"/>
      <c r="J48" s="436"/>
      <c r="K48" s="714"/>
      <c r="L48" s="2721"/>
      <c r="M48" s="2713"/>
      <c r="N48" s="2713"/>
      <c r="O48" s="2713"/>
      <c r="P48" s="3735" t="str">
        <f>A48</f>
        <v>成交单价（元/平方米）</v>
      </c>
      <c r="Q48" s="3753"/>
      <c r="R48" s="3754">
        <f>E48</f>
        <v>0</v>
      </c>
      <c r="S48" s="3754"/>
      <c r="T48" s="3754">
        <f>G48</f>
        <v>0</v>
      </c>
      <c r="U48" s="3754"/>
      <c r="V48" s="3754">
        <f>I48</f>
        <v>0</v>
      </c>
      <c r="W48" s="3754"/>
      <c r="X48" s="397"/>
      <c r="Y48" s="712"/>
      <c r="Z48" s="397"/>
      <c r="AA48" s="397"/>
      <c r="AB48" s="397"/>
      <c r="AC48" s="578"/>
    </row>
    <row r="49" spans="1:29" ht="15" thickBot="1">
      <c r="A49" s="437" t="s">
        <v>1793</v>
      </c>
      <c r="B49" s="438"/>
      <c r="C49" s="1160" t="e">
        <f>R50</f>
        <v>#DIV/0!</v>
      </c>
      <c r="D49" s="2314" t="s">
        <v>2138</v>
      </c>
      <c r="E49" s="1161" t="e">
        <f>R49</f>
        <v>#DIV/0!</v>
      </c>
      <c r="F49" s="2315"/>
      <c r="G49" s="1160" t="e">
        <f>T49</f>
        <v>#DIV/0!</v>
      </c>
      <c r="H49" s="2315"/>
      <c r="I49" s="1161" t="e">
        <f>V49</f>
        <v>#DIV/0!</v>
      </c>
      <c r="J49" s="2315"/>
      <c r="K49" s="2317">
        <f>F49+H49+J49</f>
        <v>0</v>
      </c>
      <c r="L49" s="2721"/>
      <c r="M49" s="2713"/>
      <c r="N49" s="2713"/>
      <c r="O49" s="2713"/>
      <c r="P49" s="3735" t="str">
        <f>A49</f>
        <v>比较价值（元/平方米）</v>
      </c>
      <c r="Q49" s="3753"/>
      <c r="R49" s="3754" t="e">
        <f>IF(F1="售价",ROUND(PRODUCT(R48,AA7:AA47),0),ROUND(PRODUCT(R48,AA7:AA47),1))</f>
        <v>#DIV/0!</v>
      </c>
      <c r="S49" s="3754"/>
      <c r="T49" s="3754" t="e">
        <f>IF(F1="售价",ROUND(PRODUCT(T48,AB7:AB47),0),ROUND(PRODUCT(T48,AB7:AB47),1))</f>
        <v>#DIV/0!</v>
      </c>
      <c r="U49" s="3754"/>
      <c r="V49" s="3754" t="e">
        <f>IF(F1="售价",ROUND(PRODUCT(V48,AC7:AC47),0),ROUND(PRODUCT(V48,AC7:AC47),1))</f>
        <v>#DIV/0!</v>
      </c>
      <c r="W49" s="3754"/>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1"/>
      <c r="M50" s="2713"/>
      <c r="N50" s="2713"/>
      <c r="O50" s="2713"/>
      <c r="P50" s="3776" t="str">
        <f>A50</f>
        <v>估价对象XX用房的比较价值（楼面单价，元/平方米）</v>
      </c>
      <c r="Q50" s="3777"/>
      <c r="R50" s="3778" t="e">
        <f>IF(F1="售价",ROUND(IF(D49="简单平均",AVERAGE(R49:V49),R49*F49+T49*H49+V49*J49),0),ROUND(IF(D49="简单平均",AVERAGE(R49:V49),R49*F49+T49*H49+V49*J49),1))</f>
        <v>#DIV/0!</v>
      </c>
      <c r="S50" s="3778"/>
      <c r="T50" s="3778"/>
      <c r="U50" s="3778"/>
      <c r="V50" s="3778"/>
      <c r="W50" s="3778"/>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4.4">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6"/>
      <c r="Q59" s="2738"/>
      <c r="R59" s="2738"/>
      <c r="S59" s="2738"/>
      <c r="T59" s="2738"/>
      <c r="U59" s="2738"/>
      <c r="V59" s="2738"/>
      <c r="W59" s="2738"/>
      <c r="X59" s="2738"/>
      <c r="Y59" s="2738"/>
      <c r="Z59" s="2738"/>
      <c r="AA59" s="2738"/>
      <c r="AB59" s="2738"/>
      <c r="AC59" s="2738"/>
    </row>
    <row r="60" spans="1:29" s="108" customFormat="1">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4.4">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4.4"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ht="14.4">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4"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9.4"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4"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4.4"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4"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4"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4"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4"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4"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ht="14.4">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9.4"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4.4"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4"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4"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4"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4"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4"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ht="14.4">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4"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4"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4"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4"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4"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4"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4"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4"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4"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64.67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36" t="s">
        <v>1770</v>
      </c>
      <c r="D4" s="3737"/>
      <c r="E4" s="3738" t="s">
        <v>1771</v>
      </c>
      <c r="F4" s="3739"/>
      <c r="G4" s="3736" t="s">
        <v>1772</v>
      </c>
      <c r="H4" s="3737"/>
      <c r="I4" s="3736" t="s">
        <v>1773</v>
      </c>
      <c r="J4" s="3737"/>
      <c r="K4" s="559" t="s">
        <v>1774</v>
      </c>
      <c r="L4" s="913"/>
      <c r="M4" s="914"/>
      <c r="N4" s="914"/>
      <c r="O4" s="914"/>
      <c r="P4" s="3740" t="s">
        <v>1775</v>
      </c>
      <c r="Q4" s="3741"/>
      <c r="R4" s="3723" t="s">
        <v>1771</v>
      </c>
      <c r="S4" s="3724"/>
      <c r="T4" s="3723" t="s">
        <v>1772</v>
      </c>
      <c r="U4" s="3724"/>
      <c r="V4" s="3748" t="s">
        <v>1773</v>
      </c>
      <c r="W4" s="3748"/>
      <c r="X4" s="1355"/>
      <c r="Y4" s="3723" t="s">
        <v>1775</v>
      </c>
      <c r="Z4" s="3724"/>
      <c r="AA4" s="3718" t="s">
        <v>1771</v>
      </c>
      <c r="AB4" s="3719" t="s">
        <v>1772</v>
      </c>
      <c r="AC4" s="3718" t="s">
        <v>1773</v>
      </c>
    </row>
    <row r="5" spans="1:29">
      <c r="A5" s="358"/>
      <c r="B5" s="359"/>
      <c r="C5" s="3729" t="s">
        <v>1673</v>
      </c>
      <c r="D5" s="3730"/>
      <c r="E5" s="3727" t="s">
        <v>1674</v>
      </c>
      <c r="F5" s="3728"/>
      <c r="G5" s="3729" t="s">
        <v>1675</v>
      </c>
      <c r="H5" s="3730"/>
      <c r="I5" s="3729" t="s">
        <v>1676</v>
      </c>
      <c r="J5" s="3730"/>
      <c r="K5" s="559"/>
      <c r="L5" s="913"/>
      <c r="M5" s="914"/>
      <c r="N5" s="914"/>
      <c r="O5" s="914"/>
      <c r="P5" s="3742"/>
      <c r="Q5" s="3743"/>
      <c r="R5" s="3725"/>
      <c r="S5" s="3726"/>
      <c r="T5" s="3725"/>
      <c r="U5" s="3726"/>
      <c r="V5" s="3748"/>
      <c r="W5" s="3748"/>
      <c r="X5" s="1355"/>
      <c r="Y5" s="3725"/>
      <c r="Z5" s="3726"/>
      <c r="AA5" s="3719"/>
      <c r="AB5" s="3719"/>
      <c r="AC5" s="3719"/>
    </row>
    <row r="6" spans="1:29" ht="15" thickBot="1">
      <c r="A6" s="360"/>
      <c r="B6" s="361"/>
      <c r="C6" s="3731" t="s">
        <v>1677</v>
      </c>
      <c r="D6" s="3732"/>
      <c r="E6" s="3733" t="s">
        <v>1677</v>
      </c>
      <c r="F6" s="3734"/>
      <c r="G6" s="3731" t="s">
        <v>1677</v>
      </c>
      <c r="H6" s="3732"/>
      <c r="I6" s="3731" t="s">
        <v>1677</v>
      </c>
      <c r="J6" s="3732"/>
      <c r="K6" s="559" t="s">
        <v>1678</v>
      </c>
      <c r="L6" s="913"/>
      <c r="M6" s="914"/>
      <c r="N6" s="914"/>
      <c r="O6" s="914"/>
      <c r="P6" s="3744"/>
      <c r="Q6" s="3745"/>
      <c r="R6" s="3725"/>
      <c r="S6" s="3726"/>
      <c r="T6" s="3746"/>
      <c r="U6" s="3747"/>
      <c r="V6" s="3748"/>
      <c r="W6" s="3748"/>
      <c r="X6" s="1355"/>
      <c r="Y6" s="3746"/>
      <c r="Z6" s="3747"/>
      <c r="AA6" s="3720"/>
      <c r="AB6" s="3720"/>
      <c r="AC6" s="3720"/>
    </row>
    <row r="7" spans="1:29" s="108" customFormat="1" ht="15" thickBot="1">
      <c r="A7" s="362" t="s">
        <v>1679</v>
      </c>
      <c r="B7" s="363"/>
      <c r="C7" s="364">
        <f>'数据-取费表'!B2</f>
        <v>45699</v>
      </c>
      <c r="D7" s="365">
        <v>100</v>
      </c>
      <c r="E7" s="366"/>
      <c r="F7" s="367">
        <f>SUMIF(52:52,YEAR(E7)&amp;"-"&amp;MONTH(E7),53:53)</f>
        <v>0</v>
      </c>
      <c r="G7" s="366"/>
      <c r="H7" s="365">
        <f>SUMIF(52:52,YEAR(G7)&amp;"-"&amp;MONTH(G7),53:53)</f>
        <v>0</v>
      </c>
      <c r="I7" s="366"/>
      <c r="J7" s="365">
        <f>SUMIF(52:52,YEAR(I7)&amp;"-"&amp;MONTH(I7),53:53)</f>
        <v>0</v>
      </c>
      <c r="K7" s="560"/>
      <c r="L7" s="915"/>
      <c r="M7" s="916"/>
      <c r="N7" s="916"/>
      <c r="O7" s="916"/>
      <c r="P7" s="3721" t="s">
        <v>1680</v>
      </c>
      <c r="Q7" s="3749"/>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1" t="s">
        <v>1683</v>
      </c>
      <c r="Q8" s="3722"/>
      <c r="R8" s="701" t="s">
        <v>14</v>
      </c>
      <c r="S8" s="702">
        <f t="shared" si="0"/>
        <v>100</v>
      </c>
      <c r="T8" s="701" t="s">
        <v>14</v>
      </c>
      <c r="U8" s="702">
        <f t="shared" si="1"/>
        <v>100</v>
      </c>
      <c r="V8" s="701" t="s">
        <v>14</v>
      </c>
      <c r="W8" s="702">
        <f t="shared" si="2"/>
        <v>100</v>
      </c>
      <c r="X8" s="703"/>
      <c r="Y8" s="3721" t="s">
        <v>1683</v>
      </c>
      <c r="Z8" s="372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3" t="s">
        <v>1686</v>
      </c>
      <c r="Q9" s="1343" t="str">
        <f t="shared" ref="Q9:Q15" si="6">B9</f>
        <v>用途</v>
      </c>
      <c r="R9" s="701" t="s">
        <v>14</v>
      </c>
      <c r="S9" s="702">
        <f t="shared" si="0"/>
        <v>100</v>
      </c>
      <c r="T9" s="701" t="s">
        <v>14</v>
      </c>
      <c r="U9" s="702">
        <f t="shared" si="1"/>
        <v>100</v>
      </c>
      <c r="V9" s="701" t="s">
        <v>14</v>
      </c>
      <c r="W9" s="702">
        <f t="shared" si="2"/>
        <v>100</v>
      </c>
      <c r="X9" s="703"/>
      <c r="Y9" s="3665"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53"/>
      <c r="Q10" s="1343" t="str">
        <f t="shared" si="6"/>
        <v>土地使用年限（年）</v>
      </c>
      <c r="R10" s="701" t="s">
        <v>14</v>
      </c>
      <c r="S10" s="702">
        <f t="shared" si="0"/>
        <v>100</v>
      </c>
      <c r="T10" s="701" t="s">
        <v>14</v>
      </c>
      <c r="U10" s="702">
        <f t="shared" si="1"/>
        <v>100</v>
      </c>
      <c r="V10" s="701" t="s">
        <v>14</v>
      </c>
      <c r="W10" s="702">
        <f t="shared" si="2"/>
        <v>100</v>
      </c>
      <c r="X10" s="703"/>
      <c r="Y10" s="366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3"/>
      <c r="Q11" s="1343" t="str">
        <f t="shared" si="6"/>
        <v>容积率</v>
      </c>
      <c r="R11" s="701" t="s">
        <v>14</v>
      </c>
      <c r="S11" s="702">
        <f t="shared" si="0"/>
        <v>100</v>
      </c>
      <c r="T11" s="701" t="s">
        <v>14</v>
      </c>
      <c r="U11" s="702">
        <f t="shared" si="1"/>
        <v>100</v>
      </c>
      <c r="V11" s="701" t="s">
        <v>14</v>
      </c>
      <c r="W11" s="702">
        <f t="shared" si="2"/>
        <v>100</v>
      </c>
      <c r="X11" s="703"/>
      <c r="Y11" s="366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53"/>
      <c r="Q12" s="1343">
        <f t="shared" si="6"/>
        <v>111</v>
      </c>
      <c r="R12" s="701" t="s">
        <v>14</v>
      </c>
      <c r="S12" s="702">
        <f t="shared" si="0"/>
        <v>100</v>
      </c>
      <c r="T12" s="701" t="s">
        <v>14</v>
      </c>
      <c r="U12" s="702">
        <f t="shared" si="1"/>
        <v>100</v>
      </c>
      <c r="V12" s="701" t="s">
        <v>14</v>
      </c>
      <c r="W12" s="702">
        <f t="shared" si="2"/>
        <v>100</v>
      </c>
      <c r="X12" s="703"/>
      <c r="Y12" s="366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53"/>
      <c r="Q13" s="1343">
        <f t="shared" si="6"/>
        <v>111</v>
      </c>
      <c r="R13" s="701" t="s">
        <v>14</v>
      </c>
      <c r="S13" s="702">
        <f t="shared" si="0"/>
        <v>100</v>
      </c>
      <c r="T13" s="701" t="s">
        <v>14</v>
      </c>
      <c r="U13" s="702">
        <f t="shared" si="1"/>
        <v>100</v>
      </c>
      <c r="V13" s="701" t="s">
        <v>14</v>
      </c>
      <c r="W13" s="702">
        <f t="shared" si="2"/>
        <v>100</v>
      </c>
      <c r="X13" s="703"/>
      <c r="Y13" s="3665"/>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53"/>
      <c r="Q14" s="1343">
        <f t="shared" si="6"/>
        <v>111</v>
      </c>
      <c r="R14" s="701" t="s">
        <v>14</v>
      </c>
      <c r="S14" s="702">
        <f t="shared" si="0"/>
        <v>100</v>
      </c>
      <c r="T14" s="701" t="s">
        <v>14</v>
      </c>
      <c r="U14" s="702">
        <f t="shared" si="1"/>
        <v>100</v>
      </c>
      <c r="V14" s="701" t="s">
        <v>14</v>
      </c>
      <c r="W14" s="702">
        <f t="shared" si="2"/>
        <v>100</v>
      </c>
      <c r="X14" s="703"/>
      <c r="Y14" s="3665"/>
      <c r="Z14" s="52">
        <f t="shared" si="7"/>
        <v>111</v>
      </c>
      <c r="AA14" s="704">
        <f t="shared" si="3"/>
        <v>1</v>
      </c>
      <c r="AB14" s="704">
        <f t="shared" si="4"/>
        <v>1</v>
      </c>
      <c r="AC14" s="704">
        <f t="shared" si="5"/>
        <v>1</v>
      </c>
    </row>
    <row r="15" spans="1:29" ht="69">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5" t="s">
        <v>1691</v>
      </c>
      <c r="Q15" s="1352" t="str">
        <f t="shared" si="6"/>
        <v>产业集聚程度</v>
      </c>
      <c r="R15" s="705" t="s">
        <v>14</v>
      </c>
      <c r="S15" s="706">
        <f t="shared" si="0"/>
        <v>100</v>
      </c>
      <c r="T15" s="705" t="s">
        <v>14</v>
      </c>
      <c r="U15" s="706">
        <f t="shared" si="1"/>
        <v>100</v>
      </c>
      <c r="V15" s="705" t="s">
        <v>14</v>
      </c>
      <c r="W15" s="706">
        <f t="shared" si="2"/>
        <v>100</v>
      </c>
      <c r="X15" s="1355"/>
      <c r="Y15" s="375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6"/>
      <c r="Q16" s="1352"/>
      <c r="R16" s="705"/>
      <c r="S16" s="706"/>
      <c r="T16" s="705"/>
      <c r="U16" s="706"/>
      <c r="V16" s="705"/>
      <c r="W16" s="706"/>
      <c r="X16" s="1355"/>
      <c r="Y16" s="3756"/>
      <c r="Z16" s="1356"/>
      <c r="AA16" s="1353">
        <v>1</v>
      </c>
      <c r="AB16" s="1353">
        <v>1</v>
      </c>
      <c r="AC16" s="1353">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6"/>
      <c r="Q17" s="1352" t="str">
        <f>B17</f>
        <v>交通便捷度</v>
      </c>
      <c r="R17" s="705" t="s">
        <v>14</v>
      </c>
      <c r="S17" s="706">
        <f>F17</f>
        <v>100</v>
      </c>
      <c r="T17" s="705" t="s">
        <v>14</v>
      </c>
      <c r="U17" s="706">
        <f>H17</f>
        <v>100</v>
      </c>
      <c r="V17" s="705" t="s">
        <v>14</v>
      </c>
      <c r="W17" s="706">
        <f>J17</f>
        <v>100</v>
      </c>
      <c r="X17" s="1355"/>
      <c r="Y17" s="3756"/>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56"/>
      <c r="Q18" s="1352"/>
      <c r="R18" s="705"/>
      <c r="S18" s="706"/>
      <c r="T18" s="705"/>
      <c r="U18" s="706"/>
      <c r="V18" s="705"/>
      <c r="W18" s="706"/>
      <c r="X18" s="1355"/>
      <c r="Y18" s="3756"/>
      <c r="Z18" s="1356"/>
      <c r="AA18" s="1353">
        <v>1</v>
      </c>
      <c r="AB18" s="1353">
        <v>1</v>
      </c>
      <c r="AC18" s="1353">
        <v>1</v>
      </c>
    </row>
    <row r="19" spans="1:29" ht="41.4">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6"/>
      <c r="Q19" s="1352" t="str">
        <f>B19</f>
        <v>公共配套设施</v>
      </c>
      <c r="R19" s="705" t="s">
        <v>14</v>
      </c>
      <c r="S19" s="706">
        <f>F19</f>
        <v>100</v>
      </c>
      <c r="T19" s="705" t="s">
        <v>14</v>
      </c>
      <c r="U19" s="706">
        <f>H19</f>
        <v>100</v>
      </c>
      <c r="V19" s="705" t="s">
        <v>14</v>
      </c>
      <c r="W19" s="706">
        <f>J19</f>
        <v>100</v>
      </c>
      <c r="X19" s="1355"/>
      <c r="Y19" s="3756"/>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56"/>
      <c r="Q20" s="1352"/>
      <c r="R20" s="705"/>
      <c r="S20" s="706"/>
      <c r="T20" s="705"/>
      <c r="U20" s="706"/>
      <c r="V20" s="705"/>
      <c r="W20" s="706"/>
      <c r="X20" s="1355"/>
      <c r="Y20" s="3756"/>
      <c r="Z20" s="1356"/>
      <c r="AA20" s="1353">
        <v>1</v>
      </c>
      <c r="AB20" s="1353">
        <v>1</v>
      </c>
      <c r="AC20" s="1353">
        <v>1</v>
      </c>
    </row>
    <row r="21" spans="1:29" ht="41.4">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6"/>
      <c r="Q21" s="1352" t="str">
        <f>B21</f>
        <v>基础设施水平</v>
      </c>
      <c r="R21" s="705" t="s">
        <v>14</v>
      </c>
      <c r="S21" s="706">
        <f>F21</f>
        <v>100</v>
      </c>
      <c r="T21" s="705" t="s">
        <v>14</v>
      </c>
      <c r="U21" s="706">
        <f>H21</f>
        <v>100</v>
      </c>
      <c r="V21" s="705" t="s">
        <v>14</v>
      </c>
      <c r="W21" s="706">
        <f>J21</f>
        <v>100</v>
      </c>
      <c r="X21" s="1355"/>
      <c r="Y21" s="3756"/>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56"/>
      <c r="Q22" s="1352"/>
      <c r="R22" s="705"/>
      <c r="S22" s="706"/>
      <c r="T22" s="705"/>
      <c r="U22" s="706"/>
      <c r="V22" s="705"/>
      <c r="W22" s="706"/>
      <c r="X22" s="1355"/>
      <c r="Y22" s="3756"/>
      <c r="Z22" s="1356"/>
      <c r="AA22" s="1353">
        <v>1</v>
      </c>
      <c r="AB22" s="1353">
        <v>1</v>
      </c>
      <c r="AC22" s="1353">
        <v>1</v>
      </c>
    </row>
    <row r="23" spans="1:29" ht="82.8">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6"/>
      <c r="Q23" s="1352" t="str">
        <f>B23</f>
        <v>环境质量</v>
      </c>
      <c r="R23" s="705" t="s">
        <v>14</v>
      </c>
      <c r="S23" s="706">
        <f>F23</f>
        <v>100</v>
      </c>
      <c r="T23" s="705" t="s">
        <v>14</v>
      </c>
      <c r="U23" s="706">
        <f>H23</f>
        <v>100</v>
      </c>
      <c r="V23" s="705" t="s">
        <v>14</v>
      </c>
      <c r="W23" s="706">
        <f>J23</f>
        <v>100</v>
      </c>
      <c r="X23" s="1355"/>
      <c r="Y23" s="3756"/>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56"/>
      <c r="Q24" s="1352"/>
      <c r="R24" s="705"/>
      <c r="S24" s="706"/>
      <c r="T24" s="705"/>
      <c r="U24" s="706"/>
      <c r="V24" s="705"/>
      <c r="W24" s="706"/>
      <c r="X24" s="1355"/>
      <c r="Y24" s="375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6"/>
      <c r="Q25" s="1352">
        <f>B25</f>
        <v>111</v>
      </c>
      <c r="R25" s="705" t="s">
        <v>14</v>
      </c>
      <c r="S25" s="706">
        <f>F25</f>
        <v>100</v>
      </c>
      <c r="T25" s="705" t="s">
        <v>14</v>
      </c>
      <c r="U25" s="706">
        <f>H25</f>
        <v>100</v>
      </c>
      <c r="V25" s="705" t="s">
        <v>14</v>
      </c>
      <c r="W25" s="706">
        <f>J25</f>
        <v>100</v>
      </c>
      <c r="X25" s="1355"/>
      <c r="Y25" s="375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6"/>
      <c r="Q26" s="1352">
        <f t="shared" ref="Q26:Q40" si="11">B26</f>
        <v>111</v>
      </c>
      <c r="R26" s="705" t="s">
        <v>14</v>
      </c>
      <c r="S26" s="706">
        <f>F26</f>
        <v>100</v>
      </c>
      <c r="T26" s="705" t="s">
        <v>14</v>
      </c>
      <c r="U26" s="706">
        <f>H26</f>
        <v>100</v>
      </c>
      <c r="V26" s="705" t="s">
        <v>14</v>
      </c>
      <c r="W26" s="706">
        <f>J26</f>
        <v>100</v>
      </c>
      <c r="X26" s="1355"/>
      <c r="Y26" s="375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6"/>
      <c r="Q27" s="1343">
        <f t="shared" si="11"/>
        <v>111</v>
      </c>
      <c r="R27" s="701" t="s">
        <v>14</v>
      </c>
      <c r="S27" s="702">
        <f>F27</f>
        <v>100</v>
      </c>
      <c r="T27" s="701" t="s">
        <v>14</v>
      </c>
      <c r="U27" s="702">
        <f>H27</f>
        <v>100</v>
      </c>
      <c r="V27" s="701" t="s">
        <v>14</v>
      </c>
      <c r="W27" s="702">
        <f>J27</f>
        <v>100</v>
      </c>
      <c r="X27" s="703"/>
      <c r="Y27" s="375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6"/>
      <c r="Q28" s="1352">
        <f t="shared" si="11"/>
        <v>111</v>
      </c>
      <c r="R28" s="705" t="s">
        <v>14</v>
      </c>
      <c r="S28" s="706">
        <f t="shared" ref="S28:S40" si="12">F28</f>
        <v>100</v>
      </c>
      <c r="T28" s="705" t="s">
        <v>14</v>
      </c>
      <c r="U28" s="706">
        <f t="shared" ref="U28:U40" si="13">H28</f>
        <v>100</v>
      </c>
      <c r="V28" s="705" t="s">
        <v>14</v>
      </c>
      <c r="W28" s="706">
        <f t="shared" ref="W28:W40" si="14">J28</f>
        <v>100</v>
      </c>
      <c r="X28" s="1355"/>
      <c r="Y28" s="3756"/>
      <c r="Z28" s="1356">
        <f t="shared" ref="Z28:Z40" si="15">Q28</f>
        <v>111</v>
      </c>
      <c r="AA28" s="1353">
        <f t="shared" si="3"/>
        <v>1</v>
      </c>
      <c r="AB28" s="1353">
        <f t="shared" si="4"/>
        <v>1</v>
      </c>
      <c r="AC28" s="1353">
        <f t="shared" si="5"/>
        <v>1</v>
      </c>
    </row>
    <row r="29" spans="1:29" ht="30">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79" t="s">
        <v>1696</v>
      </c>
      <c r="Q29" s="1352" t="str">
        <f t="shared" si="11"/>
        <v>建筑类型</v>
      </c>
      <c r="R29" s="705" t="s">
        <v>14</v>
      </c>
      <c r="S29" s="706">
        <f t="shared" si="12"/>
        <v>100</v>
      </c>
      <c r="T29" s="705" t="s">
        <v>14</v>
      </c>
      <c r="U29" s="706">
        <f t="shared" si="13"/>
        <v>100</v>
      </c>
      <c r="V29" s="705" t="s">
        <v>14</v>
      </c>
      <c r="W29" s="706">
        <f t="shared" si="14"/>
        <v>100</v>
      </c>
      <c r="X29" s="1355"/>
      <c r="Y29" s="376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0"/>
      <c r="Q30" s="707" t="str">
        <f t="shared" si="11"/>
        <v>项目建筑规模</v>
      </c>
      <c r="R30" s="708" t="s">
        <v>14</v>
      </c>
      <c r="S30" s="709" t="e">
        <f t="shared" si="12"/>
        <v>#N/A</v>
      </c>
      <c r="T30" s="708" t="s">
        <v>14</v>
      </c>
      <c r="U30" s="709" t="e">
        <f t="shared" si="13"/>
        <v>#N/A</v>
      </c>
      <c r="V30" s="708" t="s">
        <v>14</v>
      </c>
      <c r="W30" s="709" t="e">
        <f t="shared" si="14"/>
        <v>#N/A</v>
      </c>
      <c r="X30" s="710"/>
      <c r="Y30" s="376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0"/>
      <c r="Q31" s="1352" t="str">
        <f t="shared" si="11"/>
        <v>建筑结构</v>
      </c>
      <c r="R31" s="705" t="s">
        <v>14</v>
      </c>
      <c r="S31" s="706">
        <f t="shared" si="12"/>
        <v>100</v>
      </c>
      <c r="T31" s="705" t="s">
        <v>14</v>
      </c>
      <c r="U31" s="706">
        <f t="shared" si="13"/>
        <v>100</v>
      </c>
      <c r="V31" s="705" t="s">
        <v>14</v>
      </c>
      <c r="W31" s="706">
        <f t="shared" si="14"/>
        <v>100</v>
      </c>
      <c r="X31" s="1355"/>
      <c r="Y31" s="376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0"/>
      <c r="Q32" s="1352" t="str">
        <f t="shared" si="11"/>
        <v>公共部分装修</v>
      </c>
      <c r="R32" s="705" t="s">
        <v>14</v>
      </c>
      <c r="S32" s="706">
        <f t="shared" si="12"/>
        <v>100</v>
      </c>
      <c r="T32" s="705" t="s">
        <v>14</v>
      </c>
      <c r="U32" s="706">
        <f t="shared" si="13"/>
        <v>100</v>
      </c>
      <c r="V32" s="705" t="s">
        <v>14</v>
      </c>
      <c r="W32" s="706">
        <f t="shared" si="14"/>
        <v>100</v>
      </c>
      <c r="X32" s="1355"/>
      <c r="Y32" s="376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0"/>
      <c r="Q33" s="1352" t="str">
        <f t="shared" si="11"/>
        <v>成新度</v>
      </c>
      <c r="R33" s="705" t="s">
        <v>14</v>
      </c>
      <c r="S33" s="706" t="e">
        <f t="shared" si="12"/>
        <v>#N/A</v>
      </c>
      <c r="T33" s="705" t="s">
        <v>14</v>
      </c>
      <c r="U33" s="706" t="e">
        <f t="shared" si="13"/>
        <v>#N/A</v>
      </c>
      <c r="V33" s="705" t="s">
        <v>14</v>
      </c>
      <c r="W33" s="706" t="e">
        <f t="shared" si="14"/>
        <v>#N/A</v>
      </c>
      <c r="X33" s="1355"/>
      <c r="Y33" s="376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0"/>
      <c r="Q34" s="1343" t="str">
        <f t="shared" si="11"/>
        <v>物业管理</v>
      </c>
      <c r="R34" s="701" t="s">
        <v>14</v>
      </c>
      <c r="S34" s="702">
        <f t="shared" si="12"/>
        <v>100</v>
      </c>
      <c r="T34" s="701" t="s">
        <v>14</v>
      </c>
      <c r="U34" s="702">
        <f t="shared" si="13"/>
        <v>100</v>
      </c>
      <c r="V34" s="701" t="s">
        <v>14</v>
      </c>
      <c r="W34" s="702">
        <f t="shared" si="14"/>
        <v>100</v>
      </c>
      <c r="X34" s="703"/>
      <c r="Y34" s="376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0" t="s">
        <v>1696</v>
      </c>
      <c r="Q35" s="1352" t="str">
        <f t="shared" si="11"/>
        <v>市政基础设施</v>
      </c>
      <c r="R35" s="705" t="s">
        <v>14</v>
      </c>
      <c r="S35" s="706">
        <f t="shared" si="12"/>
        <v>100</v>
      </c>
      <c r="T35" s="705" t="s">
        <v>14</v>
      </c>
      <c r="U35" s="706">
        <f t="shared" si="13"/>
        <v>100</v>
      </c>
      <c r="V35" s="705" t="s">
        <v>14</v>
      </c>
      <c r="W35" s="706">
        <f t="shared" si="14"/>
        <v>100</v>
      </c>
      <c r="X35" s="1355"/>
      <c r="Y35" s="376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0"/>
      <c r="Q36" s="1352" t="str">
        <f t="shared" si="11"/>
        <v>内部装修</v>
      </c>
      <c r="R36" s="705" t="s">
        <v>14</v>
      </c>
      <c r="S36" s="706">
        <f t="shared" si="12"/>
        <v>100</v>
      </c>
      <c r="T36" s="705" t="s">
        <v>14</v>
      </c>
      <c r="U36" s="706">
        <f t="shared" si="13"/>
        <v>100</v>
      </c>
      <c r="V36" s="705" t="s">
        <v>14</v>
      </c>
      <c r="W36" s="706">
        <f t="shared" si="14"/>
        <v>100</v>
      </c>
      <c r="X36" s="1355"/>
      <c r="Y36" s="376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0"/>
      <c r="Q37" s="1352" t="str">
        <f t="shared" si="11"/>
        <v>内部装修状况</v>
      </c>
      <c r="R37" s="705" t="s">
        <v>14</v>
      </c>
      <c r="S37" s="706">
        <f t="shared" si="12"/>
        <v>100</v>
      </c>
      <c r="T37" s="705" t="s">
        <v>14</v>
      </c>
      <c r="U37" s="706">
        <f t="shared" si="13"/>
        <v>100</v>
      </c>
      <c r="V37" s="705" t="s">
        <v>14</v>
      </c>
      <c r="W37" s="706">
        <f t="shared" si="14"/>
        <v>100</v>
      </c>
      <c r="X37" s="1355"/>
      <c r="Y37" s="376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0"/>
      <c r="Q38" s="707">
        <f t="shared" si="11"/>
        <v>111</v>
      </c>
      <c r="R38" s="708" t="s">
        <v>14</v>
      </c>
      <c r="S38" s="709">
        <f t="shared" si="12"/>
        <v>100</v>
      </c>
      <c r="T38" s="708" t="s">
        <v>14</v>
      </c>
      <c r="U38" s="709">
        <f t="shared" si="13"/>
        <v>100</v>
      </c>
      <c r="V38" s="708" t="s">
        <v>14</v>
      </c>
      <c r="W38" s="709">
        <f t="shared" si="14"/>
        <v>100</v>
      </c>
      <c r="X38" s="710"/>
      <c r="Y38" s="376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0"/>
      <c r="Q39" s="1352">
        <f t="shared" si="11"/>
        <v>111</v>
      </c>
      <c r="R39" s="705" t="s">
        <v>14</v>
      </c>
      <c r="S39" s="706">
        <f t="shared" si="12"/>
        <v>100</v>
      </c>
      <c r="T39" s="705" t="s">
        <v>14</v>
      </c>
      <c r="U39" s="706">
        <f t="shared" si="13"/>
        <v>100</v>
      </c>
      <c r="V39" s="705" t="s">
        <v>14</v>
      </c>
      <c r="W39" s="706">
        <f t="shared" si="14"/>
        <v>100</v>
      </c>
      <c r="X39" s="1355"/>
      <c r="Y39" s="3760"/>
      <c r="Z39" s="1356">
        <f t="shared" si="15"/>
        <v>111</v>
      </c>
      <c r="AA39" s="1353">
        <f t="shared" si="3"/>
        <v>1</v>
      </c>
      <c r="AB39" s="1353">
        <f t="shared" si="4"/>
        <v>1</v>
      </c>
      <c r="AC39" s="1353">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1"/>
      <c r="Q40" s="1352">
        <f t="shared" si="11"/>
        <v>111</v>
      </c>
      <c r="R40" s="705" t="s">
        <v>14</v>
      </c>
      <c r="S40" s="706">
        <f t="shared" si="12"/>
        <v>100</v>
      </c>
      <c r="T40" s="705" t="s">
        <v>14</v>
      </c>
      <c r="U40" s="706">
        <f t="shared" si="13"/>
        <v>100</v>
      </c>
      <c r="V40" s="705" t="s">
        <v>14</v>
      </c>
      <c r="W40" s="706">
        <f t="shared" si="14"/>
        <v>100</v>
      </c>
      <c r="X40" s="1355"/>
      <c r="Y40" s="3761"/>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53" t="str">
        <f>A41</f>
        <v>成交单价（元/平方米）</v>
      </c>
      <c r="Q41" s="3753"/>
      <c r="R41" s="3754">
        <f>E41</f>
        <v>0</v>
      </c>
      <c r="S41" s="3754"/>
      <c r="T41" s="3754">
        <f>G41</f>
        <v>0</v>
      </c>
      <c r="U41" s="3754"/>
      <c r="V41" s="3754">
        <f>I41</f>
        <v>0</v>
      </c>
      <c r="W41" s="3754"/>
      <c r="X41" s="690"/>
      <c r="Y41" s="712"/>
      <c r="Z41" s="690"/>
      <c r="AA41" s="690"/>
      <c r="AB41" s="690"/>
      <c r="AC41" s="690"/>
    </row>
    <row r="42" spans="1:29" ht="1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753" t="str">
        <f>A42</f>
        <v>比较价值（元/平方米）</v>
      </c>
      <c r="Q42" s="3753"/>
      <c r="R42" s="3754" t="e">
        <f>IF(F1="售价",ROUND(PRODUCT(R41,AA7:AA40),0),ROUND(PRODUCT(R41,AA7:AA40),1))</f>
        <v>#DIV/0!</v>
      </c>
      <c r="S42" s="3754"/>
      <c r="T42" s="3754" t="e">
        <f>IF(F1="售价",ROUND(PRODUCT(T41,AB7:AB40),0),ROUND(PRODUCT(T41,AB7:AB40),1))</f>
        <v>#DIV/0!</v>
      </c>
      <c r="U42" s="3754"/>
      <c r="V42" s="3754" t="e">
        <f>IF(F1="售价",ROUND(PRODUCT(V41,AC7:AC40),0),ROUND(PRODUCT(V41,AC7:AC40),1))</f>
        <v>#DIV/0!</v>
      </c>
      <c r="W42" s="3754"/>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50" t="str">
        <f>A43</f>
        <v>估价对象XX用房的比较价值（楼面单价，元/平方米）</v>
      </c>
      <c r="Q43" s="3751"/>
      <c r="R43" s="3752" t="e">
        <f>IF(F1="售价",ROUND(IF(D42="简单平均",AVERAGE(R42:V42),R42*F42+T42*H42+V42*J42),0),ROUND(IF(D42="简单平均",AVERAGE(R42:V42),R42*F42+T42*H42+V42*J42),1))</f>
        <v>#DIV/0!</v>
      </c>
      <c r="S43" s="3752"/>
      <c r="T43" s="3752"/>
      <c r="U43" s="3752"/>
      <c r="V43" s="3752"/>
      <c r="W43" s="3752"/>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7"/>
      <c r="O54" s="2768"/>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5"/>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4.4">
      <c r="A4" s="355" t="s">
        <v>1769</v>
      </c>
      <c r="B4" s="356"/>
      <c r="C4" s="3736" t="s">
        <v>1770</v>
      </c>
      <c r="D4" s="3737"/>
      <c r="E4" s="3738" t="s">
        <v>1771</v>
      </c>
      <c r="F4" s="3739"/>
      <c r="G4" s="3736" t="s">
        <v>1772</v>
      </c>
      <c r="H4" s="3737"/>
      <c r="I4" s="3736" t="s">
        <v>1773</v>
      </c>
      <c r="J4" s="3737"/>
      <c r="K4" s="559" t="s">
        <v>1774</v>
      </c>
      <c r="L4" s="2712"/>
      <c r="M4" s="2713"/>
      <c r="N4" s="2713"/>
      <c r="O4" s="2713"/>
      <c r="P4" s="3740" t="s">
        <v>1775</v>
      </c>
      <c r="Q4" s="3741"/>
      <c r="R4" s="3723" t="s">
        <v>1771</v>
      </c>
      <c r="S4" s="3724"/>
      <c r="T4" s="3723" t="s">
        <v>1772</v>
      </c>
      <c r="U4" s="3724"/>
      <c r="V4" s="3748" t="s">
        <v>1773</v>
      </c>
      <c r="W4" s="3748"/>
      <c r="X4" s="1355"/>
      <c r="Y4" s="3723" t="s">
        <v>1775</v>
      </c>
      <c r="Z4" s="3724"/>
      <c r="AA4" s="3718" t="s">
        <v>1771</v>
      </c>
      <c r="AB4" s="3719" t="s">
        <v>1772</v>
      </c>
      <c r="AC4" s="3718" t="s">
        <v>1773</v>
      </c>
    </row>
    <row r="5" spans="1:29">
      <c r="A5" s="358"/>
      <c r="B5" s="359"/>
      <c r="C5" s="3729" t="s">
        <v>1673</v>
      </c>
      <c r="D5" s="3730"/>
      <c r="E5" s="3727" t="s">
        <v>1674</v>
      </c>
      <c r="F5" s="3728"/>
      <c r="G5" s="3729" t="s">
        <v>1675</v>
      </c>
      <c r="H5" s="3730"/>
      <c r="I5" s="3729" t="s">
        <v>1676</v>
      </c>
      <c r="J5" s="3730"/>
      <c r="K5" s="559"/>
      <c r="L5" s="2712"/>
      <c r="M5" s="2713"/>
      <c r="N5" s="2713"/>
      <c r="O5" s="2713"/>
      <c r="P5" s="3742"/>
      <c r="Q5" s="3743"/>
      <c r="R5" s="3725"/>
      <c r="S5" s="3726"/>
      <c r="T5" s="3725"/>
      <c r="U5" s="3726"/>
      <c r="V5" s="3748"/>
      <c r="W5" s="3748"/>
      <c r="X5" s="1355"/>
      <c r="Y5" s="3725"/>
      <c r="Z5" s="3726"/>
      <c r="AA5" s="3719"/>
      <c r="AB5" s="3719"/>
      <c r="AC5" s="3719"/>
    </row>
    <row r="6" spans="1:29" ht="15" thickBot="1">
      <c r="A6" s="360"/>
      <c r="B6" s="361"/>
      <c r="C6" s="3731" t="s">
        <v>1677</v>
      </c>
      <c r="D6" s="3732"/>
      <c r="E6" s="3733" t="s">
        <v>1677</v>
      </c>
      <c r="F6" s="3734"/>
      <c r="G6" s="3731" t="s">
        <v>1677</v>
      </c>
      <c r="H6" s="3732"/>
      <c r="I6" s="3731" t="s">
        <v>1677</v>
      </c>
      <c r="J6" s="3732"/>
      <c r="K6" s="559" t="s">
        <v>1678</v>
      </c>
      <c r="L6" s="2712"/>
      <c r="M6" s="2713"/>
      <c r="N6" s="2713"/>
      <c r="O6" s="2713"/>
      <c r="P6" s="3744"/>
      <c r="Q6" s="3745"/>
      <c r="R6" s="3725"/>
      <c r="S6" s="3726"/>
      <c r="T6" s="3746"/>
      <c r="U6" s="3747"/>
      <c r="V6" s="3748"/>
      <c r="W6" s="3748"/>
      <c r="X6" s="1355"/>
      <c r="Y6" s="3746"/>
      <c r="Z6" s="3747"/>
      <c r="AA6" s="3720"/>
      <c r="AB6" s="3720"/>
      <c r="AC6" s="3720"/>
    </row>
    <row r="7" spans="1:29" s="108" customFormat="1" ht="15" thickBot="1">
      <c r="A7" s="362" t="s">
        <v>1679</v>
      </c>
      <c r="B7" s="363"/>
      <c r="C7" s="364">
        <f>'数据-取费表'!B2</f>
        <v>45699</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21" t="s">
        <v>1680</v>
      </c>
      <c r="Q7" s="3749"/>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21" t="s">
        <v>1683</v>
      </c>
      <c r="Q8" s="3722"/>
      <c r="R8" s="701" t="s">
        <v>14</v>
      </c>
      <c r="S8" s="702">
        <f t="shared" si="0"/>
        <v>100</v>
      </c>
      <c r="T8" s="701" t="s">
        <v>14</v>
      </c>
      <c r="U8" s="702">
        <f t="shared" si="1"/>
        <v>100</v>
      </c>
      <c r="V8" s="701" t="s">
        <v>14</v>
      </c>
      <c r="W8" s="702">
        <f t="shared" si="2"/>
        <v>100</v>
      </c>
      <c r="X8" s="703"/>
      <c r="Y8" s="3721" t="s">
        <v>1683</v>
      </c>
      <c r="Z8" s="372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53" t="s">
        <v>1686</v>
      </c>
      <c r="Q9" s="1343" t="str">
        <f t="shared" ref="Q9:Q14" si="6">B9</f>
        <v>用途</v>
      </c>
      <c r="R9" s="701" t="s">
        <v>14</v>
      </c>
      <c r="S9" s="702">
        <f t="shared" si="0"/>
        <v>100</v>
      </c>
      <c r="T9" s="701" t="s">
        <v>14</v>
      </c>
      <c r="U9" s="702">
        <f t="shared" si="1"/>
        <v>100</v>
      </c>
      <c r="V9" s="701" t="s">
        <v>14</v>
      </c>
      <c r="W9" s="702">
        <f t="shared" si="2"/>
        <v>100</v>
      </c>
      <c r="X9" s="703"/>
      <c r="Y9" s="3665" t="s">
        <v>1687</v>
      </c>
      <c r="Z9" s="52" t="str">
        <f t="shared" ref="Z9:Z14" si="7">Q9</f>
        <v>用途</v>
      </c>
      <c r="AA9" s="704">
        <f t="shared" si="3"/>
        <v>1</v>
      </c>
      <c r="AB9" s="704">
        <f t="shared" si="4"/>
        <v>1</v>
      </c>
      <c r="AC9" s="704">
        <f t="shared" si="5"/>
        <v>1</v>
      </c>
    </row>
    <row r="10" spans="1:29" s="378" customFormat="1" ht="28.8">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53"/>
      <c r="Q10" s="1343" t="str">
        <f t="shared" si="6"/>
        <v>土地使用年限（年）</v>
      </c>
      <c r="R10" s="701" t="s">
        <v>14</v>
      </c>
      <c r="S10" s="702">
        <f t="shared" si="0"/>
        <v>100</v>
      </c>
      <c r="T10" s="701" t="s">
        <v>14</v>
      </c>
      <c r="U10" s="702">
        <f t="shared" si="1"/>
        <v>100</v>
      </c>
      <c r="V10" s="701" t="s">
        <v>14</v>
      </c>
      <c r="W10" s="702">
        <f t="shared" si="2"/>
        <v>100</v>
      </c>
      <c r="X10" s="703"/>
      <c r="Y10" s="366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53"/>
      <c r="Q11" s="1343">
        <f t="shared" si="6"/>
        <v>111</v>
      </c>
      <c r="R11" s="701" t="s">
        <v>14</v>
      </c>
      <c r="S11" s="702">
        <f t="shared" si="0"/>
        <v>100</v>
      </c>
      <c r="T11" s="701" t="s">
        <v>14</v>
      </c>
      <c r="U11" s="702">
        <f t="shared" si="1"/>
        <v>100</v>
      </c>
      <c r="V11" s="701" t="s">
        <v>14</v>
      </c>
      <c r="W11" s="702">
        <f t="shared" si="2"/>
        <v>100</v>
      </c>
      <c r="X11" s="703"/>
      <c r="Y11" s="366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53"/>
      <c r="Q12" s="1343">
        <f t="shared" si="6"/>
        <v>111</v>
      </c>
      <c r="R12" s="701" t="s">
        <v>14</v>
      </c>
      <c r="S12" s="702">
        <f t="shared" si="0"/>
        <v>100</v>
      </c>
      <c r="T12" s="701" t="s">
        <v>14</v>
      </c>
      <c r="U12" s="702">
        <f t="shared" si="1"/>
        <v>100</v>
      </c>
      <c r="V12" s="701" t="s">
        <v>14</v>
      </c>
      <c r="W12" s="702">
        <f t="shared" si="2"/>
        <v>100</v>
      </c>
      <c r="X12" s="703"/>
      <c r="Y12" s="366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53"/>
      <c r="Q13" s="1343">
        <f t="shared" si="6"/>
        <v>111</v>
      </c>
      <c r="R13" s="701" t="s">
        <v>14</v>
      </c>
      <c r="S13" s="702">
        <f t="shared" si="0"/>
        <v>100</v>
      </c>
      <c r="T13" s="701" t="s">
        <v>14</v>
      </c>
      <c r="U13" s="702">
        <f t="shared" si="1"/>
        <v>100</v>
      </c>
      <c r="V13" s="701" t="s">
        <v>14</v>
      </c>
      <c r="W13" s="702">
        <f t="shared" si="2"/>
        <v>100</v>
      </c>
      <c r="X13" s="703"/>
      <c r="Y13" s="3665"/>
      <c r="Z13" s="52">
        <f t="shared" si="7"/>
        <v>111</v>
      </c>
      <c r="AA13" s="704">
        <f t="shared" si="3"/>
        <v>1</v>
      </c>
      <c r="AB13" s="704">
        <f t="shared" si="4"/>
        <v>1</v>
      </c>
      <c r="AC13" s="704">
        <f t="shared" si="5"/>
        <v>1</v>
      </c>
    </row>
    <row r="14" spans="1:29" ht="96.6">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55" t="s">
        <v>1691</v>
      </c>
      <c r="Q14" s="1352" t="str">
        <f t="shared" si="6"/>
        <v>交通便捷度</v>
      </c>
      <c r="R14" s="705" t="s">
        <v>14</v>
      </c>
      <c r="S14" s="706">
        <f t="shared" si="0"/>
        <v>100</v>
      </c>
      <c r="T14" s="705" t="s">
        <v>14</v>
      </c>
      <c r="U14" s="706">
        <f t="shared" si="1"/>
        <v>100</v>
      </c>
      <c r="V14" s="705" t="s">
        <v>14</v>
      </c>
      <c r="W14" s="706">
        <f t="shared" si="2"/>
        <v>100</v>
      </c>
      <c r="X14" s="1355"/>
      <c r="Y14" s="375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56"/>
      <c r="Q15" s="1352"/>
      <c r="R15" s="705"/>
      <c r="S15" s="706"/>
      <c r="T15" s="705"/>
      <c r="U15" s="706"/>
      <c r="V15" s="705"/>
      <c r="W15" s="706"/>
      <c r="X15" s="1355"/>
      <c r="Y15" s="3756"/>
      <c r="Z15" s="1356"/>
      <c r="AA15" s="1353">
        <v>1</v>
      </c>
      <c r="AB15" s="1353">
        <v>1</v>
      </c>
      <c r="AC15" s="1353">
        <v>1</v>
      </c>
    </row>
    <row r="16" spans="1:29" ht="41.4">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56"/>
      <c r="Q16" s="1352" t="str">
        <f>B16</f>
        <v>公共配套设施</v>
      </c>
      <c r="R16" s="705" t="s">
        <v>14</v>
      </c>
      <c r="S16" s="706">
        <f>F16</f>
        <v>100</v>
      </c>
      <c r="T16" s="705" t="s">
        <v>14</v>
      </c>
      <c r="U16" s="706">
        <f>H16</f>
        <v>100</v>
      </c>
      <c r="V16" s="705" t="s">
        <v>14</v>
      </c>
      <c r="W16" s="706">
        <f>J16</f>
        <v>100</v>
      </c>
      <c r="X16" s="1355"/>
      <c r="Y16" s="3756"/>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9"/>
      <c r="M17" s="2713"/>
      <c r="N17" s="2713"/>
      <c r="O17" s="2713"/>
      <c r="P17" s="3756"/>
      <c r="Q17" s="1352"/>
      <c r="R17" s="705"/>
      <c r="S17" s="706"/>
      <c r="T17" s="705"/>
      <c r="U17" s="706"/>
      <c r="V17" s="705"/>
      <c r="W17" s="706"/>
      <c r="X17" s="1355"/>
      <c r="Y17" s="3756"/>
      <c r="Z17" s="1356"/>
      <c r="AA17" s="1353">
        <v>1</v>
      </c>
      <c r="AB17" s="1353">
        <v>1</v>
      </c>
      <c r="AC17" s="1353">
        <v>1</v>
      </c>
    </row>
    <row r="18" spans="1:29" ht="41.4">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56"/>
      <c r="Q18" s="1352" t="str">
        <f>B18</f>
        <v>基础设施水平</v>
      </c>
      <c r="R18" s="705" t="s">
        <v>14</v>
      </c>
      <c r="S18" s="706">
        <f>F18</f>
        <v>100</v>
      </c>
      <c r="T18" s="705" t="s">
        <v>14</v>
      </c>
      <c r="U18" s="706">
        <f>H18</f>
        <v>100</v>
      </c>
      <c r="V18" s="705" t="s">
        <v>14</v>
      </c>
      <c r="W18" s="706">
        <f>J18</f>
        <v>100</v>
      </c>
      <c r="X18" s="1355"/>
      <c r="Y18" s="3756"/>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9"/>
      <c r="M19" s="2713"/>
      <c r="N19" s="2713"/>
      <c r="O19" s="2713"/>
      <c r="P19" s="3756"/>
      <c r="Q19" s="1352"/>
      <c r="R19" s="705"/>
      <c r="S19" s="706"/>
      <c r="T19" s="705"/>
      <c r="U19" s="706"/>
      <c r="V19" s="705"/>
      <c r="W19" s="706"/>
      <c r="X19" s="1355"/>
      <c r="Y19" s="3756"/>
      <c r="Z19" s="1356"/>
      <c r="AA19" s="1353">
        <v>1</v>
      </c>
      <c r="AB19" s="1353">
        <v>1</v>
      </c>
      <c r="AC19" s="1353">
        <v>1</v>
      </c>
    </row>
    <row r="20" spans="1:29" ht="55.2">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56"/>
      <c r="Q20" s="1352" t="str">
        <f>B20</f>
        <v>自然及人文环境</v>
      </c>
      <c r="R20" s="705" t="s">
        <v>14</v>
      </c>
      <c r="S20" s="706">
        <f>F20</f>
        <v>100</v>
      </c>
      <c r="T20" s="705" t="s">
        <v>14</v>
      </c>
      <c r="U20" s="706">
        <f>H20</f>
        <v>100</v>
      </c>
      <c r="V20" s="705" t="s">
        <v>14</v>
      </c>
      <c r="W20" s="706">
        <f>J20</f>
        <v>100</v>
      </c>
      <c r="X20" s="1355"/>
      <c r="Y20" s="375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56"/>
      <c r="Q21" s="1352"/>
      <c r="R21" s="705"/>
      <c r="S21" s="706"/>
      <c r="T21" s="705"/>
      <c r="U21" s="706"/>
      <c r="V21" s="705"/>
      <c r="W21" s="706"/>
      <c r="X21" s="1355"/>
      <c r="Y21" s="375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56"/>
      <c r="Q22" s="1352" t="str">
        <f>B22</f>
        <v>楼层</v>
      </c>
      <c r="R22" s="705" t="s">
        <v>14</v>
      </c>
      <c r="S22" s="706">
        <f>F22</f>
        <v>100</v>
      </c>
      <c r="T22" s="705" t="s">
        <v>14</v>
      </c>
      <c r="U22" s="706">
        <f>H22</f>
        <v>100</v>
      </c>
      <c r="V22" s="705" t="s">
        <v>14</v>
      </c>
      <c r="W22" s="706">
        <f>J22</f>
        <v>100</v>
      </c>
      <c r="X22" s="1355"/>
      <c r="Y22" s="375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56"/>
      <c r="Q23" s="1352">
        <f>B23</f>
        <v>111</v>
      </c>
      <c r="R23" s="705" t="s">
        <v>14</v>
      </c>
      <c r="S23" s="706">
        <f>F23</f>
        <v>100</v>
      </c>
      <c r="T23" s="705" t="s">
        <v>14</v>
      </c>
      <c r="U23" s="706">
        <f>H23</f>
        <v>100</v>
      </c>
      <c r="V23" s="705" t="s">
        <v>14</v>
      </c>
      <c r="W23" s="706">
        <f>J23</f>
        <v>100</v>
      </c>
      <c r="X23" s="1355"/>
      <c r="Y23" s="375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56"/>
      <c r="Q24" s="1352">
        <f t="shared" ref="Q24:Q36" si="11">B24</f>
        <v>111</v>
      </c>
      <c r="R24" s="705" t="s">
        <v>14</v>
      </c>
      <c r="S24" s="706">
        <f>F24</f>
        <v>100</v>
      </c>
      <c r="T24" s="705" t="s">
        <v>14</v>
      </c>
      <c r="U24" s="706">
        <f>H24</f>
        <v>100</v>
      </c>
      <c r="V24" s="705" t="s">
        <v>14</v>
      </c>
      <c r="W24" s="706">
        <f>J24</f>
        <v>100</v>
      </c>
      <c r="X24" s="1355"/>
      <c r="Y24" s="375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56"/>
      <c r="Q25" s="1343">
        <f t="shared" si="11"/>
        <v>111</v>
      </c>
      <c r="R25" s="701" t="s">
        <v>14</v>
      </c>
      <c r="S25" s="702">
        <f>F25</f>
        <v>100</v>
      </c>
      <c r="T25" s="701" t="s">
        <v>14</v>
      </c>
      <c r="U25" s="702">
        <f>H25</f>
        <v>100</v>
      </c>
      <c r="V25" s="701" t="s">
        <v>14</v>
      </c>
      <c r="W25" s="702">
        <f>J25</f>
        <v>100</v>
      </c>
      <c r="X25" s="703"/>
      <c r="Y25" s="3756"/>
      <c r="Z25" s="52">
        <f>Q25</f>
        <v>111</v>
      </c>
      <c r="AA25" s="1353">
        <f>D25/F25</f>
        <v>1</v>
      </c>
      <c r="AB25" s="1353">
        <f>D25/H25</f>
        <v>1</v>
      </c>
      <c r="AC25" s="1353">
        <f>D25/J25</f>
        <v>1</v>
      </c>
    </row>
    <row r="26" spans="1:29" ht="30">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6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60"/>
      <c r="Q27" s="707" t="str">
        <f t="shared" si="11"/>
        <v>项目停车位配比</v>
      </c>
      <c r="R27" s="708" t="s">
        <v>14</v>
      </c>
      <c r="S27" s="709">
        <f t="shared" si="12"/>
        <v>100</v>
      </c>
      <c r="T27" s="708" t="s">
        <v>14</v>
      </c>
      <c r="U27" s="709">
        <f t="shared" si="13"/>
        <v>100</v>
      </c>
      <c r="V27" s="708" t="s">
        <v>14</v>
      </c>
      <c r="W27" s="709">
        <f t="shared" si="14"/>
        <v>100</v>
      </c>
      <c r="X27" s="710"/>
      <c r="Y27" s="376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60"/>
      <c r="Q28" s="1352" t="str">
        <f t="shared" si="11"/>
        <v>公共部分装修</v>
      </c>
      <c r="R28" s="705" t="s">
        <v>14</v>
      </c>
      <c r="S28" s="706">
        <f t="shared" si="12"/>
        <v>100</v>
      </c>
      <c r="T28" s="705" t="s">
        <v>14</v>
      </c>
      <c r="U28" s="706">
        <f t="shared" si="13"/>
        <v>100</v>
      </c>
      <c r="V28" s="705" t="s">
        <v>14</v>
      </c>
      <c r="W28" s="706">
        <f t="shared" si="14"/>
        <v>100</v>
      </c>
      <c r="X28" s="1355"/>
      <c r="Y28" s="376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60"/>
      <c r="Q29" s="1352" t="str">
        <f t="shared" si="11"/>
        <v>成新率</v>
      </c>
      <c r="R29" s="705" t="s">
        <v>14</v>
      </c>
      <c r="S29" s="706" t="e">
        <f t="shared" si="12"/>
        <v>#N/A</v>
      </c>
      <c r="T29" s="705" t="s">
        <v>14</v>
      </c>
      <c r="U29" s="706" t="e">
        <f t="shared" si="13"/>
        <v>#N/A</v>
      </c>
      <c r="V29" s="705" t="s">
        <v>14</v>
      </c>
      <c r="W29" s="706" t="e">
        <f t="shared" si="14"/>
        <v>#N/A</v>
      </c>
      <c r="X29" s="1355"/>
      <c r="Y29" s="376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60"/>
      <c r="Q30" s="1352" t="str">
        <f t="shared" si="11"/>
        <v>物业等级</v>
      </c>
      <c r="R30" s="705" t="s">
        <v>14</v>
      </c>
      <c r="S30" s="706">
        <f t="shared" si="12"/>
        <v>100</v>
      </c>
      <c r="T30" s="705" t="s">
        <v>14</v>
      </c>
      <c r="U30" s="706">
        <f t="shared" si="13"/>
        <v>100</v>
      </c>
      <c r="V30" s="705" t="s">
        <v>14</v>
      </c>
      <c r="W30" s="706">
        <f t="shared" si="14"/>
        <v>100</v>
      </c>
      <c r="X30" s="1355"/>
      <c r="Y30" s="376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60"/>
      <c r="Q31" s="1343" t="str">
        <f t="shared" si="11"/>
        <v>停车位面积</v>
      </c>
      <c r="R31" s="701" t="s">
        <v>14</v>
      </c>
      <c r="S31" s="702" t="e">
        <f t="shared" si="12"/>
        <v>#N/A</v>
      </c>
      <c r="T31" s="701" t="s">
        <v>14</v>
      </c>
      <c r="U31" s="702" t="e">
        <f t="shared" si="13"/>
        <v>#N/A</v>
      </c>
      <c r="V31" s="701" t="s">
        <v>14</v>
      </c>
      <c r="W31" s="702" t="e">
        <f t="shared" si="14"/>
        <v>#N/A</v>
      </c>
      <c r="X31" s="703"/>
      <c r="Y31" s="376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60" t="s">
        <v>1696</v>
      </c>
      <c r="Q32" s="1352" t="str">
        <f t="shared" si="11"/>
        <v>车位类型</v>
      </c>
      <c r="R32" s="705" t="s">
        <v>14</v>
      </c>
      <c r="S32" s="706">
        <f t="shared" si="12"/>
        <v>100</v>
      </c>
      <c r="T32" s="705" t="s">
        <v>14</v>
      </c>
      <c r="U32" s="706">
        <f t="shared" si="13"/>
        <v>100</v>
      </c>
      <c r="V32" s="705" t="s">
        <v>14</v>
      </c>
      <c r="W32" s="706">
        <f t="shared" si="14"/>
        <v>100</v>
      </c>
      <c r="X32" s="1355"/>
      <c r="Y32" s="376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60"/>
      <c r="Q33" s="1352" t="str">
        <f t="shared" si="11"/>
        <v>是否直接入户</v>
      </c>
      <c r="R33" s="705" t="s">
        <v>14</v>
      </c>
      <c r="S33" s="706">
        <f t="shared" si="12"/>
        <v>100</v>
      </c>
      <c r="T33" s="705" t="s">
        <v>14</v>
      </c>
      <c r="U33" s="706">
        <f t="shared" si="13"/>
        <v>100</v>
      </c>
      <c r="V33" s="705" t="s">
        <v>14</v>
      </c>
      <c r="W33" s="706">
        <f t="shared" si="14"/>
        <v>100</v>
      </c>
      <c r="X33" s="1355"/>
      <c r="Y33" s="376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60"/>
      <c r="Q34" s="1352">
        <f t="shared" si="11"/>
        <v>111</v>
      </c>
      <c r="R34" s="705" t="s">
        <v>14</v>
      </c>
      <c r="S34" s="706">
        <f t="shared" si="12"/>
        <v>100</v>
      </c>
      <c r="T34" s="705" t="s">
        <v>14</v>
      </c>
      <c r="U34" s="706">
        <f t="shared" si="13"/>
        <v>100</v>
      </c>
      <c r="V34" s="705" t="s">
        <v>14</v>
      </c>
      <c r="W34" s="706">
        <f t="shared" si="14"/>
        <v>100</v>
      </c>
      <c r="X34" s="1355"/>
      <c r="Y34" s="376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60"/>
      <c r="Q35" s="707">
        <f t="shared" si="11"/>
        <v>111</v>
      </c>
      <c r="R35" s="708" t="s">
        <v>14</v>
      </c>
      <c r="S35" s="709">
        <f t="shared" si="12"/>
        <v>100</v>
      </c>
      <c r="T35" s="708" t="s">
        <v>14</v>
      </c>
      <c r="U35" s="709">
        <f t="shared" si="13"/>
        <v>100</v>
      </c>
      <c r="V35" s="708" t="s">
        <v>14</v>
      </c>
      <c r="W35" s="709">
        <f t="shared" si="14"/>
        <v>100</v>
      </c>
      <c r="X35" s="710"/>
      <c r="Y35" s="376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60"/>
      <c r="Q36" s="1352">
        <f t="shared" si="11"/>
        <v>111</v>
      </c>
      <c r="R36" s="705" t="s">
        <v>14</v>
      </c>
      <c r="S36" s="706">
        <f t="shared" si="12"/>
        <v>100</v>
      </c>
      <c r="T36" s="705" t="s">
        <v>14</v>
      </c>
      <c r="U36" s="706">
        <f t="shared" si="13"/>
        <v>100</v>
      </c>
      <c r="V36" s="705" t="s">
        <v>14</v>
      </c>
      <c r="W36" s="706">
        <f t="shared" si="14"/>
        <v>100</v>
      </c>
      <c r="X36" s="1355"/>
      <c r="Y36" s="3760"/>
      <c r="Z36" s="1356">
        <f t="shared" si="15"/>
        <v>111</v>
      </c>
      <c r="AA36" s="1353">
        <f t="shared" si="3"/>
        <v>1</v>
      </c>
      <c r="AB36" s="1353">
        <f t="shared" si="4"/>
        <v>1</v>
      </c>
      <c r="AC36" s="1353">
        <f t="shared" si="5"/>
        <v>1</v>
      </c>
    </row>
    <row r="37" spans="1:29" ht="14.4">
      <c r="A37" s="430" t="s">
        <v>1844</v>
      </c>
      <c r="B37" s="1970" t="s">
        <v>3353</v>
      </c>
      <c r="C37" s="1154" t="s">
        <v>0</v>
      </c>
      <c r="D37" s="1155"/>
      <c r="E37" s="1156"/>
      <c r="F37" s="1157"/>
      <c r="G37" s="1158"/>
      <c r="H37" s="1159"/>
      <c r="I37" s="1156"/>
      <c r="J37" s="1159"/>
      <c r="K37" s="568"/>
      <c r="L37" s="2721"/>
      <c r="M37" s="2722"/>
      <c r="N37" s="2713"/>
      <c r="O37" s="2722"/>
      <c r="P37" s="3753" t="str">
        <f>A37</f>
        <v>成交单价</v>
      </c>
      <c r="Q37" s="3753"/>
      <c r="R37" s="3754">
        <f>E37</f>
        <v>0</v>
      </c>
      <c r="S37" s="3754"/>
      <c r="T37" s="3754">
        <f>G37</f>
        <v>0</v>
      </c>
      <c r="U37" s="3754"/>
      <c r="V37" s="3754">
        <f>I37</f>
        <v>0</v>
      </c>
      <c r="W37" s="3754"/>
      <c r="X37" s="690"/>
      <c r="Y37" s="712"/>
      <c r="Z37" s="690"/>
      <c r="AA37" s="690"/>
      <c r="AB37" s="690"/>
      <c r="AC37" s="690"/>
    </row>
    <row r="38" spans="1:29" ht="1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21"/>
      <c r="M38" s="2722"/>
      <c r="N38" s="2722"/>
      <c r="O38" s="2722"/>
      <c r="P38" s="3753" t="str">
        <f>A38</f>
        <v>比较价值（元/平方米）</v>
      </c>
      <c r="Q38" s="3753"/>
      <c r="R38" s="3754" t="e">
        <f>IF(F1="售价",ROUND(PRODUCT(R37,AA7:AA36),0),ROUND(PRODUCT(R37,AA7:AA36),1))</f>
        <v>#DIV/0!</v>
      </c>
      <c r="S38" s="3754"/>
      <c r="T38" s="3754" t="e">
        <f>IF(F1="售价",ROUND(PRODUCT(T37,AB7:AB36),0),ROUND(PRODUCT(T37,AB7:AB36),1))</f>
        <v>#DIV/0!</v>
      </c>
      <c r="U38" s="3754"/>
      <c r="V38" s="3754" t="e">
        <f>IF(F1="售价",ROUND(PRODUCT(V37,AC7:AC36),0),ROUND(PRODUCT(V37,AC7:AC36),1))</f>
        <v>#DIV/0!</v>
      </c>
      <c r="W38" s="3754"/>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1"/>
      <c r="M39" s="2722"/>
      <c r="N39" s="2722"/>
      <c r="O39" s="2722"/>
      <c r="P39" s="3750" t="str">
        <f>A39</f>
        <v>估价对象XX用房的比较价值（楼面单价，元/平方米）</v>
      </c>
      <c r="Q39" s="3751"/>
      <c r="R39" s="3780" t="e">
        <f>IF(F1="售价",ROUND(IF(D38="简单平均",AVERAGE(R38:W38),R38*F38+T38*H38+V38*J38),0),ROUND(IF(D38="简单平均",AVERAGE(R38:V38),R38*F38+T38*H38+V38*J38),1))</f>
        <v>#DIV/0!</v>
      </c>
      <c r="S39" s="3780"/>
      <c r="T39" s="3780"/>
      <c r="U39" s="3780"/>
      <c r="V39" s="3780"/>
      <c r="W39" s="3780"/>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4.4">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6"/>
      <c r="Q48" s="2738"/>
      <c r="R48" s="2738"/>
      <c r="S48" s="2738"/>
      <c r="T48" s="2738"/>
      <c r="U48" s="2738"/>
      <c r="V48" s="2738"/>
      <c r="W48" s="2738"/>
      <c r="X48" s="2738"/>
      <c r="Y48" s="2738"/>
      <c r="Z48" s="2738"/>
      <c r="AA48" s="2738"/>
      <c r="AB48" s="2738"/>
      <c r="AC48" s="2738"/>
    </row>
    <row r="49" spans="1:29" s="108" customFormat="1">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4.4">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4.4"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ht="14.4">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4.4"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9.4"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4.4"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4.4"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4.4"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4.4"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4.4"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4.4"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4.4"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4.4"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4.4"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4.4"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4.4"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4.4"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4.4"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9.4"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4.4"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4.4"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4.4"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4.4"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4.4"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4.4"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736" t="s">
        <v>1770</v>
      </c>
      <c r="D4" s="3737"/>
      <c r="E4" s="3738" t="s">
        <v>1771</v>
      </c>
      <c r="F4" s="3739"/>
      <c r="G4" s="3736" t="s">
        <v>1772</v>
      </c>
      <c r="H4" s="3737"/>
      <c r="I4" s="3736" t="s">
        <v>1773</v>
      </c>
      <c r="J4" s="3737"/>
      <c r="K4" s="559" t="s">
        <v>1774</v>
      </c>
      <c r="L4" s="2712"/>
      <c r="M4" s="2713"/>
      <c r="N4" s="2713"/>
      <c r="O4" s="2713"/>
      <c r="P4" s="3740" t="s">
        <v>1775</v>
      </c>
      <c r="Q4" s="3741"/>
      <c r="R4" s="3723" t="s">
        <v>1771</v>
      </c>
      <c r="S4" s="3724"/>
      <c r="T4" s="3723" t="s">
        <v>1772</v>
      </c>
      <c r="U4" s="3724"/>
      <c r="V4" s="3748" t="s">
        <v>1773</v>
      </c>
      <c r="W4" s="3748"/>
      <c r="X4" s="1355"/>
      <c r="Y4" s="3723" t="s">
        <v>1775</v>
      </c>
      <c r="Z4" s="3724"/>
      <c r="AA4" s="3718" t="s">
        <v>1771</v>
      </c>
      <c r="AB4" s="3719" t="s">
        <v>1772</v>
      </c>
      <c r="AC4" s="3718" t="s">
        <v>1773</v>
      </c>
    </row>
    <row r="5" spans="1:29">
      <c r="A5" s="358"/>
      <c r="B5" s="359"/>
      <c r="C5" s="3729" t="s">
        <v>1673</v>
      </c>
      <c r="D5" s="3730"/>
      <c r="E5" s="3727" t="s">
        <v>1674</v>
      </c>
      <c r="F5" s="3728"/>
      <c r="G5" s="3729" t="s">
        <v>1675</v>
      </c>
      <c r="H5" s="3730"/>
      <c r="I5" s="3729" t="s">
        <v>1676</v>
      </c>
      <c r="J5" s="3730"/>
      <c r="K5" s="559"/>
      <c r="L5" s="2712"/>
      <c r="M5" s="2713"/>
      <c r="N5" s="2713"/>
      <c r="O5" s="2713"/>
      <c r="P5" s="3742"/>
      <c r="Q5" s="3743"/>
      <c r="R5" s="3725"/>
      <c r="S5" s="3726"/>
      <c r="T5" s="3725"/>
      <c r="U5" s="3726"/>
      <c r="V5" s="3748"/>
      <c r="W5" s="3748"/>
      <c r="X5" s="1355"/>
      <c r="Y5" s="3725"/>
      <c r="Z5" s="3726"/>
      <c r="AA5" s="3719"/>
      <c r="AB5" s="3719"/>
      <c r="AC5" s="3719"/>
    </row>
    <row r="6" spans="1:29" ht="15" thickBot="1">
      <c r="A6" s="360"/>
      <c r="B6" s="361"/>
      <c r="C6" s="3731" t="s">
        <v>1677</v>
      </c>
      <c r="D6" s="3732"/>
      <c r="E6" s="3733" t="s">
        <v>1677</v>
      </c>
      <c r="F6" s="3734"/>
      <c r="G6" s="3731" t="s">
        <v>1677</v>
      </c>
      <c r="H6" s="3732"/>
      <c r="I6" s="3731" t="s">
        <v>1677</v>
      </c>
      <c r="J6" s="3732"/>
      <c r="K6" s="559" t="s">
        <v>1678</v>
      </c>
      <c r="L6" s="2712"/>
      <c r="M6" s="2713"/>
      <c r="N6" s="2713"/>
      <c r="O6" s="2713"/>
      <c r="P6" s="3744"/>
      <c r="Q6" s="3745"/>
      <c r="R6" s="3725"/>
      <c r="S6" s="3726"/>
      <c r="T6" s="3746"/>
      <c r="U6" s="3747"/>
      <c r="V6" s="3748"/>
      <c r="W6" s="3748"/>
      <c r="X6" s="1355"/>
      <c r="Y6" s="3746"/>
      <c r="Z6" s="3747"/>
      <c r="AA6" s="3720"/>
      <c r="AB6" s="3720"/>
      <c r="AC6" s="3720"/>
    </row>
    <row r="7" spans="1:29" s="108" customFormat="1" ht="15" thickBot="1">
      <c r="A7" s="362" t="s">
        <v>1679</v>
      </c>
      <c r="B7" s="363"/>
      <c r="C7" s="364">
        <f>'数据-取费表'!B2</f>
        <v>45699</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21" t="s">
        <v>1680</v>
      </c>
      <c r="Q7" s="3749"/>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21" t="s">
        <v>1683</v>
      </c>
      <c r="Q8" s="3722"/>
      <c r="R8" s="701" t="s">
        <v>14</v>
      </c>
      <c r="S8" s="702">
        <f t="shared" si="0"/>
        <v>100</v>
      </c>
      <c r="T8" s="701" t="s">
        <v>14</v>
      </c>
      <c r="U8" s="702">
        <f t="shared" si="1"/>
        <v>100</v>
      </c>
      <c r="V8" s="701" t="s">
        <v>14</v>
      </c>
      <c r="W8" s="702">
        <f t="shared" si="2"/>
        <v>100</v>
      </c>
      <c r="X8" s="703"/>
      <c r="Y8" s="3721" t="s">
        <v>1683</v>
      </c>
      <c r="Z8" s="372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53" t="s">
        <v>1686</v>
      </c>
      <c r="Q9" s="1343" t="str">
        <f t="shared" ref="Q9:Q14" si="6">B9</f>
        <v>用途</v>
      </c>
      <c r="R9" s="701" t="s">
        <v>14</v>
      </c>
      <c r="S9" s="702">
        <f t="shared" si="0"/>
        <v>100</v>
      </c>
      <c r="T9" s="701" t="s">
        <v>14</v>
      </c>
      <c r="U9" s="702">
        <f t="shared" si="1"/>
        <v>100</v>
      </c>
      <c r="V9" s="701" t="s">
        <v>14</v>
      </c>
      <c r="W9" s="702">
        <f t="shared" si="2"/>
        <v>100</v>
      </c>
      <c r="X9" s="703"/>
      <c r="Y9" s="3665" t="s">
        <v>1687</v>
      </c>
      <c r="Z9" s="52" t="str">
        <f t="shared" ref="Z9:Z14" si="7">Q9</f>
        <v>用途</v>
      </c>
      <c r="AA9" s="704">
        <f t="shared" si="3"/>
        <v>1</v>
      </c>
      <c r="AB9" s="704">
        <f t="shared" si="4"/>
        <v>1</v>
      </c>
      <c r="AC9" s="704">
        <f t="shared" si="5"/>
        <v>1</v>
      </c>
    </row>
    <row r="10" spans="1:29" s="378" customFormat="1" ht="28.8">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53"/>
      <c r="Q10" s="1343" t="str">
        <f t="shared" si="6"/>
        <v>土地使用年限（年）</v>
      </c>
      <c r="R10" s="701" t="s">
        <v>14</v>
      </c>
      <c r="S10" s="702">
        <f t="shared" si="0"/>
        <v>100</v>
      </c>
      <c r="T10" s="701" t="s">
        <v>14</v>
      </c>
      <c r="U10" s="702">
        <f t="shared" si="1"/>
        <v>100</v>
      </c>
      <c r="V10" s="701" t="s">
        <v>14</v>
      </c>
      <c r="W10" s="702">
        <f t="shared" si="2"/>
        <v>100</v>
      </c>
      <c r="X10" s="703"/>
      <c r="Y10" s="366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53"/>
      <c r="Q11" s="1343">
        <f t="shared" si="6"/>
        <v>111</v>
      </c>
      <c r="R11" s="701" t="s">
        <v>14</v>
      </c>
      <c r="S11" s="702">
        <f t="shared" si="0"/>
        <v>100</v>
      </c>
      <c r="T11" s="701" t="s">
        <v>14</v>
      </c>
      <c r="U11" s="702">
        <f t="shared" si="1"/>
        <v>100</v>
      </c>
      <c r="V11" s="701" t="s">
        <v>14</v>
      </c>
      <c r="W11" s="702">
        <f t="shared" si="2"/>
        <v>100</v>
      </c>
      <c r="X11" s="703"/>
      <c r="Y11" s="366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53"/>
      <c r="Q12" s="1343">
        <f t="shared" si="6"/>
        <v>111</v>
      </c>
      <c r="R12" s="701" t="s">
        <v>14</v>
      </c>
      <c r="S12" s="702">
        <f t="shared" si="0"/>
        <v>100</v>
      </c>
      <c r="T12" s="701" t="s">
        <v>14</v>
      </c>
      <c r="U12" s="702">
        <f t="shared" si="1"/>
        <v>100</v>
      </c>
      <c r="V12" s="701" t="s">
        <v>14</v>
      </c>
      <c r="W12" s="702">
        <f t="shared" si="2"/>
        <v>100</v>
      </c>
      <c r="X12" s="703"/>
      <c r="Y12" s="3665"/>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753"/>
      <c r="Q13" s="1343">
        <f t="shared" si="6"/>
        <v>111</v>
      </c>
      <c r="R13" s="701" t="s">
        <v>14</v>
      </c>
      <c r="S13" s="702">
        <f t="shared" si="0"/>
        <v>100</v>
      </c>
      <c r="T13" s="701" t="s">
        <v>14</v>
      </c>
      <c r="U13" s="702">
        <f t="shared" si="1"/>
        <v>100</v>
      </c>
      <c r="V13" s="701" t="s">
        <v>14</v>
      </c>
      <c r="W13" s="702">
        <f t="shared" si="2"/>
        <v>100</v>
      </c>
      <c r="X13" s="703"/>
      <c r="Y13" s="3665"/>
      <c r="Z13" s="52">
        <f t="shared" si="7"/>
        <v>111</v>
      </c>
      <c r="AA13" s="704">
        <f t="shared" si="3"/>
        <v>1</v>
      </c>
      <c r="AB13" s="704">
        <f t="shared" si="4"/>
        <v>1</v>
      </c>
      <c r="AC13" s="704">
        <f t="shared" si="5"/>
        <v>1</v>
      </c>
    </row>
    <row r="14" spans="1:29" ht="96.6">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55" t="s">
        <v>1691</v>
      </c>
      <c r="Q14" s="1352" t="str">
        <f t="shared" si="6"/>
        <v>交通便捷度</v>
      </c>
      <c r="R14" s="705" t="s">
        <v>14</v>
      </c>
      <c r="S14" s="706">
        <f t="shared" si="0"/>
        <v>100</v>
      </c>
      <c r="T14" s="705" t="s">
        <v>14</v>
      </c>
      <c r="U14" s="706">
        <f t="shared" si="1"/>
        <v>100</v>
      </c>
      <c r="V14" s="705" t="s">
        <v>14</v>
      </c>
      <c r="W14" s="706">
        <f t="shared" si="2"/>
        <v>100</v>
      </c>
      <c r="X14" s="1355"/>
      <c r="Y14" s="375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56"/>
      <c r="Q15" s="1352"/>
      <c r="R15" s="705"/>
      <c r="S15" s="706"/>
      <c r="T15" s="705"/>
      <c r="U15" s="706"/>
      <c r="V15" s="705"/>
      <c r="W15" s="706"/>
      <c r="X15" s="1355"/>
      <c r="Y15" s="3756"/>
      <c r="Z15" s="1356"/>
      <c r="AA15" s="1353">
        <v>1</v>
      </c>
      <c r="AB15" s="1353">
        <v>1</v>
      </c>
      <c r="AC15" s="1353">
        <v>1</v>
      </c>
    </row>
    <row r="16" spans="1:29" ht="41.4">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56"/>
      <c r="Q16" s="1352" t="str">
        <f>B16</f>
        <v>公共配套设施</v>
      </c>
      <c r="R16" s="705" t="s">
        <v>14</v>
      </c>
      <c r="S16" s="706">
        <f>F16</f>
        <v>100</v>
      </c>
      <c r="T16" s="705" t="s">
        <v>14</v>
      </c>
      <c r="U16" s="706">
        <f>H16</f>
        <v>100</v>
      </c>
      <c r="V16" s="705" t="s">
        <v>14</v>
      </c>
      <c r="W16" s="706">
        <f>J16</f>
        <v>100</v>
      </c>
      <c r="X16" s="1355"/>
      <c r="Y16" s="3756"/>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9"/>
      <c r="M17" s="2713"/>
      <c r="N17" s="2713"/>
      <c r="O17" s="2771"/>
      <c r="P17" s="3756"/>
      <c r="Q17" s="1352"/>
      <c r="R17" s="705"/>
      <c r="S17" s="706"/>
      <c r="T17" s="705"/>
      <c r="U17" s="706"/>
      <c r="V17" s="705"/>
      <c r="W17" s="706"/>
      <c r="X17" s="1355"/>
      <c r="Y17" s="3756"/>
      <c r="Z17" s="1356"/>
      <c r="AA17" s="1353">
        <v>1</v>
      </c>
      <c r="AB17" s="1353">
        <v>1</v>
      </c>
      <c r="AC17" s="1353">
        <v>1</v>
      </c>
    </row>
    <row r="18" spans="1:29" ht="41.4">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56"/>
      <c r="Q18" s="1352" t="str">
        <f>B18</f>
        <v>基础设施水平</v>
      </c>
      <c r="R18" s="705" t="s">
        <v>14</v>
      </c>
      <c r="S18" s="706">
        <f>F18</f>
        <v>100</v>
      </c>
      <c r="T18" s="705" t="s">
        <v>14</v>
      </c>
      <c r="U18" s="706">
        <f>H18</f>
        <v>100</v>
      </c>
      <c r="V18" s="705" t="s">
        <v>14</v>
      </c>
      <c r="W18" s="706">
        <f>J18</f>
        <v>100</v>
      </c>
      <c r="X18" s="1355"/>
      <c r="Y18" s="3756"/>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9"/>
      <c r="M19" s="2713"/>
      <c r="N19" s="2713"/>
      <c r="O19" s="2771"/>
      <c r="P19" s="3756"/>
      <c r="Q19" s="1352"/>
      <c r="R19" s="705"/>
      <c r="S19" s="706"/>
      <c r="T19" s="705"/>
      <c r="U19" s="706"/>
      <c r="V19" s="705"/>
      <c r="W19" s="706"/>
      <c r="X19" s="1355"/>
      <c r="Y19" s="3756"/>
      <c r="Z19" s="1356"/>
      <c r="AA19" s="1353">
        <v>1</v>
      </c>
      <c r="AB19" s="1353">
        <v>1</v>
      </c>
      <c r="AC19" s="1353">
        <v>1</v>
      </c>
    </row>
    <row r="20" spans="1:29" ht="55.2">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56"/>
      <c r="Q20" s="1352" t="str">
        <f>B20</f>
        <v>自然及人文环境</v>
      </c>
      <c r="R20" s="705" t="s">
        <v>14</v>
      </c>
      <c r="S20" s="706">
        <f>F20</f>
        <v>100</v>
      </c>
      <c r="T20" s="705" t="s">
        <v>14</v>
      </c>
      <c r="U20" s="706">
        <f>H20</f>
        <v>100</v>
      </c>
      <c r="V20" s="705" t="s">
        <v>14</v>
      </c>
      <c r="W20" s="706">
        <f>J20</f>
        <v>100</v>
      </c>
      <c r="X20" s="1355"/>
      <c r="Y20" s="375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56"/>
      <c r="Q21" s="1352"/>
      <c r="R21" s="705"/>
      <c r="S21" s="706"/>
      <c r="T21" s="705"/>
      <c r="U21" s="706"/>
      <c r="V21" s="705"/>
      <c r="W21" s="706"/>
      <c r="X21" s="1355"/>
      <c r="Y21" s="375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56"/>
      <c r="Q22" s="1352" t="str">
        <f>B22</f>
        <v>楼层</v>
      </c>
      <c r="R22" s="705" t="s">
        <v>14</v>
      </c>
      <c r="S22" s="706">
        <f>F22</f>
        <v>100</v>
      </c>
      <c r="T22" s="705" t="s">
        <v>14</v>
      </c>
      <c r="U22" s="706">
        <f>H22</f>
        <v>100</v>
      </c>
      <c r="V22" s="705" t="s">
        <v>14</v>
      </c>
      <c r="W22" s="706">
        <f>J22</f>
        <v>100</v>
      </c>
      <c r="X22" s="1355"/>
      <c r="Y22" s="3756"/>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56"/>
      <c r="Q23" s="1352">
        <f>B23</f>
        <v>111</v>
      </c>
      <c r="R23" s="705" t="s">
        <v>14</v>
      </c>
      <c r="S23" s="706">
        <f>F23</f>
        <v>100</v>
      </c>
      <c r="T23" s="705" t="s">
        <v>14</v>
      </c>
      <c r="U23" s="706">
        <f>H23</f>
        <v>100</v>
      </c>
      <c r="V23" s="705" t="s">
        <v>14</v>
      </c>
      <c r="W23" s="706">
        <f>J23</f>
        <v>100</v>
      </c>
      <c r="X23" s="1355"/>
      <c r="Y23" s="3756"/>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56"/>
      <c r="Q24" s="1352">
        <f t="shared" ref="Q24:Q34" si="11">B24</f>
        <v>111</v>
      </c>
      <c r="R24" s="705" t="s">
        <v>14</v>
      </c>
      <c r="S24" s="706">
        <f>F24</f>
        <v>100</v>
      </c>
      <c r="T24" s="705" t="s">
        <v>14</v>
      </c>
      <c r="U24" s="706">
        <f>H24</f>
        <v>100</v>
      </c>
      <c r="V24" s="705" t="s">
        <v>14</v>
      </c>
      <c r="W24" s="706">
        <f>J24</f>
        <v>100</v>
      </c>
      <c r="X24" s="1355"/>
      <c r="Y24" s="3756"/>
      <c r="Z24" s="1356">
        <f>Q24</f>
        <v>111</v>
      </c>
      <c r="AA24" s="1353">
        <f t="shared" si="3"/>
        <v>1</v>
      </c>
      <c r="AB24" s="1353">
        <f t="shared" si="4"/>
        <v>1</v>
      </c>
      <c r="AC24" s="1353">
        <f t="shared" si="5"/>
        <v>1</v>
      </c>
    </row>
    <row r="25" spans="1:29" s="108" customFormat="1" ht="15.6"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756"/>
      <c r="Q25" s="1343">
        <f t="shared" si="11"/>
        <v>111</v>
      </c>
      <c r="R25" s="701" t="s">
        <v>14</v>
      </c>
      <c r="S25" s="702">
        <f>F25</f>
        <v>100</v>
      </c>
      <c r="T25" s="701" t="s">
        <v>14</v>
      </c>
      <c r="U25" s="702">
        <f>H25</f>
        <v>100</v>
      </c>
      <c r="V25" s="701" t="s">
        <v>14</v>
      </c>
      <c r="W25" s="702">
        <f>J25</f>
        <v>100</v>
      </c>
      <c r="X25" s="703"/>
      <c r="Y25" s="3756"/>
      <c r="Z25" s="52">
        <f>Q25</f>
        <v>111</v>
      </c>
      <c r="AA25" s="1353">
        <f>D25/F25</f>
        <v>1</v>
      </c>
      <c r="AB25" s="1353">
        <f>D25/H25</f>
        <v>1</v>
      </c>
      <c r="AC25" s="1353">
        <f>D25/J25</f>
        <v>1</v>
      </c>
    </row>
    <row r="26" spans="1:29" ht="30">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7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6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60"/>
      <c r="Q27" s="707" t="str">
        <f t="shared" si="11"/>
        <v>成新率</v>
      </c>
      <c r="R27" s="708" t="s">
        <v>14</v>
      </c>
      <c r="S27" s="709" t="e">
        <f t="shared" si="12"/>
        <v>#N/A</v>
      </c>
      <c r="T27" s="708" t="s">
        <v>14</v>
      </c>
      <c r="U27" s="709" t="e">
        <f t="shared" si="13"/>
        <v>#N/A</v>
      </c>
      <c r="V27" s="708" t="s">
        <v>14</v>
      </c>
      <c r="W27" s="709" t="e">
        <f t="shared" si="14"/>
        <v>#N/A</v>
      </c>
      <c r="X27" s="710"/>
      <c r="Y27" s="376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60"/>
      <c r="Q28" s="1352" t="str">
        <f t="shared" si="11"/>
        <v>物业等级</v>
      </c>
      <c r="R28" s="705" t="s">
        <v>14</v>
      </c>
      <c r="S28" s="706">
        <f t="shared" si="12"/>
        <v>100</v>
      </c>
      <c r="T28" s="705" t="s">
        <v>14</v>
      </c>
      <c r="U28" s="706">
        <f t="shared" si="13"/>
        <v>100</v>
      </c>
      <c r="V28" s="705" t="s">
        <v>14</v>
      </c>
      <c r="W28" s="706">
        <f t="shared" si="14"/>
        <v>100</v>
      </c>
      <c r="X28" s="1355"/>
      <c r="Y28" s="376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60"/>
      <c r="Q29" s="1352" t="str">
        <f t="shared" si="11"/>
        <v>有无电梯</v>
      </c>
      <c r="R29" s="705" t="s">
        <v>14</v>
      </c>
      <c r="S29" s="706">
        <f t="shared" si="12"/>
        <v>100</v>
      </c>
      <c r="T29" s="705" t="s">
        <v>14</v>
      </c>
      <c r="U29" s="706">
        <f t="shared" si="13"/>
        <v>100</v>
      </c>
      <c r="V29" s="705" t="s">
        <v>14</v>
      </c>
      <c r="W29" s="706">
        <f t="shared" si="14"/>
        <v>100</v>
      </c>
      <c r="X29" s="1355"/>
      <c r="Y29" s="376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60"/>
      <c r="Q30" s="1352" t="str">
        <f t="shared" si="11"/>
        <v>建筑面积</v>
      </c>
      <c r="R30" s="705" t="s">
        <v>14</v>
      </c>
      <c r="S30" s="706" t="e">
        <f t="shared" si="12"/>
        <v>#N/A</v>
      </c>
      <c r="T30" s="705" t="s">
        <v>14</v>
      </c>
      <c r="U30" s="706" t="e">
        <f t="shared" si="13"/>
        <v>#N/A</v>
      </c>
      <c r="V30" s="705" t="s">
        <v>14</v>
      </c>
      <c r="W30" s="706" t="e">
        <f t="shared" si="14"/>
        <v>#N/A</v>
      </c>
      <c r="X30" s="1355"/>
      <c r="Y30" s="376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60"/>
      <c r="Q31" s="1343" t="str">
        <f t="shared" si="11"/>
        <v>是否封闭</v>
      </c>
      <c r="R31" s="701" t="s">
        <v>14</v>
      </c>
      <c r="S31" s="702">
        <f t="shared" si="12"/>
        <v>100</v>
      </c>
      <c r="T31" s="701" t="s">
        <v>14</v>
      </c>
      <c r="U31" s="702">
        <f t="shared" si="13"/>
        <v>100</v>
      </c>
      <c r="V31" s="701" t="s">
        <v>14</v>
      </c>
      <c r="W31" s="702">
        <f t="shared" si="14"/>
        <v>100</v>
      </c>
      <c r="X31" s="703"/>
      <c r="Y31" s="376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60" t="s">
        <v>1696</v>
      </c>
      <c r="Q32" s="1352">
        <f t="shared" si="11"/>
        <v>111</v>
      </c>
      <c r="R32" s="705" t="s">
        <v>14</v>
      </c>
      <c r="S32" s="706">
        <f t="shared" si="12"/>
        <v>100</v>
      </c>
      <c r="T32" s="705" t="s">
        <v>14</v>
      </c>
      <c r="U32" s="706">
        <f t="shared" si="13"/>
        <v>100</v>
      </c>
      <c r="V32" s="705" t="s">
        <v>14</v>
      </c>
      <c r="W32" s="706">
        <f t="shared" si="14"/>
        <v>100</v>
      </c>
      <c r="X32" s="1355"/>
      <c r="Y32" s="3760"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60"/>
      <c r="Q33" s="1352">
        <f t="shared" si="11"/>
        <v>111</v>
      </c>
      <c r="R33" s="705" t="s">
        <v>14</v>
      </c>
      <c r="S33" s="706">
        <f t="shared" si="12"/>
        <v>100</v>
      </c>
      <c r="T33" s="705" t="s">
        <v>14</v>
      </c>
      <c r="U33" s="706">
        <f t="shared" si="13"/>
        <v>100</v>
      </c>
      <c r="V33" s="705" t="s">
        <v>14</v>
      </c>
      <c r="W33" s="706">
        <f t="shared" si="14"/>
        <v>100</v>
      </c>
      <c r="X33" s="1355"/>
      <c r="Y33" s="3760"/>
      <c r="Z33" s="1356">
        <f t="shared" si="15"/>
        <v>111</v>
      </c>
      <c r="AA33" s="1353">
        <f t="shared" si="3"/>
        <v>1</v>
      </c>
      <c r="AB33" s="1353">
        <f t="shared" si="4"/>
        <v>1</v>
      </c>
      <c r="AC33" s="1353">
        <f t="shared" si="5"/>
        <v>1</v>
      </c>
    </row>
    <row r="34" spans="1:30" ht="15.6"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760"/>
      <c r="Q34" s="1352">
        <f t="shared" si="11"/>
        <v>111</v>
      </c>
      <c r="R34" s="705" t="s">
        <v>14</v>
      </c>
      <c r="S34" s="706">
        <f t="shared" si="12"/>
        <v>100</v>
      </c>
      <c r="T34" s="705" t="s">
        <v>14</v>
      </c>
      <c r="U34" s="706">
        <f t="shared" si="13"/>
        <v>100</v>
      </c>
      <c r="V34" s="705" t="s">
        <v>14</v>
      </c>
      <c r="W34" s="706">
        <f t="shared" si="14"/>
        <v>100</v>
      </c>
      <c r="X34" s="1355"/>
      <c r="Y34" s="3760"/>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1"/>
      <c r="M35" s="2722"/>
      <c r="N35" s="2713"/>
      <c r="O35" s="2722"/>
      <c r="P35" s="3753" t="str">
        <f>A35</f>
        <v>成交单价（元/平方米）</v>
      </c>
      <c r="Q35" s="3753"/>
      <c r="R35" s="3754">
        <f>E35</f>
        <v>0</v>
      </c>
      <c r="S35" s="3754"/>
      <c r="T35" s="3754">
        <f>G35</f>
        <v>0</v>
      </c>
      <c r="U35" s="3754"/>
      <c r="V35" s="3754">
        <f>I35</f>
        <v>0</v>
      </c>
      <c r="W35" s="3754"/>
      <c r="X35" s="690"/>
      <c r="Y35" s="712"/>
      <c r="Z35" s="690"/>
      <c r="AA35" s="690"/>
      <c r="AB35" s="690"/>
      <c r="AC35" s="690"/>
    </row>
    <row r="36" spans="1:30" ht="15" thickBot="1">
      <c r="A36" s="437" t="s">
        <v>1793</v>
      </c>
      <c r="B36" s="438"/>
      <c r="C36" s="1160" t="e">
        <f>R37</f>
        <v>#DIV/0!</v>
      </c>
      <c r="D36" s="2314" t="s">
        <v>2138</v>
      </c>
      <c r="E36" s="1161" t="e">
        <f>R36</f>
        <v>#DIV/0!</v>
      </c>
      <c r="F36" s="2315"/>
      <c r="G36" s="1160" t="e">
        <f>T36</f>
        <v>#DIV/0!</v>
      </c>
      <c r="H36" s="2315"/>
      <c r="I36" s="1161" t="e">
        <f>V36</f>
        <v>#DIV/0!</v>
      </c>
      <c r="J36" s="2315"/>
      <c r="K36" s="2317">
        <f>F36+H36+J36</f>
        <v>0</v>
      </c>
      <c r="L36" s="2721"/>
      <c r="M36" s="2722"/>
      <c r="N36" s="2713"/>
      <c r="O36" s="2722"/>
      <c r="P36" s="3753" t="str">
        <f>A36</f>
        <v>比较价值（元/平方米）</v>
      </c>
      <c r="Q36" s="3753"/>
      <c r="R36" s="3754" t="e">
        <f>IF(F1="售价",ROUND(PRODUCT(R35,AA7:AA34),0),ROUND(PRODUCT(R35,AA7:AA34),1))</f>
        <v>#DIV/0!</v>
      </c>
      <c r="S36" s="3754"/>
      <c r="T36" s="3754" t="e">
        <f>IF(F1="售价",ROUND(PRODUCT(T35,AB7:AB34),0),ROUND(PRODUCT(T35,AB7:AB34),1))</f>
        <v>#DIV/0!</v>
      </c>
      <c r="U36" s="3754"/>
      <c r="V36" s="3754" t="e">
        <f>IF(F1="售价",ROUND(PRODUCT(V35,AC7:AC34),0),ROUND(PRODUCT(V35,AC7:AC34),1))</f>
        <v>#DIV/0!</v>
      </c>
      <c r="W36" s="3754"/>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1"/>
      <c r="M37" s="2722"/>
      <c r="N37" s="2722"/>
      <c r="O37" s="2722"/>
      <c r="P37" s="3750" t="str">
        <f>A37</f>
        <v>估价对象XX用房的比较价值（楼面单价，元/平方米）</v>
      </c>
      <c r="Q37" s="3751"/>
      <c r="R37" s="3780" t="e">
        <f>IF(F1="售价",ROUND(IF(D36="简单平均",AVERAGE(R36:W36),R36*F36+T36*H36+V36*J36),0),ROUND(IF(D36="简单平均",AVERAGE(R36:V36),R36*F36+T36*H36+V36*J36),1))</f>
        <v>#DIV/0!</v>
      </c>
      <c r="S37" s="3780"/>
      <c r="T37" s="3780"/>
      <c r="U37" s="3780"/>
      <c r="V37" s="3780"/>
      <c r="W37" s="3780"/>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4.4">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3"/>
      <c r="Q46" s="2738"/>
      <c r="R46" s="2738"/>
      <c r="S46" s="2738"/>
      <c r="T46" s="2738"/>
      <c r="U46" s="2738"/>
      <c r="V46" s="2738"/>
      <c r="W46" s="2738"/>
      <c r="X46" s="2738"/>
      <c r="Y46" s="2738"/>
      <c r="Z46" s="2738"/>
      <c r="AA46" s="2738"/>
      <c r="AB46" s="2738"/>
      <c r="AC46" s="2738"/>
      <c r="AD46" s="2738"/>
    </row>
    <row r="47" spans="1:30" s="108" customFormat="1">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4.4">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ht="14.4">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4.4"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9.4"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4.4"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4.4"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4.4"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4.4"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4.4"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4.4"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4.4"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9.4"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4.4"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4.4"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4.4"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4.4"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4.4"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4.4"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4.4"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4.4"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4.4"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4.4"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4.4"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54" sqref="F5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4.4">
      <c r="A4" s="355" t="s">
        <v>1769</v>
      </c>
      <c r="B4" s="356"/>
      <c r="C4" s="3736" t="s">
        <v>1770</v>
      </c>
      <c r="D4" s="3737"/>
      <c r="E4" s="3738" t="s">
        <v>1771</v>
      </c>
      <c r="F4" s="3739"/>
      <c r="G4" s="3736" t="s">
        <v>1772</v>
      </c>
      <c r="H4" s="3737"/>
      <c r="I4" s="3736" t="s">
        <v>1773</v>
      </c>
      <c r="J4" s="3737"/>
      <c r="K4" s="559" t="s">
        <v>1774</v>
      </c>
      <c r="L4" s="2712"/>
      <c r="M4" s="2713"/>
      <c r="N4" s="2713"/>
      <c r="O4" s="2713"/>
      <c r="P4" s="3740" t="s">
        <v>1775</v>
      </c>
      <c r="Q4" s="3741"/>
      <c r="R4" s="3723" t="s">
        <v>1771</v>
      </c>
      <c r="S4" s="3724"/>
      <c r="T4" s="3723" t="s">
        <v>1772</v>
      </c>
      <c r="U4" s="3724"/>
      <c r="V4" s="3748" t="s">
        <v>1773</v>
      </c>
      <c r="W4" s="3748"/>
      <c r="X4" s="1355"/>
      <c r="Y4" s="3723" t="s">
        <v>1775</v>
      </c>
      <c r="Z4" s="3724"/>
      <c r="AA4" s="3718" t="s">
        <v>1771</v>
      </c>
      <c r="AB4" s="3719" t="s">
        <v>1772</v>
      </c>
      <c r="AC4" s="3718" t="s">
        <v>1773</v>
      </c>
    </row>
    <row r="5" spans="1:30">
      <c r="A5" s="358"/>
      <c r="B5" s="359"/>
      <c r="C5" s="3729" t="s">
        <v>1673</v>
      </c>
      <c r="D5" s="3730"/>
      <c r="E5" s="3727" t="s">
        <v>1674</v>
      </c>
      <c r="F5" s="3728"/>
      <c r="G5" s="3729" t="s">
        <v>1675</v>
      </c>
      <c r="H5" s="3730"/>
      <c r="I5" s="3729" t="s">
        <v>1676</v>
      </c>
      <c r="J5" s="3730"/>
      <c r="K5" s="559"/>
      <c r="L5" s="2712"/>
      <c r="M5" s="2713"/>
      <c r="N5" s="2713"/>
      <c r="O5" s="2713"/>
      <c r="P5" s="3742"/>
      <c r="Q5" s="3743"/>
      <c r="R5" s="3725"/>
      <c r="S5" s="3726"/>
      <c r="T5" s="3725"/>
      <c r="U5" s="3726"/>
      <c r="V5" s="3748"/>
      <c r="W5" s="3748"/>
      <c r="X5" s="1355"/>
      <c r="Y5" s="3725"/>
      <c r="Z5" s="3726"/>
      <c r="AA5" s="3719"/>
      <c r="AB5" s="3719"/>
      <c r="AC5" s="3719"/>
    </row>
    <row r="6" spans="1:30" ht="15" thickBot="1">
      <c r="A6" s="360"/>
      <c r="B6" s="361"/>
      <c r="C6" s="3731" t="s">
        <v>1677</v>
      </c>
      <c r="D6" s="3732"/>
      <c r="E6" s="3733" t="s">
        <v>1677</v>
      </c>
      <c r="F6" s="3734"/>
      <c r="G6" s="3731" t="s">
        <v>1677</v>
      </c>
      <c r="H6" s="3732"/>
      <c r="I6" s="3731" t="s">
        <v>1677</v>
      </c>
      <c r="J6" s="3732"/>
      <c r="K6" s="559" t="s">
        <v>1678</v>
      </c>
      <c r="L6" s="2712"/>
      <c r="M6" s="2713"/>
      <c r="N6" s="2713"/>
      <c r="O6" s="2713"/>
      <c r="P6" s="3744"/>
      <c r="Q6" s="3745"/>
      <c r="R6" s="3725"/>
      <c r="S6" s="3726"/>
      <c r="T6" s="3746"/>
      <c r="U6" s="3747"/>
      <c r="V6" s="3748"/>
      <c r="W6" s="3748"/>
      <c r="X6" s="1355"/>
      <c r="Y6" s="3746"/>
      <c r="Z6" s="3747"/>
      <c r="AA6" s="3720"/>
      <c r="AB6" s="3720"/>
      <c r="AC6" s="3720"/>
    </row>
    <row r="7" spans="1:30" s="108" customFormat="1" ht="15" thickBot="1">
      <c r="A7" s="362" t="s">
        <v>1679</v>
      </c>
      <c r="B7" s="363"/>
      <c r="C7" s="364">
        <f>'数据-取费表'!B2</f>
        <v>45699</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721" t="s">
        <v>1680</v>
      </c>
      <c r="Q7" s="3749"/>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21" t="s">
        <v>1683</v>
      </c>
      <c r="Q8" s="3722"/>
      <c r="R8" s="701" t="s">
        <v>14</v>
      </c>
      <c r="S8" s="702">
        <f t="shared" si="0"/>
        <v>0</v>
      </c>
      <c r="T8" s="701" t="s">
        <v>14</v>
      </c>
      <c r="U8" s="702">
        <f t="shared" si="1"/>
        <v>0</v>
      </c>
      <c r="V8" s="701" t="s">
        <v>14</v>
      </c>
      <c r="W8" s="702">
        <f t="shared" si="2"/>
        <v>0</v>
      </c>
      <c r="X8" s="703"/>
      <c r="Y8" s="3721" t="s">
        <v>1683</v>
      </c>
      <c r="Z8" s="3722"/>
      <c r="AA8" s="704" t="e">
        <f t="shared" ref="AA8:AA45" si="3">D8/F8</f>
        <v>#DIV/0!</v>
      </c>
      <c r="AB8" s="704" t="e">
        <f t="shared" ref="AB8:AB45" si="4">D8/H8</f>
        <v>#DIV/0!</v>
      </c>
      <c r="AC8" s="704" t="e">
        <f t="shared" ref="AC8:AC45" si="5">D8/J8</f>
        <v>#DIV/0!</v>
      </c>
    </row>
    <row r="9" spans="1:30" s="108" customFormat="1" ht="14.4">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753" t="s">
        <v>1686</v>
      </c>
      <c r="Q9" s="1343" t="str">
        <f t="shared" ref="Q9:Q15" si="6">B9</f>
        <v>用途</v>
      </c>
      <c r="R9" s="701" t="s">
        <v>14</v>
      </c>
      <c r="S9" s="702">
        <f t="shared" si="0"/>
        <v>100</v>
      </c>
      <c r="T9" s="701" t="s">
        <v>14</v>
      </c>
      <c r="U9" s="702">
        <f t="shared" si="1"/>
        <v>100</v>
      </c>
      <c r="V9" s="701" t="s">
        <v>14</v>
      </c>
      <c r="W9" s="702">
        <f t="shared" si="2"/>
        <v>100</v>
      </c>
      <c r="X9" s="703"/>
      <c r="Y9" s="3665"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138</v>
      </c>
      <c r="G10" s="414"/>
      <c r="H10" s="127">
        <f>ROUND(100/'数据-取费表'!G16,0)</f>
        <v>138</v>
      </c>
      <c r="I10" s="414"/>
      <c r="J10" s="127">
        <f>ROUND(100/'数据-取费表'!G16,0)</f>
        <v>138</v>
      </c>
      <c r="K10" s="620"/>
      <c r="L10" s="2716"/>
      <c r="M10" s="2717"/>
      <c r="N10" s="2717"/>
      <c r="O10" s="2770"/>
      <c r="P10" s="3753"/>
      <c r="Q10" s="1343" t="str">
        <f t="shared" si="6"/>
        <v>土地使用年限（年）</v>
      </c>
      <c r="R10" s="701" t="s">
        <v>14</v>
      </c>
      <c r="S10" s="702">
        <f t="shared" si="0"/>
        <v>138</v>
      </c>
      <c r="T10" s="701" t="s">
        <v>14</v>
      </c>
      <c r="U10" s="702">
        <f t="shared" si="1"/>
        <v>138</v>
      </c>
      <c r="V10" s="701" t="s">
        <v>14</v>
      </c>
      <c r="W10" s="702">
        <f t="shared" si="2"/>
        <v>138</v>
      </c>
      <c r="X10" s="703"/>
      <c r="Y10" s="3665"/>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53"/>
      <c r="Q11" s="1343" t="str">
        <f t="shared" si="6"/>
        <v>容积率</v>
      </c>
      <c r="R11" s="701" t="s">
        <v>14</v>
      </c>
      <c r="S11" s="702" t="e">
        <f t="shared" si="0"/>
        <v>#N/A</v>
      </c>
      <c r="T11" s="701" t="s">
        <v>14</v>
      </c>
      <c r="U11" s="702" t="e">
        <f t="shared" si="1"/>
        <v>#N/A</v>
      </c>
      <c r="V11" s="701" t="s">
        <v>14</v>
      </c>
      <c r="W11" s="702" t="e">
        <f t="shared" si="2"/>
        <v>#N/A</v>
      </c>
      <c r="X11" s="703"/>
      <c r="Y11" s="3665"/>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53"/>
      <c r="Q12" s="1343" t="str">
        <f t="shared" si="6"/>
        <v>配建</v>
      </c>
      <c r="R12" s="701" t="s">
        <v>14</v>
      </c>
      <c r="S12" s="702">
        <f t="shared" si="0"/>
        <v>100</v>
      </c>
      <c r="T12" s="701" t="s">
        <v>14</v>
      </c>
      <c r="U12" s="702">
        <f t="shared" si="1"/>
        <v>100</v>
      </c>
      <c r="V12" s="701" t="s">
        <v>14</v>
      </c>
      <c r="W12" s="702">
        <f t="shared" si="2"/>
        <v>100</v>
      </c>
      <c r="X12" s="703"/>
      <c r="Y12" s="3665"/>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53"/>
      <c r="Q13" s="1343">
        <f t="shared" si="6"/>
        <v>111</v>
      </c>
      <c r="R13" s="701" t="s">
        <v>14</v>
      </c>
      <c r="S13" s="702">
        <f t="shared" si="0"/>
        <v>100</v>
      </c>
      <c r="T13" s="701" t="s">
        <v>14</v>
      </c>
      <c r="U13" s="702">
        <f t="shared" si="1"/>
        <v>100</v>
      </c>
      <c r="V13" s="701" t="s">
        <v>14</v>
      </c>
      <c r="W13" s="702">
        <f t="shared" si="2"/>
        <v>100</v>
      </c>
      <c r="X13" s="703"/>
      <c r="Y13" s="3665"/>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53"/>
      <c r="Q14" s="1343">
        <f t="shared" si="6"/>
        <v>111</v>
      </c>
      <c r="R14" s="701" t="s">
        <v>14</v>
      </c>
      <c r="S14" s="702">
        <f t="shared" si="0"/>
        <v>100</v>
      </c>
      <c r="T14" s="701" t="s">
        <v>14</v>
      </c>
      <c r="U14" s="702">
        <f t="shared" si="1"/>
        <v>100</v>
      </c>
      <c r="V14" s="701" t="s">
        <v>14</v>
      </c>
      <c r="W14" s="702">
        <f t="shared" si="2"/>
        <v>100</v>
      </c>
      <c r="X14" s="703"/>
      <c r="Y14" s="3665"/>
      <c r="Z14" s="52">
        <f t="shared" si="7"/>
        <v>111</v>
      </c>
      <c r="AA14" s="704">
        <f>D14/F14</f>
        <v>1</v>
      </c>
      <c r="AB14" s="704">
        <f>D14/H14</f>
        <v>1</v>
      </c>
      <c r="AC14" s="704">
        <f>D14/J14</f>
        <v>1</v>
      </c>
    </row>
    <row r="15" spans="1:30" ht="96.6">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55" t="s">
        <v>1691</v>
      </c>
      <c r="Q15" s="1352" t="str">
        <f t="shared" si="6"/>
        <v>居住社区成熟度</v>
      </c>
      <c r="R15" s="705" t="s">
        <v>14</v>
      </c>
      <c r="S15" s="706">
        <f t="shared" si="0"/>
        <v>100</v>
      </c>
      <c r="T15" s="705" t="s">
        <v>14</v>
      </c>
      <c r="U15" s="706">
        <f t="shared" si="1"/>
        <v>100</v>
      </c>
      <c r="V15" s="705" t="s">
        <v>14</v>
      </c>
      <c r="W15" s="706">
        <f t="shared" si="2"/>
        <v>100</v>
      </c>
      <c r="X15" s="1355"/>
      <c r="Y15" s="3755"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9"/>
      <c r="M16" s="2713"/>
      <c r="N16" s="2713"/>
      <c r="O16" s="2771"/>
      <c r="P16" s="3756"/>
      <c r="Q16" s="1352"/>
      <c r="R16" s="705"/>
      <c r="S16" s="706"/>
      <c r="T16" s="705"/>
      <c r="U16" s="706"/>
      <c r="V16" s="705"/>
      <c r="W16" s="706"/>
      <c r="X16" s="1355"/>
      <c r="Y16" s="3756"/>
      <c r="Z16" s="1356"/>
      <c r="AA16" s="1353">
        <v>1</v>
      </c>
      <c r="AB16" s="1353">
        <v>1</v>
      </c>
      <c r="AC16" s="1353">
        <v>1</v>
      </c>
    </row>
    <row r="17" spans="1:29" ht="82.8">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56"/>
      <c r="Q17" s="1352" t="str">
        <f>B17</f>
        <v>商业繁华度</v>
      </c>
      <c r="R17" s="705" t="s">
        <v>14</v>
      </c>
      <c r="S17" s="706">
        <f>F17</f>
        <v>100</v>
      </c>
      <c r="T17" s="705" t="s">
        <v>14</v>
      </c>
      <c r="U17" s="706">
        <f>H17</f>
        <v>100</v>
      </c>
      <c r="V17" s="705" t="s">
        <v>14</v>
      </c>
      <c r="W17" s="706">
        <f>J17</f>
        <v>100</v>
      </c>
      <c r="X17" s="1355"/>
      <c r="Y17" s="3756"/>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9"/>
      <c r="M18" s="2713"/>
      <c r="N18" s="2713"/>
      <c r="O18" s="2771"/>
      <c r="P18" s="3756"/>
      <c r="Q18" s="1352"/>
      <c r="R18" s="705"/>
      <c r="S18" s="706"/>
      <c r="T18" s="705"/>
      <c r="U18" s="706"/>
      <c r="V18" s="705"/>
      <c r="W18" s="706"/>
      <c r="X18" s="1355"/>
      <c r="Y18" s="3756"/>
      <c r="Z18" s="1356"/>
      <c r="AA18" s="1353">
        <v>1</v>
      </c>
      <c r="AB18" s="1353">
        <v>1</v>
      </c>
      <c r="AC18" s="1353">
        <v>1</v>
      </c>
    </row>
    <row r="19" spans="1:29" ht="82.8">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56"/>
      <c r="Q19" s="1352" t="str">
        <f>B19</f>
        <v>办公集聚程度</v>
      </c>
      <c r="R19" s="705" t="s">
        <v>14</v>
      </c>
      <c r="S19" s="706">
        <f>F19</f>
        <v>100</v>
      </c>
      <c r="T19" s="705" t="s">
        <v>14</v>
      </c>
      <c r="U19" s="706">
        <f>H19</f>
        <v>100</v>
      </c>
      <c r="V19" s="705" t="s">
        <v>14</v>
      </c>
      <c r="W19" s="706">
        <f>J19</f>
        <v>100</v>
      </c>
      <c r="X19" s="1355"/>
      <c r="Y19" s="3756"/>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9"/>
      <c r="M20" s="2713"/>
      <c r="N20" s="2713"/>
      <c r="O20" s="2771"/>
      <c r="P20" s="3756"/>
      <c r="Q20" s="1352"/>
      <c r="R20" s="705"/>
      <c r="S20" s="706"/>
      <c r="T20" s="705"/>
      <c r="U20" s="706"/>
      <c r="V20" s="705"/>
      <c r="W20" s="706"/>
      <c r="X20" s="1355"/>
      <c r="Y20" s="3756"/>
      <c r="Z20" s="1356"/>
      <c r="AA20" s="1353">
        <v>1</v>
      </c>
      <c r="AB20" s="1353">
        <v>1</v>
      </c>
      <c r="AC20" s="1353">
        <v>1</v>
      </c>
    </row>
    <row r="21" spans="1:29" ht="96.6">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56"/>
      <c r="Q21" s="1352" t="str">
        <f>B21</f>
        <v>交通便捷度</v>
      </c>
      <c r="R21" s="705" t="s">
        <v>14</v>
      </c>
      <c r="S21" s="706">
        <f>F21</f>
        <v>100</v>
      </c>
      <c r="T21" s="705" t="s">
        <v>14</v>
      </c>
      <c r="U21" s="706">
        <f>H21</f>
        <v>100</v>
      </c>
      <c r="V21" s="705" t="s">
        <v>14</v>
      </c>
      <c r="W21" s="706">
        <f>J21</f>
        <v>100</v>
      </c>
      <c r="X21" s="1355"/>
      <c r="Y21" s="3756"/>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9"/>
      <c r="M22" s="2713"/>
      <c r="N22" s="2713"/>
      <c r="O22" s="2771"/>
      <c r="P22" s="3756"/>
      <c r="Q22" s="1352"/>
      <c r="R22" s="705"/>
      <c r="S22" s="706"/>
      <c r="T22" s="705"/>
      <c r="U22" s="706"/>
      <c r="V22" s="705"/>
      <c r="W22" s="706"/>
      <c r="X22" s="1355"/>
      <c r="Y22" s="3756"/>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56"/>
      <c r="Q23" s="1352" t="str">
        <f t="shared" ref="Q23:Q37" si="8">B23</f>
        <v>区域土地利用方向</v>
      </c>
      <c r="R23" s="705" t="s">
        <v>14</v>
      </c>
      <c r="S23" s="706">
        <f>F23</f>
        <v>100</v>
      </c>
      <c r="T23" s="705" t="s">
        <v>14</v>
      </c>
      <c r="U23" s="706">
        <f>H23</f>
        <v>100</v>
      </c>
      <c r="V23" s="705" t="s">
        <v>14</v>
      </c>
      <c r="W23" s="706">
        <f>J23</f>
        <v>100</v>
      </c>
      <c r="X23" s="1355"/>
      <c r="Y23" s="3756"/>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9"/>
      <c r="M24" s="2713"/>
      <c r="N24" s="2713"/>
      <c r="O24" s="2771"/>
      <c r="P24" s="3756"/>
      <c r="Q24" s="1352"/>
      <c r="R24" s="705"/>
      <c r="S24" s="706"/>
      <c r="T24" s="705"/>
      <c r="U24" s="706"/>
      <c r="V24" s="705"/>
      <c r="W24" s="706"/>
      <c r="X24" s="1355"/>
      <c r="Y24" s="3756"/>
      <c r="Z24" s="1356"/>
      <c r="AA24" s="1353"/>
      <c r="AB24" s="1353"/>
      <c r="AC24" s="1353"/>
    </row>
    <row r="25" spans="1:29" ht="55.2">
      <c r="A25" s="358"/>
      <c r="B25" s="1131"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56"/>
      <c r="Q25" s="1352" t="str">
        <f t="shared" si="8"/>
        <v>自然及人文环境状况</v>
      </c>
      <c r="R25" s="705" t="s">
        <v>14</v>
      </c>
      <c r="S25" s="706">
        <f>F25</f>
        <v>100</v>
      </c>
      <c r="T25" s="705" t="s">
        <v>14</v>
      </c>
      <c r="U25" s="706">
        <f>H25</f>
        <v>100</v>
      </c>
      <c r="V25" s="705" t="s">
        <v>14</v>
      </c>
      <c r="W25" s="706">
        <f>J25</f>
        <v>100</v>
      </c>
      <c r="X25" s="1355"/>
      <c r="Y25" s="3756"/>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9"/>
      <c r="M26" s="2713"/>
      <c r="N26" s="2713"/>
      <c r="O26" s="2771"/>
      <c r="P26" s="3756"/>
      <c r="Q26" s="1352"/>
      <c r="R26" s="705"/>
      <c r="S26" s="706"/>
      <c r="T26" s="705"/>
      <c r="U26" s="706"/>
      <c r="V26" s="705"/>
      <c r="W26" s="706"/>
      <c r="X26" s="1355"/>
      <c r="Y26" s="3756"/>
      <c r="Z26" s="1356"/>
      <c r="AA26" s="1353">
        <v>1</v>
      </c>
      <c r="AB26" s="1353">
        <v>1</v>
      </c>
      <c r="AC26" s="1353">
        <v>1</v>
      </c>
    </row>
    <row r="27" spans="1:29" s="108" customFormat="1" ht="41.4">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56"/>
      <c r="Q27" s="1343" t="str">
        <f t="shared" si="8"/>
        <v>公共配套设施</v>
      </c>
      <c r="R27" s="701" t="s">
        <v>14</v>
      </c>
      <c r="S27" s="702">
        <f>F27</f>
        <v>100</v>
      </c>
      <c r="T27" s="701" t="s">
        <v>14</v>
      </c>
      <c r="U27" s="702">
        <f>H27</f>
        <v>100</v>
      </c>
      <c r="V27" s="701" t="s">
        <v>14</v>
      </c>
      <c r="W27" s="702">
        <f>J27</f>
        <v>100</v>
      </c>
      <c r="X27" s="703"/>
      <c r="Y27" s="3756"/>
      <c r="Z27" s="52" t="str">
        <f>Q27</f>
        <v>公共配套设施</v>
      </c>
      <c r="AA27" s="1353">
        <f>D27/F27</f>
        <v>1</v>
      </c>
      <c r="AB27" s="1353">
        <f>D27/H27</f>
        <v>1</v>
      </c>
      <c r="AC27" s="1353">
        <f>D27/J27</f>
        <v>1</v>
      </c>
    </row>
    <row r="28" spans="1:29" s="108" customFormat="1" ht="15">
      <c r="A28" s="597"/>
      <c r="B28" s="407"/>
      <c r="C28" s="1975"/>
      <c r="D28" s="399"/>
      <c r="E28" s="1903"/>
      <c r="F28" s="399"/>
      <c r="G28" s="1903"/>
      <c r="H28" s="399"/>
      <c r="I28" s="398"/>
      <c r="J28" s="399"/>
      <c r="K28" s="620"/>
      <c r="L28" s="2714"/>
      <c r="M28" s="2715"/>
      <c r="N28" s="2715"/>
      <c r="O28" s="2769"/>
      <c r="P28" s="3756"/>
      <c r="Q28" s="1343"/>
      <c r="R28" s="701"/>
      <c r="S28" s="702"/>
      <c r="T28" s="701"/>
      <c r="U28" s="702"/>
      <c r="V28" s="701"/>
      <c r="W28" s="702"/>
      <c r="X28" s="703"/>
      <c r="Y28" s="3756"/>
      <c r="Z28" s="52"/>
      <c r="AA28" s="1353">
        <v>1</v>
      </c>
      <c r="AB28" s="1353">
        <v>1</v>
      </c>
      <c r="AC28" s="1353">
        <v>1</v>
      </c>
    </row>
    <row r="29" spans="1:29" s="108" customFormat="1" ht="41.4">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56"/>
      <c r="Q29" s="1343" t="str">
        <f t="shared" ref="Q29" si="9">B29</f>
        <v>基础设施水平</v>
      </c>
      <c r="R29" s="701" t="s">
        <v>14</v>
      </c>
      <c r="S29" s="702">
        <f>F29</f>
        <v>100</v>
      </c>
      <c r="T29" s="701" t="s">
        <v>14</v>
      </c>
      <c r="U29" s="702">
        <f>H29</f>
        <v>100</v>
      </c>
      <c r="V29" s="701" t="s">
        <v>14</v>
      </c>
      <c r="W29" s="702">
        <f>J29</f>
        <v>100</v>
      </c>
      <c r="X29" s="703"/>
      <c r="Y29" s="3756"/>
      <c r="Z29" s="52" t="str">
        <f>Q29</f>
        <v>基础设施水平</v>
      </c>
      <c r="AA29" s="1353">
        <f>D29/F29</f>
        <v>1</v>
      </c>
      <c r="AB29" s="1353">
        <f>D29/H29</f>
        <v>1</v>
      </c>
      <c r="AC29" s="1353">
        <f>D29/J29</f>
        <v>1</v>
      </c>
    </row>
    <row r="30" spans="1:29" s="108" customFormat="1" ht="15">
      <c r="A30" s="597"/>
      <c r="B30" s="407"/>
      <c r="C30" s="1975"/>
      <c r="D30" s="399"/>
      <c r="E30" s="1976"/>
      <c r="F30" s="399"/>
      <c r="G30" s="1976"/>
      <c r="H30" s="399"/>
      <c r="I30" s="1976"/>
      <c r="J30" s="399"/>
      <c r="K30" s="620"/>
      <c r="L30" s="2714"/>
      <c r="M30" s="2715"/>
      <c r="N30" s="2715"/>
      <c r="O30" s="2769"/>
      <c r="P30" s="3756"/>
      <c r="Q30" s="1343"/>
      <c r="R30" s="701"/>
      <c r="S30" s="702"/>
      <c r="T30" s="701"/>
      <c r="U30" s="702"/>
      <c r="V30" s="701"/>
      <c r="W30" s="702"/>
      <c r="X30" s="703"/>
      <c r="Y30" s="375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5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6"/>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56"/>
      <c r="Q32" s="1352" t="str">
        <f t="shared" si="8"/>
        <v>毗邻道路的类型与等级</v>
      </c>
      <c r="R32" s="705" t="s">
        <v>14</v>
      </c>
      <c r="S32" s="706">
        <f t="shared" si="10"/>
        <v>100</v>
      </c>
      <c r="T32" s="705" t="s">
        <v>14</v>
      </c>
      <c r="U32" s="706">
        <f t="shared" si="11"/>
        <v>100</v>
      </c>
      <c r="V32" s="705" t="s">
        <v>14</v>
      </c>
      <c r="W32" s="706">
        <f t="shared" si="12"/>
        <v>100</v>
      </c>
      <c r="X32" s="1355"/>
      <c r="Y32" s="3756"/>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9"/>
      <c r="M33" s="2713"/>
      <c r="N33" s="2713"/>
      <c r="O33" s="2771"/>
      <c r="P33" s="3756"/>
      <c r="Q33" s="1352"/>
      <c r="R33" s="705"/>
      <c r="S33" s="706"/>
      <c r="T33" s="705"/>
      <c r="U33" s="706"/>
      <c r="V33" s="705"/>
      <c r="W33" s="706"/>
      <c r="X33" s="1355"/>
      <c r="Y33" s="375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56"/>
      <c r="Q34" s="1352" t="str">
        <f t="shared" si="8"/>
        <v>土地级别</v>
      </c>
      <c r="R34" s="705" t="s">
        <v>14</v>
      </c>
      <c r="S34" s="706">
        <f t="shared" si="10"/>
        <v>100</v>
      </c>
      <c r="T34" s="705" t="s">
        <v>14</v>
      </c>
      <c r="U34" s="706">
        <f t="shared" si="11"/>
        <v>100</v>
      </c>
      <c r="V34" s="705" t="s">
        <v>14</v>
      </c>
      <c r="W34" s="706">
        <f t="shared" si="12"/>
        <v>100</v>
      </c>
      <c r="X34" s="1355"/>
      <c r="Y34" s="375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56"/>
      <c r="Q35" s="1352">
        <f t="shared" si="8"/>
        <v>111</v>
      </c>
      <c r="R35" s="705" t="s">
        <v>14</v>
      </c>
      <c r="S35" s="706">
        <f t="shared" si="10"/>
        <v>100</v>
      </c>
      <c r="T35" s="705" t="s">
        <v>14</v>
      </c>
      <c r="U35" s="706">
        <f t="shared" si="11"/>
        <v>100</v>
      </c>
      <c r="V35" s="705" t="s">
        <v>14</v>
      </c>
      <c r="W35" s="706">
        <f t="shared" si="12"/>
        <v>100</v>
      </c>
      <c r="X35" s="1355"/>
      <c r="Y35" s="375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79" t="s">
        <v>1696</v>
      </c>
      <c r="Q36" s="1352">
        <f t="shared" si="8"/>
        <v>111</v>
      </c>
      <c r="R36" s="705" t="s">
        <v>14</v>
      </c>
      <c r="S36" s="706">
        <f t="shared" si="10"/>
        <v>100</v>
      </c>
      <c r="T36" s="705" t="s">
        <v>14</v>
      </c>
      <c r="U36" s="706">
        <f t="shared" si="11"/>
        <v>100</v>
      </c>
      <c r="V36" s="705" t="s">
        <v>14</v>
      </c>
      <c r="W36" s="706">
        <f t="shared" si="12"/>
        <v>100</v>
      </c>
      <c r="X36" s="1355"/>
      <c r="Y36" s="3760"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60"/>
      <c r="Q37" s="1352">
        <f t="shared" si="8"/>
        <v>111</v>
      </c>
      <c r="R37" s="708" t="s">
        <v>14</v>
      </c>
      <c r="S37" s="709">
        <f t="shared" si="10"/>
        <v>100</v>
      </c>
      <c r="T37" s="708" t="s">
        <v>14</v>
      </c>
      <c r="U37" s="709">
        <f t="shared" si="11"/>
        <v>100</v>
      </c>
      <c r="V37" s="708" t="s">
        <v>14</v>
      </c>
      <c r="W37" s="709">
        <f t="shared" si="12"/>
        <v>100</v>
      </c>
      <c r="X37" s="710"/>
      <c r="Y37" s="3760"/>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60"/>
      <c r="Q38" s="1352" t="str">
        <f>B38</f>
        <v>宗地面积</v>
      </c>
      <c r="R38" s="705" t="s">
        <v>14</v>
      </c>
      <c r="S38" s="706" t="e">
        <f t="shared" si="10"/>
        <v>#N/A</v>
      </c>
      <c r="T38" s="705" t="s">
        <v>14</v>
      </c>
      <c r="U38" s="706" t="e">
        <f t="shared" si="11"/>
        <v>#N/A</v>
      </c>
      <c r="V38" s="705" t="s">
        <v>14</v>
      </c>
      <c r="W38" s="706" t="e">
        <f t="shared" si="12"/>
        <v>#N/A</v>
      </c>
      <c r="X38" s="1355"/>
      <c r="Y38" s="3760"/>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60"/>
      <c r="Q39" s="1352" t="str">
        <f t="shared" ref="Q39:Q45" si="14">B39</f>
        <v>宗地形状</v>
      </c>
      <c r="R39" s="705" t="s">
        <v>14</v>
      </c>
      <c r="S39" s="706">
        <f t="shared" si="10"/>
        <v>100</v>
      </c>
      <c r="T39" s="705" t="s">
        <v>14</v>
      </c>
      <c r="U39" s="706">
        <f t="shared" si="11"/>
        <v>100</v>
      </c>
      <c r="V39" s="705" t="s">
        <v>14</v>
      </c>
      <c r="W39" s="706">
        <f t="shared" si="12"/>
        <v>100</v>
      </c>
      <c r="X39" s="1355"/>
      <c r="Y39" s="3760"/>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60"/>
      <c r="Q40" s="1352" t="str">
        <f t="shared" si="14"/>
        <v>临街宽度及深度</v>
      </c>
      <c r="R40" s="705" t="s">
        <v>14</v>
      </c>
      <c r="S40" s="706">
        <f t="shared" si="10"/>
        <v>100</v>
      </c>
      <c r="T40" s="705" t="s">
        <v>14</v>
      </c>
      <c r="U40" s="706">
        <f t="shared" si="11"/>
        <v>100</v>
      </c>
      <c r="V40" s="705" t="s">
        <v>14</v>
      </c>
      <c r="W40" s="706">
        <f t="shared" si="12"/>
        <v>100</v>
      </c>
      <c r="X40" s="1355"/>
      <c r="Y40" s="3760"/>
      <c r="Z40" s="1356" t="str">
        <f t="shared" si="13"/>
        <v>临街宽度及深度</v>
      </c>
      <c r="AA40" s="1353">
        <f t="shared" si="3"/>
        <v>1</v>
      </c>
      <c r="AB40" s="1353">
        <f t="shared" si="4"/>
        <v>1</v>
      </c>
      <c r="AC40" s="1353">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760"/>
      <c r="Q41" s="1352" t="str">
        <f t="shared" si="14"/>
        <v>宗地开发程度</v>
      </c>
      <c r="R41" s="701" t="s">
        <v>14</v>
      </c>
      <c r="S41" s="702">
        <f t="shared" si="10"/>
        <v>100</v>
      </c>
      <c r="T41" s="701" t="s">
        <v>14</v>
      </c>
      <c r="U41" s="702">
        <f t="shared" si="11"/>
        <v>100</v>
      </c>
      <c r="V41" s="701" t="s">
        <v>14</v>
      </c>
      <c r="W41" s="702">
        <f t="shared" si="12"/>
        <v>100</v>
      </c>
      <c r="X41" s="703"/>
      <c r="Y41" s="3760"/>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60" t="s">
        <v>1696</v>
      </c>
      <c r="Q42" s="1352" t="str">
        <f t="shared" si="14"/>
        <v>工程地质条件</v>
      </c>
      <c r="R42" s="705" t="s">
        <v>14</v>
      </c>
      <c r="S42" s="706">
        <f t="shared" si="10"/>
        <v>100</v>
      </c>
      <c r="T42" s="705" t="s">
        <v>14</v>
      </c>
      <c r="U42" s="706">
        <f t="shared" si="11"/>
        <v>100</v>
      </c>
      <c r="V42" s="705" t="s">
        <v>14</v>
      </c>
      <c r="W42" s="706">
        <f t="shared" si="12"/>
        <v>100</v>
      </c>
      <c r="X42" s="1355"/>
      <c r="Y42" s="376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60"/>
      <c r="Q43" s="1352">
        <f t="shared" si="14"/>
        <v>111</v>
      </c>
      <c r="R43" s="705" t="s">
        <v>14</v>
      </c>
      <c r="S43" s="706">
        <f t="shared" si="10"/>
        <v>100</v>
      </c>
      <c r="T43" s="705" t="s">
        <v>14</v>
      </c>
      <c r="U43" s="706">
        <f t="shared" si="11"/>
        <v>100</v>
      </c>
      <c r="V43" s="705" t="s">
        <v>14</v>
      </c>
      <c r="W43" s="706">
        <f t="shared" si="12"/>
        <v>100</v>
      </c>
      <c r="X43" s="1355"/>
      <c r="Y43" s="376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60"/>
      <c r="Q44" s="1352">
        <f t="shared" si="14"/>
        <v>111</v>
      </c>
      <c r="R44" s="705" t="s">
        <v>14</v>
      </c>
      <c r="S44" s="706">
        <f t="shared" si="10"/>
        <v>100</v>
      </c>
      <c r="T44" s="705" t="s">
        <v>14</v>
      </c>
      <c r="U44" s="706">
        <f t="shared" si="11"/>
        <v>100</v>
      </c>
      <c r="V44" s="705" t="s">
        <v>14</v>
      </c>
      <c r="W44" s="706">
        <f t="shared" si="12"/>
        <v>100</v>
      </c>
      <c r="X44" s="1355"/>
      <c r="Y44" s="3760"/>
      <c r="Z44" s="1356">
        <f t="shared" si="13"/>
        <v>111</v>
      </c>
      <c r="AA44" s="1353">
        <f t="shared" si="3"/>
        <v>1</v>
      </c>
      <c r="AB44" s="1353">
        <f t="shared" si="4"/>
        <v>1</v>
      </c>
      <c r="AC44" s="1353">
        <f t="shared" si="5"/>
        <v>1</v>
      </c>
    </row>
    <row r="45" spans="1:29" s="422" customFormat="1" ht="15.6"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60"/>
      <c r="Q45" s="1352">
        <f t="shared" si="14"/>
        <v>111</v>
      </c>
      <c r="R45" s="708" t="s">
        <v>14</v>
      </c>
      <c r="S45" s="709">
        <f t="shared" si="10"/>
        <v>100</v>
      </c>
      <c r="T45" s="708" t="s">
        <v>14</v>
      </c>
      <c r="U45" s="709">
        <f t="shared" si="11"/>
        <v>100</v>
      </c>
      <c r="V45" s="708" t="s">
        <v>14</v>
      </c>
      <c r="W45" s="709">
        <f t="shared" si="12"/>
        <v>100</v>
      </c>
      <c r="X45" s="710"/>
      <c r="Y45" s="3760"/>
      <c r="Z45" s="711">
        <f t="shared" si="13"/>
        <v>111</v>
      </c>
      <c r="AA45" s="1353">
        <f t="shared" si="3"/>
        <v>1</v>
      </c>
      <c r="AB45" s="1353">
        <f t="shared" si="4"/>
        <v>1</v>
      </c>
      <c r="AC45" s="1353">
        <f t="shared" si="5"/>
        <v>1</v>
      </c>
    </row>
    <row r="46" spans="1:29" ht="14.4">
      <c r="A46" s="430" t="s">
        <v>1844</v>
      </c>
      <c r="B46" s="1979" t="s">
        <v>1879</v>
      </c>
      <c r="C46" s="630" t="s">
        <v>0</v>
      </c>
      <c r="D46" s="432"/>
      <c r="E46" s="433"/>
      <c r="F46" s="434"/>
      <c r="G46" s="435"/>
      <c r="H46" s="436"/>
      <c r="I46" s="433"/>
      <c r="J46" s="436"/>
      <c r="K46" s="714"/>
      <c r="L46" s="2721"/>
      <c r="M46" s="2722"/>
      <c r="N46" s="2713"/>
      <c r="O46" s="2722"/>
      <c r="P46" s="3753" t="str">
        <f>A46</f>
        <v>成交单价</v>
      </c>
      <c r="Q46" s="3753"/>
      <c r="R46" s="3748">
        <f>E46</f>
        <v>0</v>
      </c>
      <c r="S46" s="3748"/>
      <c r="T46" s="3748">
        <f>G46</f>
        <v>0</v>
      </c>
      <c r="U46" s="3748"/>
      <c r="V46" s="3748">
        <f>I46</f>
        <v>0</v>
      </c>
      <c r="W46" s="3748"/>
      <c r="X46" s="690"/>
      <c r="Y46" s="712"/>
      <c r="Z46" s="690"/>
      <c r="AA46" s="690"/>
      <c r="AB46" s="690"/>
      <c r="AC46" s="690"/>
    </row>
    <row r="47" spans="1:29" ht="15" thickBot="1">
      <c r="A47" s="437" t="s">
        <v>1793</v>
      </c>
      <c r="B47" s="631"/>
      <c r="C47" s="440" t="e">
        <f>R48</f>
        <v>#DIV/0!</v>
      </c>
      <c r="D47" s="2314" t="s">
        <v>2138</v>
      </c>
      <c r="E47" s="440" t="e">
        <f>R47</f>
        <v>#DIV/0!</v>
      </c>
      <c r="F47" s="2315"/>
      <c r="G47" s="439" t="e">
        <f>T47</f>
        <v>#DIV/0!</v>
      </c>
      <c r="H47" s="2315"/>
      <c r="I47" s="440" t="e">
        <f>V47</f>
        <v>#DIV/0!</v>
      </c>
      <c r="J47" s="2315"/>
      <c r="K47" s="2317">
        <f>F47+H47+J47</f>
        <v>0</v>
      </c>
      <c r="L47" s="2721"/>
      <c r="M47" s="2722"/>
      <c r="N47" s="2722"/>
      <c r="O47" s="2722"/>
      <c r="P47" s="3753" t="str">
        <f>A47</f>
        <v>比较价值（元/平方米）</v>
      </c>
      <c r="Q47" s="3753"/>
      <c r="R47" s="3781" t="e">
        <f>ROUND(PRODUCT(R46,AA7:AA45),0)</f>
        <v>#DIV/0!</v>
      </c>
      <c r="S47" s="3781"/>
      <c r="T47" s="3781" t="e">
        <f>ROUND(PRODUCT(T46,AB7:AB45),0)</f>
        <v>#DIV/0!</v>
      </c>
      <c r="U47" s="3781"/>
      <c r="V47" s="3781" t="e">
        <f>ROUND(PRODUCT(V46,AC7:AC45),0)</f>
        <v>#DIV/0!</v>
      </c>
      <c r="W47" s="378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1"/>
      <c r="M48" s="2722"/>
      <c r="N48" s="2722"/>
      <c r="O48" s="2722"/>
      <c r="P48" s="3750" t="str">
        <f>A48</f>
        <v>估价对象XX用房的比较价值（楼面单价，元/平方米）</v>
      </c>
      <c r="Q48" s="3751"/>
      <c r="R48" s="3782" t="e">
        <f>ROUND(IF(D47="简单平均",AVERAGE(R47:W47),R47*F47+T47*H47+V47*J47),0)</f>
        <v>#DIV/0!</v>
      </c>
      <c r="S48" s="3782"/>
      <c r="T48" s="3782"/>
      <c r="U48" s="3782"/>
      <c r="V48" s="3782"/>
      <c r="W48" s="3782"/>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4.4"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90" t="s">
        <v>1886</v>
      </c>
      <c r="G55" s="3736" t="s">
        <v>1887</v>
      </c>
      <c r="H55" s="3783"/>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64.67</v>
      </c>
      <c r="F56" s="886" t="e">
        <f t="shared" ref="F56:F64" si="15">ROUND(B56*E56/10000,0)</f>
        <v>#DIV/0!</v>
      </c>
      <c r="G56" s="3735"/>
      <c r="H56" s="3753"/>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4.4"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thickBot="1">
      <c r="A65" s="643" t="s">
        <v>1903</v>
      </c>
      <c r="B65" s="644" t="s">
        <v>22</v>
      </c>
      <c r="C65" s="644" t="s">
        <v>23</v>
      </c>
      <c r="D65" s="644" t="s">
        <v>392</v>
      </c>
      <c r="E65" s="644">
        <f>IF(B46="楼面地价",SUM(E56:E64),'数据-汇总表'!D3)</f>
        <v>64.67</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2"/>
      <c r="Q67" s="2722"/>
      <c r="R67" s="2722"/>
      <c r="S67" s="2722"/>
      <c r="T67" s="2722"/>
      <c r="U67" s="2722"/>
      <c r="V67" s="2722"/>
      <c r="W67" s="2722"/>
      <c r="X67" s="2722"/>
      <c r="Y67" s="2722"/>
      <c r="Z67" s="2722"/>
      <c r="AA67" s="2722"/>
      <c r="AB67" s="2722"/>
      <c r="AC67" s="2722"/>
    </row>
    <row r="68" spans="1:29" ht="22.2"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4.4">
      <c r="A69" s="1986"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4.4">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4.4"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ht="14.4">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4.4"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9.4"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4.4"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4.4"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4.4"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4.4"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4.4"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4.4"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4.4"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ht="14.4">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4.4"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4.4"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4.4"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4.4"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4.4"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4.4"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4.4"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4.4"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4.4"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4.4"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4.4"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736" t="s">
        <v>1770</v>
      </c>
      <c r="D4" s="3737"/>
      <c r="E4" s="3738" t="s">
        <v>1771</v>
      </c>
      <c r="F4" s="3739"/>
      <c r="G4" s="3736" t="s">
        <v>1772</v>
      </c>
      <c r="H4" s="3737"/>
      <c r="I4" s="3736" t="s">
        <v>1773</v>
      </c>
      <c r="J4" s="3737"/>
      <c r="K4" s="559" t="s">
        <v>1774</v>
      </c>
      <c r="L4" s="2712"/>
      <c r="M4" s="2713"/>
      <c r="N4" s="2713"/>
      <c r="O4" s="2713"/>
      <c r="P4" s="3740" t="s">
        <v>1775</v>
      </c>
      <c r="Q4" s="3741"/>
      <c r="R4" s="3723" t="s">
        <v>1771</v>
      </c>
      <c r="S4" s="3724"/>
      <c r="T4" s="3723" t="s">
        <v>1772</v>
      </c>
      <c r="U4" s="3724"/>
      <c r="V4" s="3748" t="s">
        <v>1773</v>
      </c>
      <c r="W4" s="3748"/>
      <c r="X4" s="1355"/>
      <c r="Y4" s="3723" t="s">
        <v>1775</v>
      </c>
      <c r="Z4" s="3724"/>
      <c r="AA4" s="3718" t="s">
        <v>1771</v>
      </c>
      <c r="AB4" s="3719" t="s">
        <v>1772</v>
      </c>
      <c r="AC4" s="3718" t="s">
        <v>1773</v>
      </c>
    </row>
    <row r="5" spans="1:29">
      <c r="A5" s="358"/>
      <c r="B5" s="359"/>
      <c r="C5" s="3729" t="s">
        <v>1673</v>
      </c>
      <c r="D5" s="3730"/>
      <c r="E5" s="3727" t="s">
        <v>1674</v>
      </c>
      <c r="F5" s="3728"/>
      <c r="G5" s="3729" t="s">
        <v>1675</v>
      </c>
      <c r="H5" s="3730"/>
      <c r="I5" s="3729" t="s">
        <v>1676</v>
      </c>
      <c r="J5" s="3730"/>
      <c r="K5" s="559"/>
      <c r="L5" s="2712"/>
      <c r="M5" s="2713"/>
      <c r="N5" s="2713"/>
      <c r="O5" s="2713"/>
      <c r="P5" s="3742"/>
      <c r="Q5" s="3743"/>
      <c r="R5" s="3725"/>
      <c r="S5" s="3726"/>
      <c r="T5" s="3725"/>
      <c r="U5" s="3726"/>
      <c r="V5" s="3748"/>
      <c r="W5" s="3748"/>
      <c r="X5" s="1355"/>
      <c r="Y5" s="3725"/>
      <c r="Z5" s="3726"/>
      <c r="AA5" s="3719"/>
      <c r="AB5" s="3719"/>
      <c r="AC5" s="3719"/>
    </row>
    <row r="6" spans="1:29" ht="15" thickBot="1">
      <c r="A6" s="360"/>
      <c r="B6" s="361"/>
      <c r="C6" s="3784" t="s">
        <v>1919</v>
      </c>
      <c r="D6" s="3785"/>
      <c r="E6" s="3786" t="s">
        <v>1919</v>
      </c>
      <c r="F6" s="3787"/>
      <c r="G6" s="3784" t="s">
        <v>1919</v>
      </c>
      <c r="H6" s="3785"/>
      <c r="I6" s="3784" t="s">
        <v>1919</v>
      </c>
      <c r="J6" s="3785"/>
      <c r="K6" s="559" t="s">
        <v>1678</v>
      </c>
      <c r="L6" s="2712"/>
      <c r="M6" s="2713"/>
      <c r="N6" s="2713"/>
      <c r="O6" s="2713"/>
      <c r="P6" s="3744"/>
      <c r="Q6" s="3745"/>
      <c r="R6" s="3725"/>
      <c r="S6" s="3726"/>
      <c r="T6" s="3746"/>
      <c r="U6" s="3747"/>
      <c r="V6" s="3748"/>
      <c r="W6" s="3748"/>
      <c r="X6" s="1355"/>
      <c r="Y6" s="3746"/>
      <c r="Z6" s="3747"/>
      <c r="AA6" s="3720"/>
      <c r="AB6" s="3720"/>
      <c r="AC6" s="3720"/>
    </row>
    <row r="7" spans="1:29" s="108" customFormat="1" ht="15" thickBot="1">
      <c r="A7" s="362" t="s">
        <v>1679</v>
      </c>
      <c r="B7" s="363"/>
      <c r="C7" s="364">
        <f>'数据-取费表'!B2</f>
        <v>45699</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21" t="s">
        <v>1680</v>
      </c>
      <c r="Q7" s="3749"/>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21" t="s">
        <v>1683</v>
      </c>
      <c r="Q8" s="3722"/>
      <c r="R8" s="701" t="s">
        <v>14</v>
      </c>
      <c r="S8" s="702">
        <f t="shared" si="0"/>
        <v>0</v>
      </c>
      <c r="T8" s="701" t="s">
        <v>14</v>
      </c>
      <c r="U8" s="702">
        <f t="shared" si="1"/>
        <v>0</v>
      </c>
      <c r="V8" s="701" t="s">
        <v>14</v>
      </c>
      <c r="W8" s="702">
        <f t="shared" si="2"/>
        <v>0</v>
      </c>
      <c r="X8" s="703"/>
      <c r="Y8" s="3721" t="s">
        <v>1683</v>
      </c>
      <c r="Z8" s="3722"/>
      <c r="AA8" s="704" t="e">
        <f t="shared" ref="AA8:AA40" si="3">D8/F8</f>
        <v>#DIV/0!</v>
      </c>
      <c r="AB8" s="704" t="e">
        <f t="shared" ref="AB8:AB40" si="4">D8/H8</f>
        <v>#DIV/0!</v>
      </c>
      <c r="AC8" s="704" t="e">
        <f t="shared" ref="AC8:AC40" si="5">D8/J8</f>
        <v>#DIV/0!</v>
      </c>
    </row>
    <row r="9" spans="1:29" s="108" customFormat="1" ht="14.4">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753" t="s">
        <v>1686</v>
      </c>
      <c r="Q9" s="1343" t="str">
        <f t="shared" ref="Q9:Q15" si="6">B9</f>
        <v>用途</v>
      </c>
      <c r="R9" s="701" t="s">
        <v>14</v>
      </c>
      <c r="S9" s="702">
        <f t="shared" si="0"/>
        <v>100</v>
      </c>
      <c r="T9" s="701" t="s">
        <v>14</v>
      </c>
      <c r="U9" s="702">
        <f t="shared" si="1"/>
        <v>100</v>
      </c>
      <c r="V9" s="701" t="s">
        <v>14</v>
      </c>
      <c r="W9" s="702">
        <f t="shared" si="2"/>
        <v>100</v>
      </c>
      <c r="X9" s="703"/>
      <c r="Y9" s="3665"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138</v>
      </c>
      <c r="G10" s="383"/>
      <c r="H10" s="127">
        <f>ROUND(100/'数据-取费表'!G16,0)</f>
        <v>138</v>
      </c>
      <c r="I10" s="383"/>
      <c r="J10" s="127">
        <f>ROUND(100/'数据-取费表'!G16,0)</f>
        <v>138</v>
      </c>
      <c r="K10" s="620"/>
      <c r="L10" s="2716"/>
      <c r="M10" s="2717"/>
      <c r="N10" s="2717"/>
      <c r="O10" s="2770"/>
      <c r="P10" s="3753"/>
      <c r="Q10" s="1343" t="str">
        <f t="shared" si="6"/>
        <v>土地使用年限（年）</v>
      </c>
      <c r="R10" s="701" t="s">
        <v>14</v>
      </c>
      <c r="S10" s="702">
        <f t="shared" si="0"/>
        <v>138</v>
      </c>
      <c r="T10" s="701" t="s">
        <v>14</v>
      </c>
      <c r="U10" s="702">
        <f t="shared" si="1"/>
        <v>138</v>
      </c>
      <c r="V10" s="701" t="s">
        <v>14</v>
      </c>
      <c r="W10" s="702">
        <f t="shared" si="2"/>
        <v>138</v>
      </c>
      <c r="X10" s="703"/>
      <c r="Y10" s="3665"/>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53"/>
      <c r="Q11" s="1343" t="str">
        <f t="shared" si="6"/>
        <v>容积率</v>
      </c>
      <c r="R11" s="701" t="s">
        <v>14</v>
      </c>
      <c r="S11" s="702" t="e">
        <f t="shared" si="0"/>
        <v>#N/A</v>
      </c>
      <c r="T11" s="701" t="s">
        <v>14</v>
      </c>
      <c r="U11" s="702" t="e">
        <f t="shared" si="1"/>
        <v>#N/A</v>
      </c>
      <c r="V11" s="701" t="s">
        <v>14</v>
      </c>
      <c r="W11" s="702" t="e">
        <f t="shared" si="2"/>
        <v>#N/A</v>
      </c>
      <c r="X11" s="703"/>
      <c r="Y11" s="366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53"/>
      <c r="Q12" s="1343">
        <f t="shared" si="6"/>
        <v>111</v>
      </c>
      <c r="R12" s="701" t="s">
        <v>14</v>
      </c>
      <c r="S12" s="702">
        <f t="shared" si="0"/>
        <v>100</v>
      </c>
      <c r="T12" s="701" t="s">
        <v>14</v>
      </c>
      <c r="U12" s="702">
        <f t="shared" si="1"/>
        <v>100</v>
      </c>
      <c r="V12" s="701" t="s">
        <v>14</v>
      </c>
      <c r="W12" s="702">
        <f t="shared" si="2"/>
        <v>100</v>
      </c>
      <c r="X12" s="703"/>
      <c r="Y12" s="366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53"/>
      <c r="Q13" s="1343">
        <f t="shared" si="6"/>
        <v>111</v>
      </c>
      <c r="R13" s="701" t="s">
        <v>14</v>
      </c>
      <c r="S13" s="702">
        <f t="shared" si="0"/>
        <v>100</v>
      </c>
      <c r="T13" s="701" t="s">
        <v>14</v>
      </c>
      <c r="U13" s="702">
        <f t="shared" si="1"/>
        <v>100</v>
      </c>
      <c r="V13" s="701" t="s">
        <v>14</v>
      </c>
      <c r="W13" s="702">
        <f t="shared" si="2"/>
        <v>100</v>
      </c>
      <c r="X13" s="703"/>
      <c r="Y13" s="3665"/>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53"/>
      <c r="Q14" s="1343">
        <f t="shared" si="6"/>
        <v>111</v>
      </c>
      <c r="R14" s="701" t="s">
        <v>14</v>
      </c>
      <c r="S14" s="702">
        <f t="shared" si="0"/>
        <v>100</v>
      </c>
      <c r="T14" s="701" t="s">
        <v>14</v>
      </c>
      <c r="U14" s="702">
        <f t="shared" si="1"/>
        <v>100</v>
      </c>
      <c r="V14" s="701" t="s">
        <v>14</v>
      </c>
      <c r="W14" s="702">
        <f t="shared" si="2"/>
        <v>100</v>
      </c>
      <c r="X14" s="703"/>
      <c r="Y14" s="3665"/>
      <c r="Z14" s="52">
        <f t="shared" si="7"/>
        <v>111</v>
      </c>
      <c r="AA14" s="704">
        <f t="shared" si="3"/>
        <v>1</v>
      </c>
      <c r="AB14" s="704">
        <f t="shared" si="4"/>
        <v>1</v>
      </c>
      <c r="AC14" s="704">
        <f t="shared" si="5"/>
        <v>1</v>
      </c>
    </row>
    <row r="15" spans="1:29" ht="69">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55" t="s">
        <v>1691</v>
      </c>
      <c r="Q15" s="1352" t="str">
        <f t="shared" si="6"/>
        <v>产业集聚程度</v>
      </c>
      <c r="R15" s="705" t="s">
        <v>14</v>
      </c>
      <c r="S15" s="706">
        <f t="shared" si="0"/>
        <v>100</v>
      </c>
      <c r="T15" s="705" t="s">
        <v>14</v>
      </c>
      <c r="U15" s="706">
        <f t="shared" si="1"/>
        <v>100</v>
      </c>
      <c r="V15" s="705" t="s">
        <v>14</v>
      </c>
      <c r="W15" s="706">
        <f t="shared" si="2"/>
        <v>100</v>
      </c>
      <c r="X15" s="1355"/>
      <c r="Y15" s="3755"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9"/>
      <c r="M16" s="2713"/>
      <c r="N16" s="2713"/>
      <c r="O16" s="2771"/>
      <c r="P16" s="3756"/>
      <c r="Q16" s="1352"/>
      <c r="R16" s="705"/>
      <c r="S16" s="706"/>
      <c r="T16" s="705"/>
      <c r="U16" s="706"/>
      <c r="V16" s="705"/>
      <c r="W16" s="706"/>
      <c r="X16" s="1355"/>
      <c r="Y16" s="3756"/>
      <c r="Z16" s="1356"/>
      <c r="AA16" s="1353">
        <v>1</v>
      </c>
      <c r="AB16" s="1353">
        <v>1</v>
      </c>
      <c r="AC16" s="1353">
        <v>1</v>
      </c>
    </row>
    <row r="17" spans="1:29" ht="96.6">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56"/>
      <c r="Q17" s="1352" t="str">
        <f>B17</f>
        <v>交通便捷度</v>
      </c>
      <c r="R17" s="705" t="s">
        <v>14</v>
      </c>
      <c r="S17" s="706">
        <f>F17</f>
        <v>100</v>
      </c>
      <c r="T17" s="705" t="s">
        <v>14</v>
      </c>
      <c r="U17" s="706">
        <f>H17</f>
        <v>100</v>
      </c>
      <c r="V17" s="705" t="s">
        <v>14</v>
      </c>
      <c r="W17" s="706">
        <f>J17</f>
        <v>100</v>
      </c>
      <c r="X17" s="1355"/>
      <c r="Y17" s="3756"/>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9"/>
      <c r="M18" s="2713"/>
      <c r="N18" s="2713"/>
      <c r="O18" s="2771"/>
      <c r="P18" s="3756"/>
      <c r="Q18" s="1352"/>
      <c r="R18" s="705"/>
      <c r="S18" s="706"/>
      <c r="T18" s="705"/>
      <c r="U18" s="706"/>
      <c r="V18" s="705"/>
      <c r="W18" s="706"/>
      <c r="X18" s="1355"/>
      <c r="Y18" s="3756"/>
      <c r="Z18" s="1356"/>
      <c r="AA18" s="1353">
        <v>1</v>
      </c>
      <c r="AB18" s="1353">
        <v>1</v>
      </c>
      <c r="AC18" s="1353">
        <v>1</v>
      </c>
    </row>
    <row r="19" spans="1:29" ht="28.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56"/>
      <c r="Q19" s="1352" t="str">
        <f t="shared" ref="Q19:Q33" si="8">B19</f>
        <v>区域土地利用方向</v>
      </c>
      <c r="R19" s="705" t="s">
        <v>14</v>
      </c>
      <c r="S19" s="706">
        <f>F19</f>
        <v>100</v>
      </c>
      <c r="T19" s="705" t="s">
        <v>14</v>
      </c>
      <c r="U19" s="706">
        <f>H19</f>
        <v>100</v>
      </c>
      <c r="V19" s="705" t="s">
        <v>14</v>
      </c>
      <c r="W19" s="706">
        <f>J19</f>
        <v>100</v>
      </c>
      <c r="X19" s="1355"/>
      <c r="Y19" s="3756"/>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9"/>
      <c r="M20" s="2713"/>
      <c r="N20" s="2713"/>
      <c r="O20" s="2771"/>
      <c r="P20" s="3756"/>
      <c r="Q20" s="1352"/>
      <c r="R20" s="705"/>
      <c r="S20" s="706"/>
      <c r="T20" s="705"/>
      <c r="U20" s="706"/>
      <c r="V20" s="705"/>
      <c r="W20" s="706"/>
      <c r="X20" s="1355"/>
      <c r="Y20" s="3756"/>
      <c r="Z20" s="1356"/>
      <c r="AA20" s="1353"/>
      <c r="AB20" s="1353"/>
      <c r="AC20" s="1353"/>
    </row>
    <row r="21" spans="1:29" ht="82.8">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56"/>
      <c r="Q21" s="1352" t="str">
        <f t="shared" si="8"/>
        <v>环境状况</v>
      </c>
      <c r="R21" s="705" t="s">
        <v>14</v>
      </c>
      <c r="S21" s="706">
        <f>F21</f>
        <v>100</v>
      </c>
      <c r="T21" s="705" t="s">
        <v>14</v>
      </c>
      <c r="U21" s="706">
        <f>H21</f>
        <v>100</v>
      </c>
      <c r="V21" s="705" t="s">
        <v>14</v>
      </c>
      <c r="W21" s="706">
        <f>J21</f>
        <v>100</v>
      </c>
      <c r="X21" s="1355"/>
      <c r="Y21" s="3756"/>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9"/>
      <c r="M22" s="2713"/>
      <c r="N22" s="2713"/>
      <c r="O22" s="2771"/>
      <c r="P22" s="3756"/>
      <c r="Q22" s="1352"/>
      <c r="R22" s="705"/>
      <c r="S22" s="706"/>
      <c r="T22" s="705"/>
      <c r="U22" s="706"/>
      <c r="V22" s="705"/>
      <c r="W22" s="706"/>
      <c r="X22" s="1355"/>
      <c r="Y22" s="3756"/>
      <c r="Z22" s="1356"/>
      <c r="AA22" s="1353">
        <v>1</v>
      </c>
      <c r="AB22" s="1353">
        <v>1</v>
      </c>
      <c r="AC22" s="1353">
        <v>1</v>
      </c>
    </row>
    <row r="23" spans="1:29" s="108" customFormat="1" ht="41.4">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56"/>
      <c r="Q23" s="1343" t="str">
        <f t="shared" si="8"/>
        <v>公共配套设施</v>
      </c>
      <c r="R23" s="701" t="s">
        <v>14</v>
      </c>
      <c r="S23" s="702">
        <f>F23</f>
        <v>100</v>
      </c>
      <c r="T23" s="701" t="s">
        <v>14</v>
      </c>
      <c r="U23" s="702">
        <f>H23</f>
        <v>100</v>
      </c>
      <c r="V23" s="701" t="s">
        <v>14</v>
      </c>
      <c r="W23" s="702">
        <f>J23</f>
        <v>100</v>
      </c>
      <c r="X23" s="703"/>
      <c r="Y23" s="3756"/>
      <c r="Z23" s="52" t="str">
        <f>Q23</f>
        <v>公共配套设施</v>
      </c>
      <c r="AA23" s="1353">
        <f>D23/F23</f>
        <v>1</v>
      </c>
      <c r="AB23" s="1353">
        <f>D23/H23</f>
        <v>1</v>
      </c>
      <c r="AC23" s="1353">
        <f>D23/J23</f>
        <v>1</v>
      </c>
    </row>
    <row r="24" spans="1:29" s="108" customFormat="1" ht="15">
      <c r="A24" s="597"/>
      <c r="B24" s="580"/>
      <c r="C24" s="1975"/>
      <c r="D24" s="399"/>
      <c r="E24" s="1903"/>
      <c r="F24" s="399"/>
      <c r="G24" s="1903"/>
      <c r="H24" s="399"/>
      <c r="I24" s="398"/>
      <c r="J24" s="399"/>
      <c r="K24" s="620"/>
      <c r="L24" s="2714"/>
      <c r="M24" s="2715"/>
      <c r="N24" s="2715"/>
      <c r="O24" s="2769"/>
      <c r="P24" s="3756"/>
      <c r="Q24" s="1343"/>
      <c r="R24" s="701"/>
      <c r="S24" s="702"/>
      <c r="T24" s="701"/>
      <c r="U24" s="702"/>
      <c r="V24" s="701"/>
      <c r="W24" s="702"/>
      <c r="X24" s="703"/>
      <c r="Y24" s="3756"/>
      <c r="Z24" s="52"/>
      <c r="AA24" s="704">
        <v>1</v>
      </c>
      <c r="AB24" s="704">
        <v>1</v>
      </c>
      <c r="AC24" s="704">
        <v>1</v>
      </c>
    </row>
    <row r="25" spans="1:29" s="108" customFormat="1" ht="41.4">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56"/>
      <c r="Q25" s="1343" t="str">
        <f t="shared" ref="Q25" si="9">B25</f>
        <v>基础设施水平</v>
      </c>
      <c r="R25" s="701" t="s">
        <v>14</v>
      </c>
      <c r="S25" s="702">
        <f>F25</f>
        <v>100</v>
      </c>
      <c r="T25" s="701" t="s">
        <v>14</v>
      </c>
      <c r="U25" s="702">
        <f>H25</f>
        <v>100</v>
      </c>
      <c r="V25" s="701" t="s">
        <v>14</v>
      </c>
      <c r="W25" s="702">
        <f>J25</f>
        <v>100</v>
      </c>
      <c r="X25" s="703"/>
      <c r="Y25" s="3756"/>
      <c r="Z25" s="52" t="str">
        <f>Q25</f>
        <v>基础设施水平</v>
      </c>
      <c r="AA25" s="1353">
        <f>D25/F25</f>
        <v>1</v>
      </c>
      <c r="AB25" s="1353">
        <f>D25/H25</f>
        <v>1</v>
      </c>
      <c r="AC25" s="1353">
        <f>D25/J25</f>
        <v>1</v>
      </c>
    </row>
    <row r="26" spans="1:29" s="108" customFormat="1" ht="15">
      <c r="A26" s="597"/>
      <c r="B26" s="580"/>
      <c r="C26" s="1975"/>
      <c r="D26" s="399"/>
      <c r="E26" s="1976"/>
      <c r="F26" s="399"/>
      <c r="G26" s="1976"/>
      <c r="H26" s="399"/>
      <c r="I26" s="1976"/>
      <c r="J26" s="399"/>
      <c r="K26" s="620"/>
      <c r="L26" s="2714"/>
      <c r="M26" s="2715"/>
      <c r="N26" s="2715"/>
      <c r="O26" s="2769"/>
      <c r="P26" s="3756"/>
      <c r="Q26" s="1343"/>
      <c r="R26" s="701"/>
      <c r="S26" s="702"/>
      <c r="T26" s="701"/>
      <c r="U26" s="702"/>
      <c r="V26" s="701"/>
      <c r="W26" s="702"/>
      <c r="X26" s="703"/>
      <c r="Y26" s="375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5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6"/>
      <c r="Z27" s="1356" t="str">
        <f t="shared" ref="Z27:Z40" si="13">Q27</f>
        <v>临街状况</v>
      </c>
      <c r="AA27" s="1353">
        <f t="shared" si="3"/>
        <v>1</v>
      </c>
      <c r="AB27" s="1353">
        <f t="shared" si="4"/>
        <v>1</v>
      </c>
      <c r="AC27" s="1353">
        <f t="shared" si="5"/>
        <v>1</v>
      </c>
    </row>
    <row r="28" spans="1:29" ht="28.8">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56"/>
      <c r="Q28" s="1352" t="str">
        <f t="shared" si="8"/>
        <v>毗邻道路的类型与等级</v>
      </c>
      <c r="R28" s="705" t="s">
        <v>14</v>
      </c>
      <c r="S28" s="706">
        <f t="shared" si="10"/>
        <v>100</v>
      </c>
      <c r="T28" s="705" t="s">
        <v>14</v>
      </c>
      <c r="U28" s="706">
        <f t="shared" si="11"/>
        <v>100</v>
      </c>
      <c r="V28" s="705" t="s">
        <v>14</v>
      </c>
      <c r="W28" s="706">
        <f t="shared" si="12"/>
        <v>100</v>
      </c>
      <c r="X28" s="1355"/>
      <c r="Y28" s="3756"/>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9"/>
      <c r="M29" s="2713"/>
      <c r="N29" s="2713"/>
      <c r="O29" s="2771"/>
      <c r="P29" s="3756"/>
      <c r="Q29" s="1352"/>
      <c r="R29" s="705"/>
      <c r="S29" s="706"/>
      <c r="T29" s="705"/>
      <c r="U29" s="706"/>
      <c r="V29" s="705"/>
      <c r="W29" s="706"/>
      <c r="X29" s="1355"/>
      <c r="Y29" s="375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56"/>
      <c r="Q30" s="1352" t="str">
        <f t="shared" si="8"/>
        <v>土地级别</v>
      </c>
      <c r="R30" s="705" t="s">
        <v>14</v>
      </c>
      <c r="S30" s="706">
        <f t="shared" si="10"/>
        <v>100</v>
      </c>
      <c r="T30" s="705" t="s">
        <v>14</v>
      </c>
      <c r="U30" s="706">
        <f t="shared" si="11"/>
        <v>100</v>
      </c>
      <c r="V30" s="705" t="s">
        <v>14</v>
      </c>
      <c r="W30" s="706">
        <f t="shared" si="12"/>
        <v>100</v>
      </c>
      <c r="X30" s="1355"/>
      <c r="Y30" s="3756"/>
      <c r="Z30" s="1356" t="str">
        <f t="shared" si="13"/>
        <v>土地级别</v>
      </c>
      <c r="AA30" s="1353">
        <f t="shared" si="3"/>
        <v>1</v>
      </c>
      <c r="AB30" s="1353">
        <f t="shared" si="4"/>
        <v>1</v>
      </c>
      <c r="AC30" s="1353">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56"/>
      <c r="Q31" s="1352">
        <f t="shared" si="8"/>
        <v>111</v>
      </c>
      <c r="R31" s="705" t="s">
        <v>14</v>
      </c>
      <c r="S31" s="706">
        <f t="shared" si="10"/>
        <v>100</v>
      </c>
      <c r="T31" s="705" t="s">
        <v>14</v>
      </c>
      <c r="U31" s="706">
        <f t="shared" si="11"/>
        <v>100</v>
      </c>
      <c r="V31" s="705" t="s">
        <v>14</v>
      </c>
      <c r="W31" s="706">
        <f t="shared" si="12"/>
        <v>100</v>
      </c>
      <c r="X31" s="1355"/>
      <c r="Y31" s="3756"/>
      <c r="Z31" s="1356">
        <f t="shared" si="13"/>
        <v>111</v>
      </c>
      <c r="AA31" s="1353">
        <f t="shared" si="3"/>
        <v>1</v>
      </c>
      <c r="AB31" s="1353">
        <f t="shared" si="4"/>
        <v>1</v>
      </c>
      <c r="AC31" s="1353">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79" t="s">
        <v>1696</v>
      </c>
      <c r="Q32" s="1352">
        <f t="shared" si="8"/>
        <v>111</v>
      </c>
      <c r="R32" s="705" t="s">
        <v>14</v>
      </c>
      <c r="S32" s="706">
        <f t="shared" si="10"/>
        <v>100</v>
      </c>
      <c r="T32" s="705" t="s">
        <v>14</v>
      </c>
      <c r="U32" s="706">
        <f t="shared" si="11"/>
        <v>100</v>
      </c>
      <c r="V32" s="705" t="s">
        <v>14</v>
      </c>
      <c r="W32" s="706">
        <f t="shared" si="12"/>
        <v>100</v>
      </c>
      <c r="X32" s="1355"/>
      <c r="Y32" s="3760" t="s">
        <v>1696</v>
      </c>
      <c r="Z32" s="1356">
        <f t="shared" si="13"/>
        <v>111</v>
      </c>
      <c r="AA32" s="1353">
        <f t="shared" si="3"/>
        <v>1</v>
      </c>
      <c r="AB32" s="1353">
        <f t="shared" si="4"/>
        <v>1</v>
      </c>
      <c r="AC32" s="1353">
        <f t="shared" si="5"/>
        <v>1</v>
      </c>
    </row>
    <row r="33" spans="1:31" s="422" customFormat="1" ht="15.6"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60"/>
      <c r="Q33" s="1352">
        <f t="shared" si="8"/>
        <v>111</v>
      </c>
      <c r="R33" s="708" t="s">
        <v>14</v>
      </c>
      <c r="S33" s="709">
        <f t="shared" si="10"/>
        <v>100</v>
      </c>
      <c r="T33" s="708" t="s">
        <v>14</v>
      </c>
      <c r="U33" s="709">
        <f t="shared" si="11"/>
        <v>100</v>
      </c>
      <c r="V33" s="708" t="s">
        <v>14</v>
      </c>
      <c r="W33" s="709">
        <f t="shared" si="12"/>
        <v>100</v>
      </c>
      <c r="X33" s="710"/>
      <c r="Y33" s="376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60"/>
      <c r="Q34" s="1352" t="str">
        <f>B34</f>
        <v>宗地面积</v>
      </c>
      <c r="R34" s="705" t="s">
        <v>14</v>
      </c>
      <c r="S34" s="706" t="e">
        <f t="shared" si="10"/>
        <v>#N/A</v>
      </c>
      <c r="T34" s="705" t="s">
        <v>14</v>
      </c>
      <c r="U34" s="706" t="e">
        <f t="shared" si="11"/>
        <v>#N/A</v>
      </c>
      <c r="V34" s="705" t="s">
        <v>14</v>
      </c>
      <c r="W34" s="706" t="e">
        <f t="shared" si="12"/>
        <v>#N/A</v>
      </c>
      <c r="X34" s="1355"/>
      <c r="Y34" s="3760"/>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60"/>
      <c r="Q35" s="1352" t="str">
        <f t="shared" ref="Q35:Q40" si="14">B35</f>
        <v>宗地形状</v>
      </c>
      <c r="R35" s="705" t="s">
        <v>14</v>
      </c>
      <c r="S35" s="706">
        <f t="shared" si="10"/>
        <v>100</v>
      </c>
      <c r="T35" s="705" t="s">
        <v>14</v>
      </c>
      <c r="U35" s="706">
        <f t="shared" si="11"/>
        <v>100</v>
      </c>
      <c r="V35" s="705" t="s">
        <v>14</v>
      </c>
      <c r="W35" s="706">
        <f t="shared" si="12"/>
        <v>100</v>
      </c>
      <c r="X35" s="1355"/>
      <c r="Y35" s="3760"/>
      <c r="Z35" s="1356" t="str">
        <f t="shared" si="13"/>
        <v>宗地形状</v>
      </c>
      <c r="AA35" s="1353">
        <f t="shared" si="3"/>
        <v>1</v>
      </c>
      <c r="AB35" s="1353">
        <f t="shared" si="4"/>
        <v>1</v>
      </c>
      <c r="AC35" s="1353">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760"/>
      <c r="Q36" s="1352" t="str">
        <f t="shared" si="14"/>
        <v>宗地开发程度</v>
      </c>
      <c r="R36" s="701" t="s">
        <v>14</v>
      </c>
      <c r="S36" s="702">
        <f t="shared" si="10"/>
        <v>100</v>
      </c>
      <c r="T36" s="701" t="s">
        <v>14</v>
      </c>
      <c r="U36" s="702">
        <f t="shared" si="11"/>
        <v>100</v>
      </c>
      <c r="V36" s="701" t="s">
        <v>14</v>
      </c>
      <c r="W36" s="702">
        <f t="shared" si="12"/>
        <v>100</v>
      </c>
      <c r="X36" s="703"/>
      <c r="Y36" s="376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60" t="s">
        <v>1696</v>
      </c>
      <c r="Q37" s="1352" t="str">
        <f t="shared" si="14"/>
        <v>工程地质条件</v>
      </c>
      <c r="R37" s="705" t="s">
        <v>14</v>
      </c>
      <c r="S37" s="706">
        <f t="shared" si="10"/>
        <v>100</v>
      </c>
      <c r="T37" s="705" t="s">
        <v>14</v>
      </c>
      <c r="U37" s="706">
        <f t="shared" si="11"/>
        <v>100</v>
      </c>
      <c r="V37" s="705" t="s">
        <v>14</v>
      </c>
      <c r="W37" s="706">
        <f t="shared" si="12"/>
        <v>100</v>
      </c>
      <c r="X37" s="1355"/>
      <c r="Y37" s="376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60"/>
      <c r="Q38" s="1352">
        <f t="shared" si="14"/>
        <v>111</v>
      </c>
      <c r="R38" s="705" t="s">
        <v>14</v>
      </c>
      <c r="S38" s="706">
        <f t="shared" si="10"/>
        <v>100</v>
      </c>
      <c r="T38" s="705" t="s">
        <v>14</v>
      </c>
      <c r="U38" s="706">
        <f t="shared" si="11"/>
        <v>100</v>
      </c>
      <c r="V38" s="705" t="s">
        <v>14</v>
      </c>
      <c r="W38" s="706">
        <f t="shared" si="12"/>
        <v>100</v>
      </c>
      <c r="X38" s="1355"/>
      <c r="Y38" s="376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60"/>
      <c r="Q39" s="1352">
        <f t="shared" si="14"/>
        <v>111</v>
      </c>
      <c r="R39" s="705" t="s">
        <v>14</v>
      </c>
      <c r="S39" s="706">
        <f t="shared" si="10"/>
        <v>100</v>
      </c>
      <c r="T39" s="705" t="s">
        <v>14</v>
      </c>
      <c r="U39" s="706">
        <f t="shared" si="11"/>
        <v>100</v>
      </c>
      <c r="V39" s="705" t="s">
        <v>14</v>
      </c>
      <c r="W39" s="706">
        <f t="shared" si="12"/>
        <v>100</v>
      </c>
      <c r="X39" s="1355"/>
      <c r="Y39" s="3760"/>
      <c r="Z39" s="1356">
        <f t="shared" si="13"/>
        <v>111</v>
      </c>
      <c r="AA39" s="1353">
        <f t="shared" si="3"/>
        <v>1</v>
      </c>
      <c r="AB39" s="1353">
        <f t="shared" si="4"/>
        <v>1</v>
      </c>
      <c r="AC39" s="1353">
        <f t="shared" si="5"/>
        <v>1</v>
      </c>
    </row>
    <row r="40" spans="1:31" s="422" customFormat="1" ht="15.6"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60"/>
      <c r="Q40" s="1352">
        <f t="shared" si="14"/>
        <v>111</v>
      </c>
      <c r="R40" s="708" t="s">
        <v>14</v>
      </c>
      <c r="S40" s="709">
        <f t="shared" si="10"/>
        <v>100</v>
      </c>
      <c r="T40" s="708" t="s">
        <v>14</v>
      </c>
      <c r="U40" s="709">
        <f t="shared" si="11"/>
        <v>100</v>
      </c>
      <c r="V40" s="708" t="s">
        <v>14</v>
      </c>
      <c r="W40" s="709">
        <f t="shared" si="12"/>
        <v>100</v>
      </c>
      <c r="X40" s="710"/>
      <c r="Y40" s="3760"/>
      <c r="Z40" s="711">
        <f t="shared" si="13"/>
        <v>111</v>
      </c>
      <c r="AA40" s="1353">
        <f t="shared" si="3"/>
        <v>1</v>
      </c>
      <c r="AB40" s="1353">
        <f t="shared" si="4"/>
        <v>1</v>
      </c>
      <c r="AC40" s="1353">
        <f t="shared" si="5"/>
        <v>1</v>
      </c>
    </row>
    <row r="41" spans="1:31" ht="14.4">
      <c r="A41" s="430" t="s">
        <v>1844</v>
      </c>
      <c r="B41" s="1979" t="s">
        <v>1922</v>
      </c>
      <c r="C41" s="630" t="s">
        <v>0</v>
      </c>
      <c r="D41" s="432"/>
      <c r="E41" s="433"/>
      <c r="F41" s="434"/>
      <c r="G41" s="435"/>
      <c r="H41" s="436"/>
      <c r="I41" s="433"/>
      <c r="J41" s="436"/>
      <c r="K41" s="714"/>
      <c r="L41" s="2721"/>
      <c r="M41" s="2713"/>
      <c r="N41" s="2713"/>
      <c r="O41" s="2722"/>
      <c r="P41" s="3753" t="str">
        <f>A41</f>
        <v>成交单价</v>
      </c>
      <c r="Q41" s="3753"/>
      <c r="R41" s="3748">
        <f>E41</f>
        <v>0</v>
      </c>
      <c r="S41" s="3748"/>
      <c r="T41" s="3748">
        <f>G41</f>
        <v>0</v>
      </c>
      <c r="U41" s="3748"/>
      <c r="V41" s="3748">
        <f>I41</f>
        <v>0</v>
      </c>
      <c r="W41" s="3748"/>
      <c r="X41" s="690"/>
      <c r="Y41" s="712"/>
      <c r="Z41" s="690"/>
      <c r="AA41" s="690"/>
      <c r="AB41" s="690"/>
      <c r="AC41" s="690"/>
    </row>
    <row r="42" spans="1:31" ht="15" thickBot="1">
      <c r="A42" s="437" t="s">
        <v>1793</v>
      </c>
      <c r="B42" s="631"/>
      <c r="C42" s="440" t="e">
        <f>R43</f>
        <v>#DIV/0!</v>
      </c>
      <c r="D42" s="2314" t="s">
        <v>2138</v>
      </c>
      <c r="E42" s="440" t="e">
        <f>R42</f>
        <v>#DIV/0!</v>
      </c>
      <c r="F42" s="2315"/>
      <c r="G42" s="439" t="e">
        <f>T42</f>
        <v>#DIV/0!</v>
      </c>
      <c r="H42" s="2315"/>
      <c r="I42" s="440" t="e">
        <f>V42</f>
        <v>#DIV/0!</v>
      </c>
      <c r="J42" s="2315"/>
      <c r="K42" s="2317">
        <f>F42+H42+J42</f>
        <v>0</v>
      </c>
      <c r="L42" s="2721"/>
      <c r="M42" s="2713"/>
      <c r="N42" s="2713"/>
      <c r="O42" s="2722"/>
      <c r="P42" s="3753" t="str">
        <f>A42</f>
        <v>比较价值（元/平方米）</v>
      </c>
      <c r="Q42" s="3753"/>
      <c r="R42" s="3781" t="e">
        <f>ROUND(PRODUCT(R41,AA7:AA40),0)</f>
        <v>#DIV/0!</v>
      </c>
      <c r="S42" s="3781"/>
      <c r="T42" s="3781" t="e">
        <f>ROUND(PRODUCT(T41,AB7:AB40),0)</f>
        <v>#DIV/0!</v>
      </c>
      <c r="U42" s="3781"/>
      <c r="V42" s="3781" t="e">
        <f>ROUND(PRODUCT(V41,AC7:AC40),0)</f>
        <v>#DIV/0!</v>
      </c>
      <c r="W42" s="378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1"/>
      <c r="M43" s="2713"/>
      <c r="N43" s="2713"/>
      <c r="O43" s="2722"/>
      <c r="P43" s="3750" t="str">
        <f>A43</f>
        <v>估价对象XX用房的比较价值（楼面单价，元/平方米）</v>
      </c>
      <c r="Q43" s="3751"/>
      <c r="R43" s="3782" t="e">
        <f>ROUND(IF(D42="简单平均",AVERAGE(R42:W42),R42*F42+T42*H42+V42*J42),0)</f>
        <v>#DIV/0!</v>
      </c>
      <c r="S43" s="3782"/>
      <c r="T43" s="3782"/>
      <c r="U43" s="3782"/>
      <c r="V43" s="3782"/>
      <c r="W43" s="3782"/>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4.4"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2" t="s">
        <v>1881</v>
      </c>
      <c r="B50" s="633" t="s">
        <v>1882</v>
      </c>
      <c r="C50" s="1980" t="s">
        <v>1883</v>
      </c>
      <c r="D50" s="1981" t="s">
        <v>1884</v>
      </c>
      <c r="E50" s="634" t="s">
        <v>1885</v>
      </c>
      <c r="F50" s="635" t="s">
        <v>1886</v>
      </c>
      <c r="G50" s="3736" t="s">
        <v>1887</v>
      </c>
      <c r="H50" s="3783"/>
      <c r="I50" s="1356" t="s">
        <v>1923</v>
      </c>
      <c r="J50" s="1356">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64.67</v>
      </c>
      <c r="F51" s="639" t="e">
        <f t="shared" ref="F51:F60" si="15">ROUND(B51*E51/10000,0)</f>
        <v>#DIV/0!</v>
      </c>
      <c r="G51" s="3735"/>
      <c r="H51" s="3753"/>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4.4"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2"/>
      <c r="Q63" s="2722"/>
      <c r="R63" s="2722"/>
      <c r="S63" s="2722"/>
      <c r="T63" s="2722"/>
      <c r="U63" s="2722"/>
      <c r="V63" s="2722"/>
      <c r="W63" s="2722"/>
      <c r="X63" s="2722"/>
      <c r="Y63" s="2722"/>
      <c r="Z63" s="2722"/>
      <c r="AA63" s="2722"/>
      <c r="AB63" s="2722"/>
      <c r="AC63" s="2722"/>
      <c r="AD63" s="2722"/>
      <c r="AE63" s="2722"/>
    </row>
    <row r="64" spans="1:31" ht="22.2"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4.4">
      <c r="A65" s="1986"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4.4">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ht="14.4">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4.4"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4.4"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4.4"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4.4"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4.4"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4.4"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ht="14.4">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4.4"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4.4"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4.4"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4.4"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54" sqref="F54"/>
      <selection pane="bottomLeft" activeCell="F54" sqref="F54"/>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1" t="s">
        <v>2084</v>
      </c>
      <c r="D1" s="3792"/>
      <c r="E1" s="3792"/>
      <c r="F1" s="3792"/>
      <c r="G1" s="3792"/>
      <c r="H1" s="3792"/>
      <c r="I1" s="3792"/>
      <c r="J1" s="3792"/>
      <c r="K1" s="3792"/>
      <c r="L1" s="3792"/>
      <c r="M1" s="3792"/>
      <c r="N1" s="3792"/>
      <c r="O1" s="3792"/>
      <c r="P1" s="3792"/>
      <c r="Q1" s="3792"/>
      <c r="R1" s="3792"/>
      <c r="S1" s="379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48"/>
      <c r="E20" s="1341"/>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8" t="s">
        <v>27</v>
      </c>
      <c r="D22" s="3789"/>
      <c r="E22" s="3789"/>
      <c r="F22" s="3789"/>
      <c r="G22" s="3789"/>
      <c r="H22" s="3789"/>
      <c r="I22" s="3789"/>
      <c r="J22" s="3789"/>
      <c r="K22" s="3789"/>
      <c r="L22" s="3789"/>
      <c r="M22" s="3789"/>
      <c r="N22" s="3789"/>
      <c r="O22" s="3789"/>
      <c r="P22" s="3789"/>
      <c r="Q22" s="379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1"/>
      <c r="C2" s="3511"/>
      <c r="D2" s="3511"/>
      <c r="E2" s="3511"/>
    </row>
    <row r="3" spans="1:5" ht="17.399999999999999">
      <c r="A3" s="3512" t="str">
        <f>IF(项目基本情况!B9="房地产市场价值","估价结果一览表（市场价值不需“结果表-1”）","估价结果一览表")</f>
        <v>估价结果一览表（市场价值不需“结果表-1”）</v>
      </c>
      <c r="B3" s="3512"/>
      <c r="C3" s="3512"/>
      <c r="D3" s="3512"/>
      <c r="E3" s="3512"/>
    </row>
    <row r="4" spans="1:5" ht="18" thickBot="1">
      <c r="A4" s="1493"/>
      <c r="B4" s="3510" t="s">
        <v>917</v>
      </c>
      <c r="C4" s="3510"/>
      <c r="D4" s="3510"/>
      <c r="E4" s="1493"/>
    </row>
    <row r="5" spans="1:5" ht="16.2" thickTop="1">
      <c r="A5" s="1491"/>
      <c r="B5" s="3508" t="s">
        <v>909</v>
      </c>
      <c r="C5" s="1494" t="s">
        <v>910</v>
      </c>
      <c r="D5" s="850" t="e">
        <f ca="1">结果表!H101</f>
        <v>#REF!</v>
      </c>
      <c r="E5" s="1491"/>
    </row>
    <row r="6" spans="1:5" ht="15.6">
      <c r="A6" s="1491"/>
      <c r="B6" s="3508"/>
      <c r="C6" s="1494" t="s">
        <v>911</v>
      </c>
      <c r="D6" s="850" t="e">
        <f ca="1">NUMBERSTRING(INT(D5*10000),2)&amp;"元整"</f>
        <v>#REF!</v>
      </c>
      <c r="E6" s="1491"/>
    </row>
    <row r="7" spans="1:5" ht="15.6">
      <c r="A7" s="1491"/>
      <c r="B7" s="3513"/>
      <c r="C7" s="1495" t="s">
        <v>912</v>
      </c>
      <c r="D7" s="851" t="e">
        <f ca="1">结果表!H102</f>
        <v>#REF!</v>
      </c>
      <c r="E7" s="1491"/>
    </row>
    <row r="8" spans="1:5" ht="15.6">
      <c r="A8" s="1491"/>
      <c r="B8" s="3514" t="str">
        <f>结果表!E103</f>
        <v>2.估价师知悉的法定优先受偿款</v>
      </c>
      <c r="C8" s="1496" t="s">
        <v>913</v>
      </c>
      <c r="D8" s="851">
        <f>结果表!H103</f>
        <v>0</v>
      </c>
      <c r="E8" s="1491"/>
    </row>
    <row r="9" spans="1:5" ht="15.6">
      <c r="A9" s="1491"/>
      <c r="B9" s="351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07" t="str">
        <f>结果表!E107</f>
        <v>3.房地产抵押价值</v>
      </c>
      <c r="C13" s="1499" t="s">
        <v>910</v>
      </c>
      <c r="D13" s="853" t="e">
        <f ca="1">结果表!H107</f>
        <v>#REF!</v>
      </c>
      <c r="E13" s="1491"/>
    </row>
    <row r="14" spans="1:5" ht="15.6">
      <c r="A14" s="1491"/>
      <c r="B14" s="3508"/>
      <c r="C14" s="1494" t="s">
        <v>911</v>
      </c>
      <c r="D14" s="850" t="e">
        <f ca="1">NUMBERSTRING(INT(D13*10000),2)&amp;"元整"</f>
        <v>#REF!</v>
      </c>
      <c r="E14" s="1491"/>
    </row>
    <row r="15" spans="1:5" ht="15.6">
      <c r="A15" s="1491"/>
      <c r="B15" s="3513"/>
      <c r="C15" s="1495" t="s">
        <v>921</v>
      </c>
      <c r="D15" s="859" t="e">
        <f ca="1">结果表!H108</f>
        <v>#REF!</v>
      </c>
      <c r="E15" s="1491"/>
    </row>
    <row r="16" spans="1:5" ht="15.6">
      <c r="A16" s="1491"/>
      <c r="B16" s="3514" t="str">
        <f>结果表!E109</f>
        <v>——</v>
      </c>
      <c r="C16" s="1499" t="s">
        <v>922</v>
      </c>
      <c r="D16" s="1500" t="str">
        <f>结果表!H109</f>
        <v>——</v>
      </c>
      <c r="E16" s="1491"/>
    </row>
    <row r="17" spans="1:5" ht="15.6">
      <c r="A17" s="1491"/>
      <c r="B17" s="3515"/>
      <c r="C17" s="1494" t="s">
        <v>923</v>
      </c>
      <c r="D17" s="850" t="e">
        <f>NUMBERSTRING(INT(D16*10000),2)&amp;"元整"</f>
        <v>#VALUE!</v>
      </c>
      <c r="E17" s="1491"/>
    </row>
    <row r="18" spans="1:5" ht="15.6">
      <c r="A18" s="1491"/>
      <c r="B18" s="3516"/>
      <c r="C18" s="1495" t="s">
        <v>912</v>
      </c>
      <c r="D18" s="859" t="str">
        <f>结果表!H110</f>
        <v>——</v>
      </c>
      <c r="E18" s="1491"/>
    </row>
    <row r="19" spans="1:5" ht="15.6">
      <c r="A19" s="1491"/>
      <c r="B19" s="3507" t="str">
        <f>结果表!E111</f>
        <v>——</v>
      </c>
      <c r="C19" s="1499" t="s">
        <v>910</v>
      </c>
      <c r="D19" s="851" t="str">
        <f>结果表!H111</f>
        <v>——</v>
      </c>
      <c r="E19" s="1491"/>
    </row>
    <row r="20" spans="1:5" ht="15.6">
      <c r="A20" s="1491"/>
      <c r="B20" s="3508"/>
      <c r="C20" s="1494" t="s">
        <v>923</v>
      </c>
      <c r="D20" s="850" t="e">
        <f>NUMBERSTRING(INT(D19*10000),2)&amp;"元整"</f>
        <v>#VALUE!</v>
      </c>
      <c r="E20" s="1491"/>
    </row>
    <row r="21" spans="1:5" ht="16.2" thickBot="1">
      <c r="A21" s="1491"/>
      <c r="B21" s="350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4" sqref="F54"/>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4"/>
      <c r="C1" s="2144"/>
      <c r="D1" s="2144"/>
      <c r="E1" s="2144"/>
      <c r="F1" s="2790"/>
      <c r="G1" s="2790"/>
      <c r="H1" s="2790"/>
      <c r="I1" s="2790"/>
      <c r="J1" s="2790"/>
      <c r="K1" s="2790"/>
      <c r="L1" s="2790"/>
      <c r="M1" s="2790"/>
      <c r="N1" s="2790"/>
      <c r="O1" s="2790"/>
      <c r="P1" s="2790"/>
    </row>
    <row r="2" spans="1:16" ht="15.6">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5.6">
      <c r="A3" s="2142" t="s">
        <v>2076</v>
      </c>
      <c r="B3" s="2599" t="e">
        <f ca="1">ROUND(B2*10000/E2,0)</f>
        <v>#DIV/0!</v>
      </c>
      <c r="C3" s="2142" t="s">
        <v>2082</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2077</v>
      </c>
      <c r="B5" s="2607" t="s">
        <v>2078</v>
      </c>
      <c r="C5" s="2143"/>
      <c r="D5" s="2790"/>
      <c r="E5" s="2608" t="s">
        <v>2079</v>
      </c>
      <c r="F5" s="2790"/>
      <c r="G5" s="2790"/>
      <c r="H5" s="2790"/>
      <c r="I5" s="2790"/>
      <c r="J5" s="2790"/>
      <c r="K5" s="2790"/>
      <c r="L5" s="2790"/>
      <c r="M5" s="2790"/>
      <c r="N5" s="2790"/>
      <c r="O5" s="2790"/>
      <c r="P5" s="2790"/>
    </row>
    <row r="6" spans="1:16" ht="15.6">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5.6">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6">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54" sqref="F54"/>
    </sheetView>
  </sheetViews>
  <sheetFormatPr defaultColWidth="12" defaultRowHeight="13.2"/>
  <cols>
    <col min="1" max="1" width="9.77734375" style="2050" customWidth="1"/>
    <col min="2" max="2" width="22.44140625" style="2141" customWidth="1"/>
    <col min="3" max="3" width="12" style="1995"/>
    <col min="4" max="4" width="14.88671875" style="1995" customWidth="1"/>
    <col min="5" max="5" width="14.6640625" style="1995" customWidth="1"/>
    <col min="6" max="8" width="12" style="1995"/>
    <col min="9" max="9" width="12.21875" style="1995" bestFit="1" customWidth="1"/>
    <col min="10" max="10" width="12" style="1995"/>
    <col min="11" max="11" width="8.109375" style="2046" customWidth="1"/>
    <col min="12" max="12" width="19.44140625" style="1995" customWidth="1"/>
    <col min="13" max="13" width="8.44140625" style="1995" customWidth="1"/>
    <col min="14" max="14" width="9.77734375" style="1995" customWidth="1"/>
    <col min="15" max="25" width="12" style="1995"/>
    <col min="26" max="26" width="9.33203125" style="2050" customWidth="1"/>
    <col min="27" max="32" width="9.33203125" style="1121" customWidth="1"/>
    <col min="33" max="36" width="9.33203125" style="2050" customWidth="1"/>
    <col min="37" max="38" width="9.33203125" style="1995" customWidth="1"/>
    <col min="39" max="16384" width="12" style="1995"/>
  </cols>
  <sheetData>
    <row r="1" spans="1:36" ht="31.2">
      <c r="A1" s="196" t="s">
        <v>1926</v>
      </c>
      <c r="B1" s="197"/>
      <c r="C1" s="201" t="s">
        <v>1927</v>
      </c>
      <c r="D1" s="342">
        <f>SUM(D33:D34,D37:D42)</f>
        <v>0</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6" t="s">
        <v>1935</v>
      </c>
      <c r="D2" s="1997" t="s">
        <v>1936</v>
      </c>
      <c r="E2" s="3419"/>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9"/>
      <c r="L2" s="2000"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6" t="s">
        <v>1941</v>
      </c>
      <c r="D3" s="1997" t="s">
        <v>1942</v>
      </c>
      <c r="E3" s="3417"/>
      <c r="F3" s="2001"/>
      <c r="G3" s="752">
        <f>IF(F3="宗地容积率",'数据-汇总表'!I4,IF(F3="估价对象容积率",'数据-汇总表'!I6,'数据-汇总表'!I7))</f>
        <v>2.5</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6">
      <c r="A4" s="3801"/>
      <c r="B4" s="3802"/>
      <c r="C4" s="3802"/>
      <c r="D4" s="3803"/>
      <c r="E4" s="3803"/>
      <c r="F4" s="3803"/>
      <c r="G4" s="3803"/>
      <c r="H4" s="3803"/>
      <c r="I4" s="3803"/>
      <c r="J4" s="3804"/>
      <c r="K4" s="1119"/>
      <c r="L4" s="2000"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1" customFormat="1" ht="15.6" thickBot="1">
      <c r="A5" s="2002" t="s">
        <v>362</v>
      </c>
      <c r="B5" s="2003" t="s">
        <v>1947</v>
      </c>
      <c r="C5" s="753" t="e">
        <f>ROUND(IF(E2="商业",C6*C7*C17+C20,(IF(E2="住宅",C6*C13*C17+C20,IF(E2="办公",C6*C12*C17+C20,C6+C20)))),0)</f>
        <v>#DIV/0!</v>
      </c>
      <c r="D5" s="1339" t="e">
        <f>ROUND(C6*C17+C20,0)</f>
        <v>#DIV/0!</v>
      </c>
      <c r="E5" s="1339"/>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8"/>
      <c r="AD5" s="2009"/>
      <c r="AE5" s="2009"/>
      <c r="AF5" s="2009"/>
      <c r="AG5" s="2009"/>
      <c r="AH5" s="2009"/>
      <c r="AI5" s="2009"/>
      <c r="AJ5" s="2010"/>
    </row>
    <row r="6" spans="1:36" ht="15.6" thickBot="1">
      <c r="A6" s="2012" t="s">
        <v>1949</v>
      </c>
      <c r="B6" s="2013" t="s">
        <v>1950</v>
      </c>
      <c r="C6" s="754">
        <f>SUMIF(L1:L12,G2,M1:M12)</f>
        <v>0</v>
      </c>
      <c r="D6" s="2014"/>
      <c r="E6" s="2015"/>
      <c r="F6" s="2015"/>
      <c r="G6" s="2016"/>
      <c r="H6" s="2016"/>
      <c r="I6" s="2016"/>
      <c r="J6" s="2017"/>
      <c r="K6" s="1384"/>
      <c r="L6" s="2000"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8"/>
      <c r="AD6" s="2009"/>
      <c r="AE6" s="2009"/>
      <c r="AF6" s="2009"/>
      <c r="AG6" s="2009"/>
      <c r="AH6" s="2009"/>
      <c r="AI6" s="2009"/>
      <c r="AJ6" s="2010"/>
    </row>
    <row r="7" spans="1:36" ht="24.6" thickBot="1">
      <c r="A7" s="3301" t="s">
        <v>3236</v>
      </c>
      <c r="B7" s="2018" t="s">
        <v>1952</v>
      </c>
      <c r="C7" s="755" t="e">
        <f>IF(C8="不临65条商业街",1,ROUND(1+(1.6*E8+1.2*E9+0.8*E10+0.4*E11)*C9,4))</f>
        <v>#DIV/0!</v>
      </c>
      <c r="D7" s="2019" t="s">
        <v>1953</v>
      </c>
      <c r="E7" s="776"/>
      <c r="F7" s="2020"/>
      <c r="G7" s="2021"/>
      <c r="H7" s="2021"/>
      <c r="I7" s="2021"/>
      <c r="J7" s="2022"/>
      <c r="K7" s="1384"/>
      <c r="L7" s="2000"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1955</v>
      </c>
      <c r="X7" s="1214">
        <f>G2</f>
        <v>0</v>
      </c>
      <c r="Y7" s="1214" t="s">
        <v>1956</v>
      </c>
      <c r="Z7" s="1215">
        <f>G3</f>
        <v>2.5</v>
      </c>
      <c r="AA7" s="1216"/>
      <c r="AB7" s="1216"/>
      <c r="AC7" s="1217"/>
      <c r="AD7" s="1218"/>
      <c r="AE7" s="1218"/>
      <c r="AF7" s="1218"/>
      <c r="AG7" s="1218"/>
      <c r="AH7" s="1218"/>
      <c r="AI7" s="1218"/>
      <c r="AJ7" s="1219"/>
    </row>
    <row r="8" spans="1:36" ht="15">
      <c r="A8" s="3296"/>
      <c r="B8" s="170" t="s">
        <v>1957</v>
      </c>
      <c r="C8" s="2023"/>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798" t="s">
        <v>1960</v>
      </c>
      <c r="X8" s="379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800"/>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800"/>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0"/>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8" thickBot="1">
      <c r="A12" s="3301" t="s">
        <v>3237</v>
      </c>
      <c r="B12" s="3302" t="s">
        <v>3238</v>
      </c>
      <c r="C12" s="3303"/>
      <c r="D12" s="3304" t="s">
        <v>3239</v>
      </c>
      <c r="E12" s="3305" t="s">
        <v>3240</v>
      </c>
      <c r="F12" s="3306"/>
      <c r="G12" s="3307"/>
      <c r="H12" s="3307"/>
      <c r="I12" s="3307"/>
      <c r="J12" s="3308"/>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24.6" thickBot="1">
      <c r="A13" s="3301" t="s">
        <v>3241</v>
      </c>
      <c r="B13" s="2031" t="s">
        <v>1982</v>
      </c>
      <c r="C13" s="755">
        <f>ROUND(C16*D16*E16*F16*G16*H16*I16*J16,4)</f>
        <v>0</v>
      </c>
      <c r="D13" s="2032" t="s">
        <v>1983</v>
      </c>
      <c r="E13" s="2033"/>
      <c r="F13" s="2033"/>
      <c r="G13" s="2034"/>
      <c r="H13" s="2034"/>
      <c r="I13" s="2034"/>
      <c r="J13" s="2035"/>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24">
      <c r="A14" s="3295"/>
      <c r="B14" s="2037" t="s">
        <v>1985</v>
      </c>
      <c r="C14" s="2038" t="s">
        <v>1986</v>
      </c>
      <c r="D14" s="1350" t="s">
        <v>1987</v>
      </c>
      <c r="E14" s="27" t="s">
        <v>1988</v>
      </c>
      <c r="F14" s="3309" t="s">
        <v>3242</v>
      </c>
      <c r="G14" s="3309" t="s">
        <v>3242</v>
      </c>
      <c r="H14" s="3309" t="s">
        <v>3242</v>
      </c>
      <c r="I14" s="3309" t="s">
        <v>3242</v>
      </c>
      <c r="J14" s="3309" t="s">
        <v>3242</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39"/>
      <c r="C15" s="2040"/>
      <c r="D15" s="2041"/>
      <c r="E15" s="2042"/>
      <c r="F15" s="3310" t="s">
        <v>3243</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6" thickBot="1">
      <c r="A16" s="3295"/>
      <c r="B16" s="3317" t="s">
        <v>1989</v>
      </c>
      <c r="C16" s="3315"/>
      <c r="D16" s="3315"/>
      <c r="E16" s="3315"/>
      <c r="F16" s="3315">
        <v>1</v>
      </c>
      <c r="G16" s="3315">
        <v>1</v>
      </c>
      <c r="H16" s="3315">
        <v>1</v>
      </c>
      <c r="I16" s="3315">
        <v>1</v>
      </c>
      <c r="J16" s="3316">
        <v>1</v>
      </c>
      <c r="K16" s="1119"/>
      <c r="L16" s="1994"/>
      <c r="M16" s="1994"/>
      <c r="N16" s="1994"/>
      <c r="O16" s="1994"/>
      <c r="P16" s="1994"/>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ht="24">
      <c r="A17" s="3327" t="s">
        <v>3244</v>
      </c>
      <c r="B17" s="3318" t="s">
        <v>3245</v>
      </c>
      <c r="C17" s="3328">
        <f>ROUND(IF(OR(E2="工业",E2="公共服务"),1,IF(AND(E18=0,E19=0),1,IF(AND(E18=J24,E19=G19),0.8,IF(E19=0,1+E17*(-0.2),1+E17*G17*(-0.2))))),4)</f>
        <v>1</v>
      </c>
      <c r="D17" s="3319" t="s">
        <v>3246</v>
      </c>
      <c r="E17" s="3328" t="e">
        <f>ROUND(G18/I18,2)</f>
        <v>#DIV/0!</v>
      </c>
      <c r="F17" s="3319" t="s">
        <v>3249</v>
      </c>
      <c r="G17" s="3328" t="e">
        <f>ROUND(E19/G19,2)</f>
        <v>#DIV/0!</v>
      </c>
      <c r="H17" s="3328"/>
      <c r="I17" s="3328"/>
      <c r="J17" s="3329"/>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3.8">
      <c r="A18" s="3330"/>
      <c r="B18" s="3007"/>
      <c r="C18" s="3325"/>
      <c r="D18" s="3320" t="s">
        <v>3247</v>
      </c>
      <c r="E18" s="3326"/>
      <c r="F18" s="3321" t="s">
        <v>3250</v>
      </c>
      <c r="G18" s="3325">
        <f>ROUND(1-(1/(POWER(1+G24,E18))),4)</f>
        <v>0</v>
      </c>
      <c r="H18" s="3321" t="s">
        <v>3252</v>
      </c>
      <c r="I18" s="3325">
        <f>ROUND(1-(1/(POWER(1+G24,J24))),4)</f>
        <v>0</v>
      </c>
      <c r="J18" s="3331"/>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5"/>
    </row>
    <row r="19" spans="1:37" s="2011" customFormat="1" ht="14.4" thickBot="1">
      <c r="A19" s="3332"/>
      <c r="B19" s="3333"/>
      <c r="C19" s="3334"/>
      <c r="D19" s="3334" t="s">
        <v>3248</v>
      </c>
      <c r="E19" s="3335"/>
      <c r="F19" s="3336" t="s">
        <v>3251</v>
      </c>
      <c r="G19" s="3335"/>
      <c r="H19" s="3334"/>
      <c r="I19" s="3334"/>
      <c r="J19" s="3337"/>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8"/>
      <c r="AH19" s="2138"/>
      <c r="AI19" s="2789"/>
      <c r="AJ19" s="2789"/>
      <c r="AK19" s="2054"/>
    </row>
    <row r="20" spans="1:37" s="2011" customFormat="1" ht="13.8">
      <c r="A20" s="3805" t="s">
        <v>3253</v>
      </c>
      <c r="B20" s="167" t="s">
        <v>1994</v>
      </c>
      <c r="C20" s="3322" t="e">
        <f>ROUND(IF(F21="与级别开发程度一致",0,(G21-E21)/C21),0)</f>
        <v>#DIV/0!</v>
      </c>
      <c r="D20" s="3338" t="s">
        <v>1998</v>
      </c>
      <c r="E20" s="3339"/>
      <c r="F20" s="3811" t="s">
        <v>1995</v>
      </c>
      <c r="G20" s="3812"/>
      <c r="H20" s="3323"/>
      <c r="I20" s="3323"/>
      <c r="J20" s="3324"/>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1" customFormat="1" ht="14.4" thickBot="1">
      <c r="A21" s="3806"/>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1" customFormat="1" ht="15" thickBot="1">
      <c r="A22" s="2155" t="s">
        <v>363</v>
      </c>
      <c r="B22" s="2156" t="s">
        <v>2000</v>
      </c>
      <c r="C22" s="2157">
        <f>SUMIF(修正!C20:C51,E3,修正!E20:E51)</f>
        <v>0</v>
      </c>
      <c r="D22" s="2158"/>
      <c r="E22" s="2159"/>
      <c r="F22" s="2159"/>
      <c r="G22" s="2159"/>
      <c r="H22" s="2159"/>
      <c r="I22" s="2159"/>
      <c r="J22" s="2160"/>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7" thickBot="1">
      <c r="A23" s="2047" t="s">
        <v>364</v>
      </c>
      <c r="B23" s="2048"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1" t="s">
        <v>2002</v>
      </c>
      <c r="E23" s="761">
        <v>44197</v>
      </c>
      <c r="F23" s="2051" t="s">
        <v>2003</v>
      </c>
      <c r="G23" s="762">
        <f>'数据-取费表'!B2</f>
        <v>45699</v>
      </c>
      <c r="H23" s="3340" t="s">
        <v>3255</v>
      </c>
      <c r="I23" s="3341" t="str">
        <f>IF(H23="季度增幅（自定义）",SUMIF(N25:N28,E2,O25:O28),"")</f>
        <v/>
      </c>
      <c r="J23" s="3443" t="s">
        <v>3254</v>
      </c>
      <c r="K23" s="1125"/>
      <c r="L23" s="2052" t="s">
        <v>2004</v>
      </c>
      <c r="M23" s="1328">
        <f>ROUND(SUMIF(地价!B2:G2,E2,地价!B16:G16),0)</f>
        <v>0</v>
      </c>
      <c r="N23" s="2053" t="s">
        <v>2005</v>
      </c>
      <c r="O23" s="763">
        <f>ROUNDDOWN(DATEDIF(E23,G23,"M")/3,0)</f>
        <v>16</v>
      </c>
      <c r="P23" s="1122"/>
      <c r="Q23" s="2785"/>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6" thickBot="1">
      <c r="A24" s="2055" t="s">
        <v>365</v>
      </c>
      <c r="B24" s="2056" t="s">
        <v>2006</v>
      </c>
      <c r="C24" s="764" t="e">
        <f>ROUND(POWER(1+G24,J24-I24)*(POWER(1+G24,I24)-1)/(POWER(1+G24,J24)-1),4)</f>
        <v>#DIV/0!</v>
      </c>
      <c r="D24" s="2057" t="s">
        <v>2007</v>
      </c>
      <c r="E24" s="1335">
        <f>存贷款利率!E27/100</f>
        <v>4.3499999999999997E-2</v>
      </c>
      <c r="F24" s="2057" t="s">
        <v>1999</v>
      </c>
      <c r="G24" s="768">
        <f>SUMIF(M30:Q30,E2,M33:Q33)</f>
        <v>0</v>
      </c>
      <c r="H24" s="2057" t="s">
        <v>2008</v>
      </c>
      <c r="I24" s="769" t="e">
        <f>SUMIF('数据-取费表'!C6:C15,E2,'数据-取费表'!F6:F15)/COUNTIF('数据-取费表'!C6:C15,E2)</f>
        <v>#DIV/0!</v>
      </c>
      <c r="J24" s="770">
        <f>IF(E2="住宅",70,IF(E2="商业",40,50))</f>
        <v>50</v>
      </c>
      <c r="K24" s="1125"/>
      <c r="L24" s="2058" t="s">
        <v>2009</v>
      </c>
      <c r="M24" s="1329">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4.4">
      <c r="A25" s="2062" t="s">
        <v>366</v>
      </c>
      <c r="B25" s="2063" t="s">
        <v>3334</v>
      </c>
      <c r="C25" s="771">
        <f>IF(B25="容积率修正",IF(G3&lt;10,D26,J26),C27)</f>
        <v>0</v>
      </c>
      <c r="D25" s="2064"/>
      <c r="E25" s="2064"/>
      <c r="F25" s="2064"/>
      <c r="G25" s="2064"/>
      <c r="H25" s="2064"/>
      <c r="I25" s="2064"/>
      <c r="J25" s="2065"/>
      <c r="K25" s="1125"/>
      <c r="L25" s="2785"/>
      <c r="M25" s="2785"/>
      <c r="N25" s="2066"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4">
      <c r="A26" s="1952" t="s">
        <v>2014</v>
      </c>
      <c r="B26" s="2067" t="s">
        <v>2015</v>
      </c>
      <c r="C26" s="3342" t="s">
        <v>3256</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3257</v>
      </c>
      <c r="J26" s="772" t="str">
        <f>IF(G3&gt;=10,D115,"——")</f>
        <v>——</v>
      </c>
      <c r="K26" s="1125"/>
      <c r="L26" s="2785"/>
      <c r="M26" s="2785"/>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 thickBot="1">
      <c r="A28" s="2055" t="s">
        <v>367</v>
      </c>
      <c r="B28" s="2048" t="s">
        <v>2020</v>
      </c>
      <c r="C28" s="760">
        <f>SUMIF(A47:A101,E2,B47:B101)</f>
        <v>0</v>
      </c>
      <c r="D28" s="2049"/>
      <c r="E28" s="2074"/>
      <c r="F28" s="2074"/>
      <c r="G28" s="2074"/>
      <c r="H28" s="2074"/>
      <c r="I28" s="2074"/>
      <c r="J28" s="2075"/>
      <c r="K28" s="1125"/>
      <c r="L28" s="2785"/>
      <c r="M28" s="2785"/>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 thickBot="1">
      <c r="A29" s="2055" t="s">
        <v>368</v>
      </c>
      <c r="B29" s="2077" t="s">
        <v>2022</v>
      </c>
      <c r="C29" s="765"/>
      <c r="D29" s="2021"/>
      <c r="E29" s="2021"/>
      <c r="F29" s="2078"/>
      <c r="G29" s="2021"/>
      <c r="H29" s="2021"/>
      <c r="I29" s="2021"/>
      <c r="J29" s="2022"/>
      <c r="K29" s="1119"/>
      <c r="L29" s="1994"/>
      <c r="M29" s="1994"/>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4.4">
      <c r="A30" s="2079"/>
      <c r="B30" s="2067" t="s">
        <v>2024</v>
      </c>
      <c r="C30" s="2318" t="e">
        <f>IF(B25="容积率修正",E33+SUM(E37:E42),SUM(V2:V16)+SUM(E37:E42))</f>
        <v>#DIV/0!</v>
      </c>
      <c r="D30" s="2080"/>
      <c r="E30" s="2043"/>
      <c r="F30" s="2081"/>
      <c r="G30" s="2043"/>
      <c r="H30" s="2043"/>
      <c r="I30" s="2043"/>
      <c r="J30" s="2082"/>
      <c r="K30" s="1119"/>
      <c r="L30" s="3348" t="s">
        <v>1936</v>
      </c>
      <c r="M30" s="3349" t="s">
        <v>1990</v>
      </c>
      <c r="N30" s="3349" t="s">
        <v>1991</v>
      </c>
      <c r="O30" s="3349" t="s">
        <v>1992</v>
      </c>
      <c r="P30" s="3349" t="s">
        <v>1993</v>
      </c>
      <c r="Q30" s="3352" t="s">
        <v>3261</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 thickBot="1">
      <c r="A31" s="2079"/>
      <c r="B31" s="2083" t="s">
        <v>2025</v>
      </c>
      <c r="C31" s="766" t="e">
        <f>E34+SUM(I37:I42)</f>
        <v>#DIV/0!</v>
      </c>
      <c r="D31" s="2084"/>
      <c r="E31" s="2085"/>
      <c r="F31" s="2086"/>
      <c r="G31" s="2085"/>
      <c r="H31" s="2085"/>
      <c r="I31" s="2085"/>
      <c r="J31" s="2087"/>
      <c r="K31" s="1119"/>
      <c r="L31" s="3350" t="s">
        <v>1996</v>
      </c>
      <c r="M31" s="1997">
        <v>0.25</v>
      </c>
      <c r="N31" s="1997">
        <v>0.2</v>
      </c>
      <c r="O31" s="1997">
        <v>0.15</v>
      </c>
      <c r="P31" s="1997">
        <v>0.1</v>
      </c>
      <c r="Q31" s="3345">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 thickBot="1">
      <c r="A32" s="2088"/>
      <c r="B32" s="2089" t="s">
        <v>2026</v>
      </c>
      <c r="C32" s="2090" t="s">
        <v>2027</v>
      </c>
      <c r="D32" s="2090" t="s">
        <v>2028</v>
      </c>
      <c r="E32" s="2091" t="s">
        <v>2029</v>
      </c>
      <c r="F32" s="2092"/>
      <c r="G32" s="2034"/>
      <c r="H32" s="2034"/>
      <c r="I32" s="2034"/>
      <c r="J32" s="2035"/>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3.8">
      <c r="A33" s="2093"/>
      <c r="B33" s="2094" t="s">
        <v>2030</v>
      </c>
      <c r="C33" s="175" t="e">
        <f>ROUND(C5*C22*C23*C24*C25*C28,0)</f>
        <v>#DIV/0!</v>
      </c>
      <c r="D33" s="2095"/>
      <c r="E33" s="773" t="e">
        <f>ROUND(C33*D33/10000,0)</f>
        <v>#DIV/0!</v>
      </c>
      <c r="F33" s="3343" t="s">
        <v>3259</v>
      </c>
      <c r="G33" s="2096"/>
      <c r="H33" s="2096"/>
      <c r="I33" s="2096"/>
      <c r="J33" s="2097"/>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8" thickBot="1">
      <c r="A34" s="2098"/>
      <c r="B34" s="2099" t="s">
        <v>2031</v>
      </c>
      <c r="C34" s="187" t="e">
        <f>ROUND(IF(E2="工业",C33*M42,IF(B25="楼层修正",SUM(V2:V16)*M41*10000/D34,C33*M41)),0)</f>
        <v>#DIV/0!</v>
      </c>
      <c r="D34" s="2100"/>
      <c r="E34" s="773" t="e">
        <f>ROUND(IF(B25="楼层修正",SUM(V2:V16)*M40,C34*D34/10000),0)</f>
        <v>#DIV/0!</v>
      </c>
      <c r="F34" s="2101" t="s">
        <v>2032</v>
      </c>
      <c r="G34" s="2102"/>
      <c r="H34" s="2102"/>
      <c r="I34" s="2102"/>
      <c r="J34" s="2103"/>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4" t="s">
        <v>3260</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36.6" thickBot="1">
      <c r="A36" s="2093"/>
      <c r="B36" s="2108"/>
      <c r="C36" s="450" t="s">
        <v>2027</v>
      </c>
      <c r="D36" s="447" t="s">
        <v>2028</v>
      </c>
      <c r="E36" s="447" t="s">
        <v>2029</v>
      </c>
      <c r="F36" s="342" t="s">
        <v>2035</v>
      </c>
      <c r="G36" s="2109" t="s">
        <v>2027</v>
      </c>
      <c r="H36" s="2109" t="s">
        <v>2028</v>
      </c>
      <c r="I36" s="2109" t="s">
        <v>2029</v>
      </c>
      <c r="J36" s="243"/>
      <c r="K36" s="3354" t="s">
        <v>3264</v>
      </c>
      <c r="L36" s="3444">
        <f ca="1">'数据-取费表'!B40</f>
        <v>4.7500000000000001E-2</v>
      </c>
      <c r="M36" s="3355">
        <f ca="1">ROUND($L$36*(1+M31),3)</f>
        <v>5.8999999999999997E-2</v>
      </c>
      <c r="N36" s="3355">
        <f ca="1">ROUND($L$36*(1+N31),3)</f>
        <v>5.7000000000000002E-2</v>
      </c>
      <c r="O36" s="3355">
        <f ca="1">ROUND($L$36*(1+O31),3)</f>
        <v>5.5E-2</v>
      </c>
      <c r="P36" s="3355">
        <f ca="1">ROUND($L$36*(1+P31),3)</f>
        <v>5.1999999999999998E-2</v>
      </c>
      <c r="Q36" s="3355">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6" thickBot="1">
      <c r="A37" s="3809"/>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3265</v>
      </c>
      <c r="L37" s="3354">
        <f ca="1">L36+K38</f>
        <v>5.2499999999999998E-2</v>
      </c>
      <c r="M37" s="3355">
        <f ca="1">ROUND($L$37*(1+M31),3)</f>
        <v>6.6000000000000003E-2</v>
      </c>
      <c r="N37" s="3355">
        <f t="shared" ref="N37:Q37" ca="1" si="3">ROUND($L$37*(1+N31),3)</f>
        <v>6.3E-2</v>
      </c>
      <c r="O37" s="3355">
        <f t="shared" ca="1" si="3"/>
        <v>0.06</v>
      </c>
      <c r="P37" s="3355">
        <f t="shared" ca="1" si="3"/>
        <v>5.8000000000000003E-2</v>
      </c>
      <c r="Q37" s="3355">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810"/>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8" thickBot="1">
      <c r="A39" s="3810"/>
      <c r="B39" s="2038" t="s">
        <v>3258</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3266</v>
      </c>
      <c r="M41" s="2115">
        <v>0.25</v>
      </c>
      <c r="Z41" s="1120"/>
      <c r="AA41" s="1120"/>
      <c r="AB41" s="1120"/>
      <c r="AC41" s="1120"/>
      <c r="AD41" s="1120"/>
      <c r="AE41" s="1120"/>
      <c r="AF41" s="1120"/>
      <c r="AG41" s="1120"/>
      <c r="AH41" s="1120"/>
      <c r="AI41" s="1120"/>
      <c r="AJ41" s="1120"/>
    </row>
    <row r="42" spans="1:37" s="1119" customFormat="1" ht="13.8" thickBot="1">
      <c r="A42" s="2098"/>
      <c r="B42" s="2116" t="s">
        <v>2041</v>
      </c>
      <c r="C42" s="187" t="e">
        <f>ROUND(D5*C22*C23*C44*C28*F42,0)</f>
        <v>#DIV/0!</v>
      </c>
      <c r="D42" s="2100"/>
      <c r="E42" s="187" t="e">
        <f t="shared" si="4"/>
        <v>#DIV/0!</v>
      </c>
      <c r="F42" s="767">
        <f>SUMIF(修正!A57:A68,G2,修正!G57:G68)</f>
        <v>0</v>
      </c>
      <c r="G42" s="187" t="e">
        <f>ROUND(IF(E2="工业",C42*$M$42,C42*$M$41),0)</f>
        <v>#DIV/0!</v>
      </c>
      <c r="H42" s="187">
        <f t="shared" si="5"/>
        <v>0</v>
      </c>
      <c r="I42" s="187" t="e">
        <f t="shared" si="6"/>
        <v>#DIV/0!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1" t="s">
        <v>2122</v>
      </c>
      <c r="C44" s="342" t="e">
        <f>ROUND(POWER(1+E44,H44-G44)*(POWER(1+E44,G44)-1)/(POWER(1+E44,H44)-1),4)</f>
        <v>#DIV/0!</v>
      </c>
      <c r="D44" s="171" t="s">
        <v>1999</v>
      </c>
      <c r="E44" s="2150">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 thickBot="1">
      <c r="A47" s="2121" t="s">
        <v>2042</v>
      </c>
      <c r="B47" s="2122"/>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3" t="s">
        <v>2043</v>
      </c>
      <c r="B48" s="2124">
        <f>1+E50</f>
        <v>1</v>
      </c>
      <c r="C48" s="2125"/>
      <c r="D48" s="741"/>
      <c r="E48" s="742"/>
      <c r="F48" s="2126"/>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7" t="s">
        <v>2044</v>
      </c>
      <c r="B49" s="1351" t="s">
        <v>2045</v>
      </c>
      <c r="C49" s="1351" t="s">
        <v>2046</v>
      </c>
      <c r="D49" s="1351" t="s">
        <v>2047</v>
      </c>
      <c r="E49" s="743" t="s">
        <v>2048</v>
      </c>
      <c r="F49" s="2128" t="s">
        <v>2049</v>
      </c>
      <c r="G49" s="1351" t="s">
        <v>310</v>
      </c>
      <c r="H49" s="2129"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7" t="s">
        <v>2052</v>
      </c>
      <c r="B50" s="2130" t="str">
        <f>估价对象房地状况!C4</f>
        <v>估价对象位于XX商圈，周边商业氛围成熟，人流量大，商业繁华度好</v>
      </c>
      <c r="C50" s="2041"/>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7" t="s">
        <v>2053</v>
      </c>
      <c r="B51" s="2131" t="str">
        <f>估价对象房地状况!C18</f>
        <v>估价对象周边道路状况、公共交通通达情况、停车便捷程度，综合评价交通便捷度较好</v>
      </c>
      <c r="C51" s="2041"/>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6" t="s">
        <v>3268</v>
      </c>
      <c r="B52" s="2131">
        <f>估价对象房地状况!C19</f>
        <v>0</v>
      </c>
      <c r="C52" s="2041"/>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7" t="s">
        <v>2054</v>
      </c>
      <c r="B53" s="2132" t="s">
        <v>2055</v>
      </c>
      <c r="C53" s="2041"/>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2056</v>
      </c>
      <c r="B54" s="2131">
        <f>估价对象房地状况!C24</f>
        <v>0</v>
      </c>
      <c r="C54" s="2041"/>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7" t="s">
        <v>2057</v>
      </c>
      <c r="B55" s="2133" t="s">
        <v>2058</v>
      </c>
      <c r="C55" s="2041"/>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4" t="s">
        <v>2059</v>
      </c>
      <c r="B56" s="1326" t="str">
        <f>估价对象房地状况!C21</f>
        <v>估价对象所在区域公共配套设施齐备情况</v>
      </c>
      <c r="C56" s="2041"/>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4" t="s">
        <v>2060</v>
      </c>
      <c r="B57" s="2131" t="str">
        <f>估价对象房地状况!C22</f>
        <v>估价对象所在区域基础设施水平</v>
      </c>
      <c r="C57" s="2041"/>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5" t="s">
        <v>2061</v>
      </c>
      <c r="B58" s="2136" t="str">
        <f>估价对象房地状况!C20</f>
        <v>区域自然环境：；人文环境；综合评价环境状况一般</v>
      </c>
      <c r="C58" s="2041"/>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7" t="s">
        <v>2044</v>
      </c>
      <c r="B60" s="1351"/>
      <c r="C60" s="1351" t="s">
        <v>2046</v>
      </c>
      <c r="D60" s="1351" t="s">
        <v>2047</v>
      </c>
      <c r="E60" s="743" t="s">
        <v>2048</v>
      </c>
      <c r="F60" s="2128" t="s">
        <v>2063</v>
      </c>
      <c r="G60" s="1351" t="s">
        <v>310</v>
      </c>
      <c r="H60" s="2129"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7" t="s">
        <v>2053</v>
      </c>
      <c r="B62" s="2131" t="str">
        <f>估价对象房地状况!C18</f>
        <v>估价对象周边道路状况、公共交通通达情况、停车便捷程度，综合评价交通便捷度较好</v>
      </c>
      <c r="C62" s="2041"/>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6" t="s">
        <v>3268</v>
      </c>
      <c r="B63" s="2131">
        <f>估价对象房地状况!C19</f>
        <v>0</v>
      </c>
      <c r="C63" s="2041"/>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7" t="s">
        <v>2054</v>
      </c>
      <c r="B64" s="2132" t="s">
        <v>2055</v>
      </c>
      <c r="C64" s="2041"/>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7" t="s">
        <v>2057</v>
      </c>
      <c r="B66" s="2133" t="s">
        <v>2058</v>
      </c>
      <c r="C66" s="2041"/>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7" t="s">
        <v>2059</v>
      </c>
      <c r="B67" s="1326" t="str">
        <f>估价对象房地状况!C21</f>
        <v>估价对象所在区域公共配套设施齐备情况</v>
      </c>
      <c r="C67" s="2041"/>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7" t="s">
        <v>2060</v>
      </c>
      <c r="B68" s="1326" t="str">
        <f>估价对象房地状况!C22</f>
        <v>估价对象所在区域基础设施水平</v>
      </c>
      <c r="C68" s="2041"/>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5" t="s">
        <v>2061</v>
      </c>
      <c r="B69" s="2137" t="str">
        <f>估价对象房地状况!C20</f>
        <v>区域自然环境：；人文环境；综合评价环境状况一般</v>
      </c>
      <c r="C69" s="2041"/>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7" t="s">
        <v>2044</v>
      </c>
      <c r="B71" s="1351"/>
      <c r="C71" s="1351" t="s">
        <v>2046</v>
      </c>
      <c r="D71" s="1351" t="s">
        <v>2047</v>
      </c>
      <c r="E71" s="743" t="s">
        <v>2048</v>
      </c>
      <c r="F71" s="2128" t="s">
        <v>2063</v>
      </c>
      <c r="G71" s="1351" t="s">
        <v>310</v>
      </c>
      <c r="H71" s="2129"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7" t="s">
        <v>2066</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7" t="s">
        <v>2053</v>
      </c>
      <c r="B73" s="2131" t="str">
        <f>估价对象房地状况!C18</f>
        <v>估价对象周边道路状况、公共交通通达情况、停车便捷程度，综合评价交通便捷度较好</v>
      </c>
      <c r="C73" s="2041"/>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48">
      <c r="A74" s="3366" t="s">
        <v>3268</v>
      </c>
      <c r="B74" s="2131">
        <f>估价对象房地状况!C19</f>
        <v>0</v>
      </c>
      <c r="C74" s="2041"/>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3.8">
      <c r="A75" s="2127" t="s">
        <v>2067</v>
      </c>
      <c r="B75" s="2131">
        <f>估价对象房地状况!C24</f>
        <v>0</v>
      </c>
      <c r="C75" s="2041"/>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6.4">
      <c r="A76" s="2127" t="s">
        <v>2059</v>
      </c>
      <c r="B76" s="1326" t="str">
        <f>估价对象房地状况!C21</f>
        <v>估价对象所在区域公共配套设施齐备情况</v>
      </c>
      <c r="C76" s="2041"/>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5"/>
      <c r="AA76" s="2050"/>
      <c r="AG76" s="1121"/>
      <c r="AK76" s="2050"/>
    </row>
    <row r="77" spans="1:37" ht="26.4">
      <c r="A77" s="2127" t="s">
        <v>2060</v>
      </c>
      <c r="B77" s="1326" t="str">
        <f>估价对象房地状况!C22</f>
        <v>估价对象所在区域基础设施水平</v>
      </c>
      <c r="C77" s="2041"/>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5"/>
      <c r="AA77" s="2050"/>
      <c r="AG77" s="1121"/>
      <c r="AK77" s="2050"/>
    </row>
    <row r="78" spans="1:37" ht="36">
      <c r="A78" s="2127" t="s">
        <v>2057</v>
      </c>
      <c r="B78" s="2133" t="s">
        <v>2058</v>
      </c>
      <c r="C78" s="2041"/>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4"/>
      <c r="P78" s="1994"/>
      <c r="Z78" s="1995"/>
      <c r="AA78" s="2050"/>
      <c r="AG78" s="1121"/>
      <c r="AK78" s="2050"/>
    </row>
    <row r="79" spans="1:37" ht="39.6">
      <c r="A79" s="2127" t="s">
        <v>2061</v>
      </c>
      <c r="B79" s="2130" t="str">
        <f>估价对象房地状况!C20</f>
        <v>区域自然环境：；人文环境；综合评价环境状况一般</v>
      </c>
      <c r="C79" s="2041"/>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5"/>
      <c r="AA79" s="2050"/>
      <c r="AG79" s="1121"/>
      <c r="AK79" s="2050"/>
    </row>
    <row r="80" spans="1:37" ht="36.6" thickBot="1">
      <c r="A80" s="2135" t="s">
        <v>2068</v>
      </c>
      <c r="B80" s="2139"/>
      <c r="C80" s="2041"/>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5"/>
      <c r="AA80" s="2050"/>
      <c r="AG80" s="1121"/>
      <c r="AK80" s="2050"/>
    </row>
    <row r="81" spans="1:37" ht="14.4">
      <c r="A81" s="2123" t="s">
        <v>2069</v>
      </c>
      <c r="B81" s="2124">
        <f>1+E83</f>
        <v>1</v>
      </c>
      <c r="C81" s="741"/>
      <c r="D81" s="741"/>
      <c r="E81" s="742"/>
      <c r="F81" s="2126"/>
      <c r="G81" s="3"/>
      <c r="H81" s="3"/>
      <c r="I81" s="3"/>
      <c r="J81" s="4"/>
      <c r="K81" s="4"/>
      <c r="L81" s="4"/>
      <c r="M81" s="4"/>
      <c r="N81" s="4"/>
      <c r="Z81" s="1995"/>
      <c r="AA81" s="2050"/>
      <c r="AG81" s="1121"/>
      <c r="AK81" s="2050"/>
    </row>
    <row r="82" spans="1:37" ht="25.2">
      <c r="A82" s="2127" t="s">
        <v>2044</v>
      </c>
      <c r="B82" s="1351"/>
      <c r="C82" s="1351" t="s">
        <v>2046</v>
      </c>
      <c r="D82" s="1351" t="s">
        <v>2047</v>
      </c>
      <c r="E82" s="743" t="s">
        <v>2048</v>
      </c>
      <c r="F82" s="2128" t="s">
        <v>2063</v>
      </c>
      <c r="G82" s="1351" t="s">
        <v>310</v>
      </c>
      <c r="H82" s="2129" t="s">
        <v>2050</v>
      </c>
      <c r="I82" s="1351" t="s">
        <v>2051</v>
      </c>
      <c r="J82" s="552" t="s">
        <v>1721</v>
      </c>
      <c r="K82" s="552" t="s">
        <v>1722</v>
      </c>
      <c r="L82" s="552" t="s">
        <v>1723</v>
      </c>
      <c r="M82" s="552" t="s">
        <v>1724</v>
      </c>
      <c r="N82" s="552" t="s">
        <v>1725</v>
      </c>
      <c r="Z82" s="1995"/>
      <c r="AA82" s="2050"/>
      <c r="AG82" s="1121"/>
      <c r="AK82" s="2050"/>
    </row>
    <row r="83" spans="1:37" ht="39.6">
      <c r="A83" s="2127" t="s">
        <v>2070</v>
      </c>
      <c r="B83" s="2131" t="str">
        <f>估价对象房地状况!G15</f>
        <v>估价对象位于XX开发区，园区建设成熟度XX，产业集聚程度XX</v>
      </c>
      <c r="C83" s="2041"/>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52.8">
      <c r="A84" s="2127" t="s">
        <v>2053</v>
      </c>
      <c r="B84" s="2131" t="str">
        <f>估价对象房地状况!G16</f>
        <v>估价对象周边道路状况、公共交通通达情况、停车便捷程度，综合评价交通便捷度较好</v>
      </c>
      <c r="C84" s="2041"/>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5"/>
      <c r="AA84" s="2050"/>
      <c r="AG84" s="1121"/>
      <c r="AK84" s="2050"/>
    </row>
    <row r="85" spans="1:37" ht="48">
      <c r="A85" s="3366" t="s">
        <v>3269</v>
      </c>
      <c r="B85" s="2131">
        <f>估价对象房地状况!G17</f>
        <v>0</v>
      </c>
      <c r="C85" s="2041"/>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5"/>
      <c r="AA85" s="2050"/>
      <c r="AG85" s="1121"/>
      <c r="AK85" s="2050"/>
    </row>
    <row r="86" spans="1:37" ht="13.8">
      <c r="A86" s="2127" t="s">
        <v>2067</v>
      </c>
      <c r="B86" s="2131">
        <f>估价对象房地状况!G22</f>
        <v>0</v>
      </c>
      <c r="C86" s="2041"/>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5"/>
      <c r="AA86" s="2050"/>
      <c r="AG86" s="1121"/>
      <c r="AK86" s="2050"/>
    </row>
    <row r="87" spans="1:37" ht="26.4">
      <c r="A87" s="2127" t="s">
        <v>2059</v>
      </c>
      <c r="B87" s="1326" t="str">
        <f>估价对象房地状况!G19</f>
        <v>估价对象所在区域公共配套设施齐备情况</v>
      </c>
      <c r="C87" s="2041"/>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6.4">
      <c r="A88" s="2127" t="s">
        <v>2060</v>
      </c>
      <c r="B88" s="1326" t="str">
        <f>估价对象房地状况!G20</f>
        <v>估价对象所在区域基础设施水平</v>
      </c>
      <c r="C88" s="2041"/>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36">
      <c r="A89" s="2127" t="s">
        <v>2057</v>
      </c>
      <c r="B89" s="2133" t="s">
        <v>2071</v>
      </c>
      <c r="C89" s="2041"/>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40.200000000000003" thickBot="1">
      <c r="A90" s="2135" t="s">
        <v>2072</v>
      </c>
      <c r="B90" s="2140" t="str">
        <f>估价对象房地状况!G18</f>
        <v>该园区内是否有污染型企业，绿化情况，卫生条件，整体环境状况判断</v>
      </c>
      <c r="C90" s="2041"/>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3.8">
      <c r="A91" s="3374" t="s">
        <v>2611</v>
      </c>
      <c r="B91" s="3375">
        <f>1+E93</f>
        <v>1</v>
      </c>
      <c r="C91" s="3368"/>
      <c r="D91" s="3369"/>
      <c r="E91" s="1814"/>
      <c r="F91" s="1814"/>
      <c r="G91" s="3370"/>
      <c r="H91" s="3371"/>
      <c r="I91" s="3372"/>
      <c r="J91" s="3373"/>
      <c r="K91" s="3373"/>
      <c r="L91" s="3373"/>
      <c r="M91" s="3373"/>
      <c r="N91" s="3373"/>
    </row>
    <row r="92" spans="1:37" ht="25.2">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6"/>
      <c r="C93" s="2041"/>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52.8">
      <c r="A94" s="3376" t="s">
        <v>3272</v>
      </c>
      <c r="B94" s="3367" t="str">
        <f>估价对象房地状况!C18</f>
        <v>估价对象周边道路状况、公共交通通达情况、停车便捷程度，综合评价交通便捷度较好</v>
      </c>
      <c r="C94" s="2041"/>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48">
      <c r="A95" s="3366" t="s">
        <v>3268</v>
      </c>
      <c r="B95" s="3367">
        <f>估价对象房地状况!C19</f>
        <v>0</v>
      </c>
      <c r="C95" s="2041"/>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7.200000000000003">
      <c r="A96" s="3376" t="s">
        <v>3273</v>
      </c>
      <c r="B96" s="3382" t="s">
        <v>3284</v>
      </c>
      <c r="C96" s="2041"/>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f>估价对象房地状况!C24</f>
        <v>0</v>
      </c>
      <c r="C97" s="2041"/>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36">
      <c r="A98" s="3376" t="s">
        <v>3275</v>
      </c>
      <c r="B98" s="3383" t="s">
        <v>3285</v>
      </c>
      <c r="C98" s="2041"/>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6.4">
      <c r="A99" s="3376" t="s">
        <v>3276</v>
      </c>
      <c r="B99" s="3367" t="str">
        <f>估价对象房地状况!C21</f>
        <v>估价对象所在区域公共配套设施齐备情况</v>
      </c>
      <c r="C99" s="2041"/>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6.4">
      <c r="A100" s="3376" t="s">
        <v>3277</v>
      </c>
      <c r="B100" s="3367" t="str">
        <f>估价对象房地状况!C22</f>
        <v>估价对象所在区域基础设施水平</v>
      </c>
      <c r="C100" s="2041"/>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40.200000000000003" thickBot="1">
      <c r="A101" s="3377" t="s">
        <v>3278</v>
      </c>
      <c r="B101" s="3384" t="str">
        <f>估价对象房地状况!C20</f>
        <v>区域自然环境：；人文环境；综合评价环境状况一般</v>
      </c>
      <c r="C101" s="2041"/>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07" t="s">
        <v>3293</v>
      </c>
      <c r="B103" s="3807"/>
      <c r="C103" s="3807"/>
      <c r="D103" s="3807"/>
      <c r="E103" s="3807"/>
      <c r="F103" s="3807"/>
      <c r="G103" s="3807"/>
      <c r="H103" s="3807"/>
      <c r="I103" s="3807"/>
      <c r="J103" s="3807"/>
      <c r="K103" s="3387"/>
      <c r="L103" s="3387"/>
      <c r="M103" s="3387"/>
      <c r="N103" s="3387"/>
    </row>
    <row r="104" spans="1:14">
      <c r="A104" s="3808" t="s">
        <v>3294</v>
      </c>
      <c r="B104" s="3808" t="s">
        <v>3295</v>
      </c>
      <c r="C104" s="3388" t="s">
        <v>3296</v>
      </c>
      <c r="D104" s="3389"/>
      <c r="E104" s="3389"/>
      <c r="F104" s="3389"/>
      <c r="G104" s="3389"/>
      <c r="H104" s="3389"/>
      <c r="I104" s="3389"/>
      <c r="J104" s="3390"/>
      <c r="K104" s="3391"/>
      <c r="L104" s="3391"/>
      <c r="M104" s="3391"/>
      <c r="N104" s="3391"/>
    </row>
    <row r="105" spans="1:14">
      <c r="A105" s="3808"/>
      <c r="B105" s="3808"/>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794"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95"/>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95"/>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95"/>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95"/>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95"/>
      <c r="B111" s="3392" t="s">
        <v>3267</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96"/>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97" t="s">
        <v>3310</v>
      </c>
      <c r="B113" s="3797"/>
      <c r="C113" s="3797"/>
      <c r="D113" s="3797"/>
      <c r="E113" s="3797"/>
      <c r="F113" s="3797"/>
      <c r="G113" s="3797"/>
      <c r="H113" s="3797"/>
      <c r="I113" s="3797"/>
      <c r="J113" s="3797"/>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3311</v>
      </c>
      <c r="B116" s="3413">
        <f>G3</f>
        <v>2.5</v>
      </c>
      <c r="C116" s="3397" t="s">
        <v>3312</v>
      </c>
      <c r="D116" s="3398">
        <f>SUMPRODUCT((A118:A122=F116)*(B117:M117=H116)*B118:M122)</f>
        <v>0</v>
      </c>
      <c r="E116" s="1997" t="s">
        <v>3313</v>
      </c>
      <c r="F116" s="3399">
        <f>E2</f>
        <v>0</v>
      </c>
      <c r="G116" s="1997" t="s">
        <v>3314</v>
      </c>
      <c r="H116" s="3399">
        <f>G2</f>
        <v>0</v>
      </c>
      <c r="I116" s="1997"/>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3328</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3329</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8" thickBot="1">
      <c r="A121" s="3409" t="s">
        <v>3330</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2611</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20" t="s">
        <v>2606</v>
      </c>
      <c r="B20" s="3813" t="s">
        <v>2627</v>
      </c>
      <c r="C20" s="3100" t="s">
        <v>2438</v>
      </c>
      <c r="D20" s="3101"/>
      <c r="E20" s="3102">
        <v>1</v>
      </c>
      <c r="F20" s="3103" t="s">
        <v>2439</v>
      </c>
      <c r="G20" s="3103"/>
    </row>
    <row r="21" spans="1:13" ht="19.5" customHeight="1">
      <c r="A21" s="3821"/>
      <c r="B21" s="3814"/>
      <c r="C21" s="3104" t="s">
        <v>2440</v>
      </c>
      <c r="D21" s="3105"/>
      <c r="E21" s="3106">
        <v>1</v>
      </c>
      <c r="F21" s="3103" t="s">
        <v>2441</v>
      </c>
      <c r="G21" s="3103"/>
    </row>
    <row r="22" spans="1:13" ht="19.5" customHeight="1">
      <c r="A22" s="3821"/>
      <c r="B22" s="3814"/>
      <c r="C22" s="3104" t="s">
        <v>2442</v>
      </c>
      <c r="D22" s="3105"/>
      <c r="E22" s="3106">
        <v>0.9</v>
      </c>
      <c r="F22" s="3103" t="s">
        <v>2443</v>
      </c>
      <c r="G22" s="3103"/>
    </row>
    <row r="23" spans="1:13" ht="19.5" customHeight="1">
      <c r="A23" s="3821"/>
      <c r="B23" s="3814"/>
      <c r="C23" s="3104" t="s">
        <v>2444</v>
      </c>
      <c r="D23" s="3105"/>
      <c r="E23" s="3106">
        <v>0.9</v>
      </c>
      <c r="F23" s="3103" t="s">
        <v>2445</v>
      </c>
      <c r="G23" s="3103"/>
    </row>
    <row r="24" spans="1:13" ht="19.5" customHeight="1">
      <c r="A24" s="3821"/>
      <c r="B24" s="3814"/>
      <c r="C24" s="3104" t="s">
        <v>2446</v>
      </c>
      <c r="D24" s="3105"/>
      <c r="E24" s="3106">
        <v>0.8</v>
      </c>
      <c r="F24" s="3103" t="s">
        <v>2447</v>
      </c>
      <c r="G24" s="3103"/>
    </row>
    <row r="25" spans="1:13" ht="19.5" customHeight="1" thickBot="1">
      <c r="A25" s="3822"/>
      <c r="B25" s="3815"/>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816" t="s">
        <v>2630</v>
      </c>
      <c r="B27" s="3813" t="s">
        <v>2611</v>
      </c>
      <c r="C27" s="3100" t="s">
        <v>2451</v>
      </c>
      <c r="D27" s="3101"/>
      <c r="E27" s="3102">
        <v>1</v>
      </c>
      <c r="F27" s="3103" t="s">
        <v>2452</v>
      </c>
      <c r="G27" s="3103"/>
    </row>
    <row r="28" spans="1:13" ht="19.5" customHeight="1">
      <c r="A28" s="3817"/>
      <c r="B28" s="3814"/>
      <c r="C28" s="3104" t="s">
        <v>2453</v>
      </c>
      <c r="D28" s="3105"/>
      <c r="E28" s="3106">
        <v>1</v>
      </c>
      <c r="F28" s="3103" t="s">
        <v>2454</v>
      </c>
      <c r="G28" s="3103"/>
    </row>
    <row r="29" spans="1:13" ht="19.5" customHeight="1">
      <c r="A29" s="3817"/>
      <c r="B29" s="3814"/>
      <c r="C29" s="3104" t="s">
        <v>2455</v>
      </c>
      <c r="D29" s="3105"/>
      <c r="E29" s="3106">
        <v>0.8</v>
      </c>
      <c r="F29" s="3103" t="s">
        <v>2456</v>
      </c>
      <c r="G29" s="3103"/>
    </row>
    <row r="30" spans="1:13" ht="19.5" customHeight="1">
      <c r="A30" s="3817"/>
      <c r="B30" s="3814"/>
      <c r="C30" s="3104" t="s">
        <v>2457</v>
      </c>
      <c r="D30" s="3105"/>
      <c r="E30" s="3106">
        <v>0.8</v>
      </c>
      <c r="F30" s="3103" t="s">
        <v>2458</v>
      </c>
      <c r="G30" s="3103"/>
    </row>
    <row r="31" spans="1:13" ht="19.5" customHeight="1">
      <c r="A31" s="3817"/>
      <c r="B31" s="3814"/>
      <c r="C31" s="3104" t="s">
        <v>2459</v>
      </c>
      <c r="D31" s="3105"/>
      <c r="E31" s="3106">
        <v>0.8</v>
      </c>
      <c r="F31" s="3103" t="s">
        <v>2460</v>
      </c>
      <c r="G31" s="3103"/>
    </row>
    <row r="32" spans="1:13" ht="19.5" customHeight="1">
      <c r="A32" s="3817"/>
      <c r="B32" s="3814"/>
      <c r="C32" s="3104" t="s">
        <v>2461</v>
      </c>
      <c r="D32" s="3105"/>
      <c r="E32" s="3106">
        <v>0.7</v>
      </c>
      <c r="F32" s="3103" t="s">
        <v>2462</v>
      </c>
      <c r="G32" s="3103"/>
    </row>
    <row r="33" spans="1:7" ht="19.5" customHeight="1">
      <c r="A33" s="3817"/>
      <c r="B33" s="3814"/>
      <c r="C33" s="3104" t="s">
        <v>2463</v>
      </c>
      <c r="D33" s="3105"/>
      <c r="E33" s="3106">
        <v>0.8</v>
      </c>
      <c r="F33" s="3103" t="s">
        <v>2464</v>
      </c>
      <c r="G33" s="3103"/>
    </row>
    <row r="34" spans="1:7" ht="19.5" customHeight="1">
      <c r="A34" s="3817"/>
      <c r="B34" s="3814"/>
      <c r="C34" s="3104" t="s">
        <v>2465</v>
      </c>
      <c r="D34" s="3105"/>
      <c r="E34" s="3106">
        <v>0.6</v>
      </c>
      <c r="F34" s="3103" t="s">
        <v>2466</v>
      </c>
      <c r="G34" s="3103"/>
    </row>
    <row r="35" spans="1:7" ht="19.5" customHeight="1">
      <c r="A35" s="3817"/>
      <c r="B35" s="3814"/>
      <c r="C35" s="3104" t="s">
        <v>2467</v>
      </c>
      <c r="D35" s="3105"/>
      <c r="E35" s="3106">
        <v>0.2</v>
      </c>
      <c r="F35" s="3103" t="s">
        <v>2468</v>
      </c>
      <c r="G35" s="3103"/>
    </row>
    <row r="36" spans="1:7" ht="19.5" customHeight="1">
      <c r="A36" s="3817"/>
      <c r="B36" s="3814"/>
      <c r="C36" s="3104" t="s">
        <v>2469</v>
      </c>
      <c r="D36" s="3105"/>
      <c r="E36" s="3106">
        <v>0.2</v>
      </c>
      <c r="F36" s="3103" t="s">
        <v>2470</v>
      </c>
      <c r="G36" s="3103"/>
    </row>
    <row r="37" spans="1:7" ht="19.5" customHeight="1">
      <c r="A37" s="3817"/>
      <c r="B37" s="3819" t="s">
        <v>2631</v>
      </c>
      <c r="C37" s="3104" t="s">
        <v>2471</v>
      </c>
      <c r="D37" s="3105"/>
      <c r="E37" s="3106">
        <v>0.6</v>
      </c>
      <c r="F37" s="3103" t="s">
        <v>2472</v>
      </c>
      <c r="G37" s="3103"/>
    </row>
    <row r="38" spans="1:7" ht="19.5" customHeight="1">
      <c r="A38" s="3817"/>
      <c r="B38" s="3814"/>
      <c r="C38" s="3104" t="s">
        <v>2473</v>
      </c>
      <c r="D38" s="3105"/>
      <c r="E38" s="3106">
        <v>0.6</v>
      </c>
      <c r="F38" s="3103" t="s">
        <v>2474</v>
      </c>
      <c r="G38" s="3103"/>
    </row>
    <row r="39" spans="1:7" ht="19.5" customHeight="1" thickBot="1">
      <c r="A39" s="3818"/>
      <c r="B39" s="3815"/>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20" t="s">
        <v>2609</v>
      </c>
      <c r="B41" s="3813" t="s">
        <v>2633</v>
      </c>
      <c r="C41" s="3100" t="s">
        <v>2478</v>
      </c>
      <c r="D41" s="3101"/>
      <c r="E41" s="3102">
        <v>1</v>
      </c>
      <c r="F41" s="3103" t="s">
        <v>2479</v>
      </c>
      <c r="G41" s="3103"/>
    </row>
    <row r="42" spans="1:7" ht="19.5" customHeight="1">
      <c r="A42" s="3821"/>
      <c r="B42" s="3814"/>
      <c r="C42" s="3104" t="s">
        <v>2480</v>
      </c>
      <c r="D42" s="3105"/>
      <c r="E42" s="3106">
        <v>1</v>
      </c>
      <c r="F42" s="3103" t="s">
        <v>2481</v>
      </c>
      <c r="G42" s="3103"/>
    </row>
    <row r="43" spans="1:7" ht="19.5" customHeight="1">
      <c r="A43" s="3821"/>
      <c r="B43" s="3823"/>
      <c r="C43" s="3104" t="s">
        <v>2482</v>
      </c>
      <c r="D43" s="3105"/>
      <c r="E43" s="3106">
        <v>1.5</v>
      </c>
      <c r="F43" s="3103" t="s">
        <v>2483</v>
      </c>
      <c r="G43" s="3103"/>
    </row>
    <row r="44" spans="1:7" ht="19.5" customHeight="1">
      <c r="A44" s="3821"/>
      <c r="B44" s="3115" t="s">
        <v>2634</v>
      </c>
      <c r="C44" s="3104" t="s">
        <v>2635</v>
      </c>
      <c r="D44" s="3105"/>
      <c r="E44" s="3106">
        <v>2</v>
      </c>
      <c r="F44" s="3103" t="s">
        <v>2484</v>
      </c>
      <c r="G44" s="3103"/>
    </row>
    <row r="45" spans="1:7" ht="19.5" customHeight="1">
      <c r="A45" s="3821"/>
      <c r="B45" s="3819" t="s">
        <v>2636</v>
      </c>
      <c r="C45" s="3104" t="s">
        <v>2485</v>
      </c>
      <c r="D45" s="3105"/>
      <c r="E45" s="3106">
        <v>1</v>
      </c>
      <c r="F45" s="3103" t="s">
        <v>2486</v>
      </c>
      <c r="G45" s="3103"/>
    </row>
    <row r="46" spans="1:7" ht="19.5" customHeight="1">
      <c r="A46" s="3821"/>
      <c r="B46" s="3814"/>
      <c r="C46" s="3104" t="s">
        <v>2487</v>
      </c>
      <c r="D46" s="3105"/>
      <c r="E46" s="3106">
        <v>1</v>
      </c>
      <c r="F46" s="3103" t="s">
        <v>2488</v>
      </c>
      <c r="G46" s="3103"/>
    </row>
    <row r="47" spans="1:7" ht="19.5" customHeight="1">
      <c r="A47" s="3821"/>
      <c r="B47" s="3814"/>
      <c r="C47" s="3104" t="s">
        <v>2489</v>
      </c>
      <c r="D47" s="3105"/>
      <c r="E47" s="3106">
        <v>1</v>
      </c>
      <c r="F47" s="3103" t="s">
        <v>2490</v>
      </c>
      <c r="G47" s="3103"/>
    </row>
    <row r="48" spans="1:7" ht="19.5" customHeight="1">
      <c r="A48" s="3821"/>
      <c r="B48" s="3814"/>
      <c r="C48" s="3104" t="s">
        <v>2491</v>
      </c>
      <c r="D48" s="3105"/>
      <c r="E48" s="3106">
        <v>1</v>
      </c>
      <c r="F48" s="3103" t="s">
        <v>2492</v>
      </c>
      <c r="G48" s="3103"/>
    </row>
    <row r="49" spans="1:7" ht="19.5" customHeight="1">
      <c r="A49" s="3821"/>
      <c r="B49" s="3814"/>
      <c r="C49" s="3104" t="s">
        <v>2493</v>
      </c>
      <c r="D49" s="3105"/>
      <c r="E49" s="3106">
        <v>1</v>
      </c>
      <c r="F49" s="3103" t="s">
        <v>2494</v>
      </c>
      <c r="G49" s="3103"/>
    </row>
    <row r="50" spans="1:7" ht="19.5" customHeight="1">
      <c r="A50" s="3821"/>
      <c r="B50" s="3814"/>
      <c r="C50" s="3104" t="s">
        <v>2495</v>
      </c>
      <c r="D50" s="3105"/>
      <c r="E50" s="3106">
        <v>1</v>
      </c>
      <c r="F50" s="3103" t="s">
        <v>2496</v>
      </c>
      <c r="G50" s="3103"/>
    </row>
    <row r="51" spans="1:7" ht="19.5" customHeight="1" thickBot="1">
      <c r="A51" s="3822"/>
      <c r="B51" s="3815"/>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4.4">
      <c r="A72" s="3115"/>
      <c r="B72" s="3115"/>
      <c r="C72" s="3115" t="s">
        <v>2649</v>
      </c>
      <c r="D72" s="3115"/>
      <c r="E72" s="3115" t="s">
        <v>2620</v>
      </c>
      <c r="F72" s="3115" t="s">
        <v>2620</v>
      </c>
    </row>
    <row r="73" spans="1:7" ht="14.4">
      <c r="A73" s="3115">
        <v>1</v>
      </c>
      <c r="B73" s="3819" t="s">
        <v>2650</v>
      </c>
      <c r="C73" s="3089" t="s">
        <v>2651</v>
      </c>
      <c r="D73" s="3089" t="s">
        <v>2652</v>
      </c>
      <c r="E73" s="3115">
        <v>0.2</v>
      </c>
      <c r="F73" s="3115">
        <v>25</v>
      </c>
    </row>
    <row r="74" spans="1:7" ht="24">
      <c r="A74" s="3115">
        <v>2</v>
      </c>
      <c r="B74" s="3814"/>
      <c r="C74" s="3089" t="s">
        <v>2653</v>
      </c>
      <c r="D74" s="3089" t="s">
        <v>2654</v>
      </c>
      <c r="E74" s="3115">
        <v>0.2</v>
      </c>
      <c r="F74" s="3115">
        <v>25</v>
      </c>
    </row>
    <row r="75" spans="1:7" ht="24">
      <c r="A75" s="3115">
        <v>3</v>
      </c>
      <c r="B75" s="3814"/>
      <c r="C75" s="3089" t="s">
        <v>2655</v>
      </c>
      <c r="D75" s="3089" t="s">
        <v>2656</v>
      </c>
      <c r="E75" s="3115">
        <v>0.2</v>
      </c>
      <c r="F75" s="3115">
        <v>25</v>
      </c>
    </row>
    <row r="76" spans="1:7" ht="14.4">
      <c r="A76" s="3115">
        <v>4</v>
      </c>
      <c r="B76" s="3814"/>
      <c r="C76" s="3089" t="s">
        <v>2657</v>
      </c>
      <c r="D76" s="3089" t="s">
        <v>2658</v>
      </c>
      <c r="E76" s="3115">
        <v>0.15</v>
      </c>
      <c r="F76" s="3115">
        <v>20</v>
      </c>
    </row>
    <row r="77" spans="1:7" ht="24">
      <c r="A77" s="3115">
        <v>5</v>
      </c>
      <c r="B77" s="3814"/>
      <c r="C77" s="3089" t="s">
        <v>2659</v>
      </c>
      <c r="D77" s="3089" t="s">
        <v>2660</v>
      </c>
      <c r="E77" s="3115">
        <v>0.15</v>
      </c>
      <c r="F77" s="3115">
        <v>20</v>
      </c>
    </row>
    <row r="78" spans="1:7" ht="24">
      <c r="A78" s="3115">
        <v>6</v>
      </c>
      <c r="B78" s="3814"/>
      <c r="C78" s="3089" t="s">
        <v>2661</v>
      </c>
      <c r="D78" s="3089" t="s">
        <v>2662</v>
      </c>
      <c r="E78" s="3115">
        <v>0.15</v>
      </c>
      <c r="F78" s="3115">
        <v>20</v>
      </c>
    </row>
    <row r="79" spans="1:7" ht="24">
      <c r="A79" s="3115">
        <v>7</v>
      </c>
      <c r="B79" s="3814"/>
      <c r="C79" s="3089" t="s">
        <v>2663</v>
      </c>
      <c r="D79" s="3089" t="s">
        <v>2664</v>
      </c>
      <c r="E79" s="3115">
        <v>0.15</v>
      </c>
      <c r="F79" s="3115">
        <v>20</v>
      </c>
    </row>
    <row r="80" spans="1:7" ht="24">
      <c r="A80" s="3115">
        <v>8</v>
      </c>
      <c r="B80" s="3814"/>
      <c r="C80" s="3089" t="s">
        <v>2665</v>
      </c>
      <c r="D80" s="3089" t="s">
        <v>2666</v>
      </c>
      <c r="E80" s="3115">
        <v>0.1</v>
      </c>
      <c r="F80" s="3115">
        <v>15</v>
      </c>
    </row>
    <row r="81" spans="1:6" ht="24">
      <c r="A81" s="3115">
        <v>9</v>
      </c>
      <c r="B81" s="3814"/>
      <c r="C81" s="3089" t="s">
        <v>2667</v>
      </c>
      <c r="D81" s="3089" t="s">
        <v>2668</v>
      </c>
      <c r="E81" s="3115">
        <v>0.1</v>
      </c>
      <c r="F81" s="3115">
        <v>15</v>
      </c>
    </row>
    <row r="82" spans="1:6" ht="24">
      <c r="A82" s="3115">
        <v>10</v>
      </c>
      <c r="B82" s="3814"/>
      <c r="C82" s="3089" t="s">
        <v>2669</v>
      </c>
      <c r="D82" s="3089" t="s">
        <v>2670</v>
      </c>
      <c r="E82" s="3115">
        <v>0.1</v>
      </c>
      <c r="F82" s="3115">
        <v>15</v>
      </c>
    </row>
    <row r="83" spans="1:6" ht="24">
      <c r="A83" s="3115">
        <v>11</v>
      </c>
      <c r="B83" s="3814"/>
      <c r="C83" s="3089" t="s">
        <v>2671</v>
      </c>
      <c r="D83" s="3089" t="s">
        <v>2672</v>
      </c>
      <c r="E83" s="3115">
        <v>0.1</v>
      </c>
      <c r="F83" s="3115">
        <v>15</v>
      </c>
    </row>
    <row r="84" spans="1:6" ht="24">
      <c r="A84" s="3115">
        <v>12</v>
      </c>
      <c r="B84" s="3814"/>
      <c r="C84" s="3089" t="s">
        <v>2673</v>
      </c>
      <c r="D84" s="3089" t="s">
        <v>2674</v>
      </c>
      <c r="E84" s="3115">
        <v>0.1</v>
      </c>
      <c r="F84" s="3115">
        <v>15</v>
      </c>
    </row>
    <row r="85" spans="1:6" ht="24">
      <c r="A85" s="3115">
        <v>13</v>
      </c>
      <c r="B85" s="3814"/>
      <c r="C85" s="3089" t="s">
        <v>2675</v>
      </c>
      <c r="D85" s="3089" t="s">
        <v>2676</v>
      </c>
      <c r="E85" s="3115">
        <v>0.1</v>
      </c>
      <c r="F85" s="3115">
        <v>15</v>
      </c>
    </row>
    <row r="86" spans="1:6" ht="24">
      <c r="A86" s="3115">
        <v>14</v>
      </c>
      <c r="B86" s="3814"/>
      <c r="C86" s="3089" t="s">
        <v>2677</v>
      </c>
      <c r="D86" s="3089" t="s">
        <v>2678</v>
      </c>
      <c r="E86" s="3115">
        <v>0.1</v>
      </c>
      <c r="F86" s="3115">
        <v>15</v>
      </c>
    </row>
    <row r="87" spans="1:6" ht="24">
      <c r="A87" s="3115">
        <v>15</v>
      </c>
      <c r="B87" s="3814"/>
      <c r="C87" s="3089" t="s">
        <v>2679</v>
      </c>
      <c r="D87" s="3089" t="s">
        <v>2680</v>
      </c>
      <c r="E87" s="3115">
        <v>0.1</v>
      </c>
      <c r="F87" s="3115">
        <v>15</v>
      </c>
    </row>
    <row r="88" spans="1:6" ht="24">
      <c r="A88" s="3115">
        <v>16</v>
      </c>
      <c r="B88" s="3814"/>
      <c r="C88" s="3089" t="s">
        <v>2681</v>
      </c>
      <c r="D88" s="3089" t="s">
        <v>2682</v>
      </c>
      <c r="E88" s="3115">
        <v>0.1</v>
      </c>
      <c r="F88" s="3115">
        <v>15</v>
      </c>
    </row>
    <row r="89" spans="1:6" ht="24">
      <c r="A89" s="3115">
        <v>17</v>
      </c>
      <c r="B89" s="3823"/>
      <c r="C89" s="3089" t="s">
        <v>2683</v>
      </c>
      <c r="D89" s="3089" t="s">
        <v>2684</v>
      </c>
      <c r="E89" s="3115">
        <v>0.1</v>
      </c>
      <c r="F89" s="3115">
        <v>15</v>
      </c>
    </row>
    <row r="90" spans="1:6" ht="14.4">
      <c r="A90" s="3115">
        <v>18</v>
      </c>
      <c r="B90" s="3819" t="s">
        <v>2685</v>
      </c>
      <c r="C90" s="3089" t="s">
        <v>2686</v>
      </c>
      <c r="D90" s="3089" t="s">
        <v>2687</v>
      </c>
      <c r="E90" s="3115">
        <v>0.2</v>
      </c>
      <c r="F90" s="3115">
        <v>25</v>
      </c>
    </row>
    <row r="91" spans="1:6" ht="24">
      <c r="A91" s="3115">
        <v>19</v>
      </c>
      <c r="B91" s="3814"/>
      <c r="C91" s="3089" t="s">
        <v>2688</v>
      </c>
      <c r="D91" s="3089" t="s">
        <v>2689</v>
      </c>
      <c r="E91" s="3115">
        <v>0.2</v>
      </c>
      <c r="F91" s="3115">
        <v>25</v>
      </c>
    </row>
    <row r="92" spans="1:6" ht="14.4">
      <c r="A92" s="3115">
        <v>20</v>
      </c>
      <c r="B92" s="3814"/>
      <c r="C92" s="3089" t="s">
        <v>2690</v>
      </c>
      <c r="D92" s="3089" t="s">
        <v>2691</v>
      </c>
      <c r="E92" s="3115">
        <v>0.15</v>
      </c>
      <c r="F92" s="3115">
        <v>20</v>
      </c>
    </row>
    <row r="93" spans="1:6" ht="24">
      <c r="A93" s="3115">
        <v>21</v>
      </c>
      <c r="B93" s="3814"/>
      <c r="C93" s="3089" t="s">
        <v>2692</v>
      </c>
      <c r="D93" s="3089" t="s">
        <v>2693</v>
      </c>
      <c r="E93" s="3115">
        <v>0.15</v>
      </c>
      <c r="F93" s="3115">
        <v>20</v>
      </c>
    </row>
    <row r="94" spans="1:6" ht="24">
      <c r="A94" s="3115">
        <v>22</v>
      </c>
      <c r="B94" s="3814"/>
      <c r="C94" s="3089" t="s">
        <v>2694</v>
      </c>
      <c r="D94" s="3089" t="s">
        <v>2695</v>
      </c>
      <c r="E94" s="3115">
        <v>0.15</v>
      </c>
      <c r="F94" s="3115">
        <v>20</v>
      </c>
    </row>
    <row r="95" spans="1:6" ht="36">
      <c r="A95" s="3115">
        <v>23</v>
      </c>
      <c r="B95" s="3814"/>
      <c r="C95" s="3089" t="s">
        <v>2696</v>
      </c>
      <c r="D95" s="3089" t="s">
        <v>2697</v>
      </c>
      <c r="E95" s="3115">
        <v>0.15</v>
      </c>
      <c r="F95" s="3115">
        <v>20</v>
      </c>
    </row>
    <row r="96" spans="1:6" ht="24">
      <c r="A96" s="3115">
        <v>24</v>
      </c>
      <c r="B96" s="3814"/>
      <c r="C96" s="3089" t="s">
        <v>2698</v>
      </c>
      <c r="D96" s="3089" t="s">
        <v>2699</v>
      </c>
      <c r="E96" s="3115">
        <v>0.1</v>
      </c>
      <c r="F96" s="3115">
        <v>15</v>
      </c>
    </row>
    <row r="97" spans="1:6" ht="24">
      <c r="A97" s="3115">
        <v>25</v>
      </c>
      <c r="B97" s="3814"/>
      <c r="C97" s="3089" t="s">
        <v>2700</v>
      </c>
      <c r="D97" s="3089" t="s">
        <v>2701</v>
      </c>
      <c r="E97" s="3115">
        <v>0.1</v>
      </c>
      <c r="F97" s="3115">
        <v>15</v>
      </c>
    </row>
    <row r="98" spans="1:6" ht="24">
      <c r="A98" s="3115">
        <v>26</v>
      </c>
      <c r="B98" s="3814"/>
      <c r="C98" s="3089" t="s">
        <v>2702</v>
      </c>
      <c r="D98" s="3089" t="s">
        <v>2703</v>
      </c>
      <c r="E98" s="3115">
        <v>0.1</v>
      </c>
      <c r="F98" s="3115">
        <v>15</v>
      </c>
    </row>
    <row r="99" spans="1:6" ht="24">
      <c r="A99" s="3115">
        <v>27</v>
      </c>
      <c r="B99" s="3814"/>
      <c r="C99" s="3089" t="s">
        <v>2704</v>
      </c>
      <c r="D99" s="3089" t="s">
        <v>2705</v>
      </c>
      <c r="E99" s="3115">
        <v>0.1</v>
      </c>
      <c r="F99" s="3115">
        <v>15</v>
      </c>
    </row>
    <row r="100" spans="1:6" ht="24">
      <c r="A100" s="3115">
        <v>28</v>
      </c>
      <c r="B100" s="3814"/>
      <c r="C100" s="3089" t="s">
        <v>2706</v>
      </c>
      <c r="D100" s="3089" t="s">
        <v>2707</v>
      </c>
      <c r="E100" s="3115">
        <v>0.1</v>
      </c>
      <c r="F100" s="3115">
        <v>15</v>
      </c>
    </row>
    <row r="101" spans="1:6" ht="24">
      <c r="A101" s="3115">
        <v>29</v>
      </c>
      <c r="B101" s="3814"/>
      <c r="C101" s="3089" t="s">
        <v>2708</v>
      </c>
      <c r="D101" s="3089" t="s">
        <v>2709</v>
      </c>
      <c r="E101" s="3115">
        <v>0.1</v>
      </c>
      <c r="F101" s="3115">
        <v>15</v>
      </c>
    </row>
    <row r="102" spans="1:6" ht="24">
      <c r="A102" s="3115">
        <v>30</v>
      </c>
      <c r="B102" s="3814"/>
      <c r="C102" s="3089" t="s">
        <v>2710</v>
      </c>
      <c r="D102" s="3089" t="s">
        <v>2711</v>
      </c>
      <c r="E102" s="3115">
        <v>0.1</v>
      </c>
      <c r="F102" s="3115">
        <v>15</v>
      </c>
    </row>
    <row r="103" spans="1:6" ht="24">
      <c r="A103" s="3115">
        <v>31</v>
      </c>
      <c r="B103" s="3814"/>
      <c r="C103" s="3089" t="s">
        <v>2712</v>
      </c>
      <c r="D103" s="3089" t="s">
        <v>2713</v>
      </c>
      <c r="E103" s="3115">
        <v>0.1</v>
      </c>
      <c r="F103" s="3115">
        <v>15</v>
      </c>
    </row>
    <row r="104" spans="1:6" ht="24">
      <c r="A104" s="3115">
        <v>32</v>
      </c>
      <c r="B104" s="3814"/>
      <c r="C104" s="3089" t="s">
        <v>2714</v>
      </c>
      <c r="D104" s="3089" t="s">
        <v>2715</v>
      </c>
      <c r="E104" s="3115">
        <v>0.1</v>
      </c>
      <c r="F104" s="3115">
        <v>15</v>
      </c>
    </row>
    <row r="105" spans="1:6" ht="24">
      <c r="A105" s="3115">
        <v>33</v>
      </c>
      <c r="B105" s="3814"/>
      <c r="C105" s="3089" t="s">
        <v>2716</v>
      </c>
      <c r="D105" s="3089" t="s">
        <v>2717</v>
      </c>
      <c r="E105" s="3115">
        <v>0.1</v>
      </c>
      <c r="F105" s="3115">
        <v>15</v>
      </c>
    </row>
    <row r="106" spans="1:6" ht="24">
      <c r="A106" s="3115">
        <v>34</v>
      </c>
      <c r="B106" s="3823"/>
      <c r="C106" s="3089" t="s">
        <v>2718</v>
      </c>
      <c r="D106" s="3089" t="s">
        <v>2719</v>
      </c>
      <c r="E106" s="3115">
        <v>0.1</v>
      </c>
      <c r="F106" s="3115">
        <v>15</v>
      </c>
    </row>
    <row r="107" spans="1:6" ht="36">
      <c r="A107" s="3115">
        <v>35</v>
      </c>
      <c r="B107" s="3819" t="s">
        <v>2720</v>
      </c>
      <c r="C107" s="3115" t="s">
        <v>2721</v>
      </c>
      <c r="D107" s="3089" t="s">
        <v>2722</v>
      </c>
      <c r="E107" s="3115">
        <v>0.15</v>
      </c>
      <c r="F107" s="3115">
        <v>20</v>
      </c>
    </row>
    <row r="108" spans="1:6" ht="24">
      <c r="A108" s="3115">
        <v>36</v>
      </c>
      <c r="B108" s="3814"/>
      <c r="C108" s="3115" t="s">
        <v>2723</v>
      </c>
      <c r="D108" s="3089" t="s">
        <v>2724</v>
      </c>
      <c r="E108" s="3115">
        <v>0.15</v>
      </c>
      <c r="F108" s="3115">
        <v>20</v>
      </c>
    </row>
    <row r="109" spans="1:6" ht="24">
      <c r="A109" s="3115">
        <v>37</v>
      </c>
      <c r="B109" s="3814"/>
      <c r="C109" s="3115" t="s">
        <v>2725</v>
      </c>
      <c r="D109" s="3089" t="s">
        <v>2726</v>
      </c>
      <c r="E109" s="3115">
        <v>0.15</v>
      </c>
      <c r="F109" s="3115">
        <v>20</v>
      </c>
    </row>
    <row r="110" spans="1:6" ht="24">
      <c r="A110" s="3115">
        <v>38</v>
      </c>
      <c r="B110" s="3814"/>
      <c r="C110" s="3115" t="s">
        <v>2727</v>
      </c>
      <c r="D110" s="3089" t="s">
        <v>2728</v>
      </c>
      <c r="E110" s="3115">
        <v>0.1</v>
      </c>
      <c r="F110" s="3115">
        <v>15</v>
      </c>
    </row>
    <row r="111" spans="1:6" ht="24">
      <c r="A111" s="3115">
        <v>39</v>
      </c>
      <c r="B111" s="3814"/>
      <c r="C111" s="3115" t="s">
        <v>2729</v>
      </c>
      <c r="D111" s="3089" t="s">
        <v>2730</v>
      </c>
      <c r="E111" s="3115">
        <v>0.1</v>
      </c>
      <c r="F111" s="3115">
        <v>15</v>
      </c>
    </row>
    <row r="112" spans="1:6" ht="24">
      <c r="A112" s="3115">
        <v>40</v>
      </c>
      <c r="B112" s="3823"/>
      <c r="C112" s="3115" t="s">
        <v>2731</v>
      </c>
      <c r="D112" s="3089" t="s">
        <v>2732</v>
      </c>
      <c r="E112" s="3115">
        <v>0.1</v>
      </c>
      <c r="F112" s="3115">
        <v>15</v>
      </c>
    </row>
    <row r="113" spans="1:6" ht="24">
      <c r="A113" s="3115">
        <v>41</v>
      </c>
      <c r="B113" s="3824" t="s">
        <v>2733</v>
      </c>
      <c r="C113" s="3115" t="s">
        <v>2734</v>
      </c>
      <c r="D113" s="3089" t="s">
        <v>2735</v>
      </c>
      <c r="E113" s="3115">
        <v>0.1</v>
      </c>
      <c r="F113" s="3115">
        <v>15</v>
      </c>
    </row>
    <row r="114" spans="1:6" ht="24">
      <c r="A114" s="3115">
        <v>42</v>
      </c>
      <c r="B114" s="3824"/>
      <c r="C114" s="3115" t="s">
        <v>2736</v>
      </c>
      <c r="D114" s="3089" t="s">
        <v>2737</v>
      </c>
      <c r="E114" s="3115">
        <v>0.1</v>
      </c>
      <c r="F114" s="3115">
        <v>15</v>
      </c>
    </row>
    <row r="115" spans="1:6" ht="24">
      <c r="A115" s="3115">
        <v>43</v>
      </c>
      <c r="B115" s="3824"/>
      <c r="C115" s="3115" t="s">
        <v>2738</v>
      </c>
      <c r="D115" s="3089" t="s">
        <v>2739</v>
      </c>
      <c r="E115" s="3115">
        <v>0.1</v>
      </c>
      <c r="F115" s="3115">
        <v>15</v>
      </c>
    </row>
    <row r="116" spans="1:6" ht="24">
      <c r="A116" s="3115">
        <v>44</v>
      </c>
      <c r="B116" s="3819" t="s">
        <v>2740</v>
      </c>
      <c r="C116" s="3115" t="s">
        <v>2741</v>
      </c>
      <c r="D116" s="3089" t="s">
        <v>2742</v>
      </c>
      <c r="E116" s="3115">
        <v>0.1</v>
      </c>
      <c r="F116" s="3115">
        <v>15</v>
      </c>
    </row>
    <row r="117" spans="1:6" ht="24">
      <c r="A117" s="3115">
        <v>45</v>
      </c>
      <c r="B117" s="3823"/>
      <c r="C117" s="3089" t="s">
        <v>2743</v>
      </c>
      <c r="D117" s="3089" t="s">
        <v>2744</v>
      </c>
      <c r="E117" s="3115">
        <v>0.1</v>
      </c>
      <c r="F117" s="3115">
        <v>15</v>
      </c>
    </row>
    <row r="118" spans="1:6" ht="24">
      <c r="A118" s="3115">
        <v>46</v>
      </c>
      <c r="B118" s="3819" t="s">
        <v>2745</v>
      </c>
      <c r="C118" s="3115" t="s">
        <v>2746</v>
      </c>
      <c r="D118" s="3089" t="s">
        <v>2747</v>
      </c>
      <c r="E118" s="3115">
        <v>0.1</v>
      </c>
      <c r="F118" s="3115">
        <v>15</v>
      </c>
    </row>
    <row r="119" spans="1:6" ht="24">
      <c r="A119" s="3115">
        <v>47</v>
      </c>
      <c r="B119" s="3823"/>
      <c r="C119" s="3115" t="s">
        <v>2748</v>
      </c>
      <c r="D119" s="3089" t="s">
        <v>2749</v>
      </c>
      <c r="E119" s="3115">
        <v>0.1</v>
      </c>
      <c r="F119" s="3115">
        <v>15</v>
      </c>
    </row>
    <row r="120" spans="1:6" ht="24">
      <c r="A120" s="3115">
        <v>48</v>
      </c>
      <c r="B120" s="3819" t="s">
        <v>2750</v>
      </c>
      <c r="C120" s="3115" t="s">
        <v>2751</v>
      </c>
      <c r="D120" s="3089" t="s">
        <v>2752</v>
      </c>
      <c r="E120" s="3115">
        <v>0.1</v>
      </c>
      <c r="F120" s="3115">
        <v>15</v>
      </c>
    </row>
    <row r="121" spans="1:6" ht="24">
      <c r="A121" s="3115">
        <v>49</v>
      </c>
      <c r="B121" s="3823"/>
      <c r="C121" s="3115" t="s">
        <v>2753</v>
      </c>
      <c r="D121" s="3089" t="s">
        <v>2754</v>
      </c>
      <c r="E121" s="3115">
        <v>0.1</v>
      </c>
      <c r="F121" s="3115">
        <v>15</v>
      </c>
    </row>
    <row r="122" spans="1:6" ht="24">
      <c r="A122" s="3115">
        <v>50</v>
      </c>
      <c r="B122" s="3824" t="s">
        <v>2755</v>
      </c>
      <c r="C122" s="3115" t="s">
        <v>2756</v>
      </c>
      <c r="D122" s="3089" t="s">
        <v>2757</v>
      </c>
      <c r="E122" s="3115">
        <v>0.1</v>
      </c>
      <c r="F122" s="3115">
        <v>15</v>
      </c>
    </row>
    <row r="123" spans="1:6" ht="24">
      <c r="A123" s="3115">
        <v>51</v>
      </c>
      <c r="B123" s="3824"/>
      <c r="C123" s="3115" t="s">
        <v>2758</v>
      </c>
      <c r="D123" s="3089" t="s">
        <v>2759</v>
      </c>
      <c r="E123" s="3115">
        <v>0.1</v>
      </c>
      <c r="F123" s="3115">
        <v>15</v>
      </c>
    </row>
    <row r="124" spans="1:6" ht="24">
      <c r="A124" s="3115">
        <v>52</v>
      </c>
      <c r="B124" s="3824" t="s">
        <v>2760</v>
      </c>
      <c r="C124" s="3115" t="s">
        <v>2761</v>
      </c>
      <c r="D124" s="3089" t="s">
        <v>2762</v>
      </c>
      <c r="E124" s="3115">
        <v>0.1</v>
      </c>
      <c r="F124" s="3115">
        <v>15</v>
      </c>
    </row>
    <row r="125" spans="1:6" ht="24">
      <c r="A125" s="3115">
        <v>53</v>
      </c>
      <c r="B125" s="3824"/>
      <c r="C125" s="3115" t="s">
        <v>2763</v>
      </c>
      <c r="D125" s="3089" t="s">
        <v>2764</v>
      </c>
      <c r="E125" s="3115">
        <v>0.1</v>
      </c>
      <c r="F125" s="3115">
        <v>15</v>
      </c>
    </row>
    <row r="126" spans="1:6" ht="24">
      <c r="A126" s="3115">
        <v>54</v>
      </c>
      <c r="B126" s="3115" t="s">
        <v>2765</v>
      </c>
      <c r="C126" s="3115" t="s">
        <v>2766</v>
      </c>
      <c r="D126" s="3089" t="s">
        <v>2767</v>
      </c>
      <c r="E126" s="3115">
        <v>0.1</v>
      </c>
      <c r="F126" s="3115">
        <v>15</v>
      </c>
    </row>
    <row r="127" spans="1:6" ht="24">
      <c r="A127" s="3115">
        <v>55</v>
      </c>
      <c r="B127" s="3824" t="s">
        <v>2768</v>
      </c>
      <c r="C127" s="3115" t="s">
        <v>2769</v>
      </c>
      <c r="D127" s="3089" t="s">
        <v>2770</v>
      </c>
      <c r="E127" s="3115">
        <v>0.1</v>
      </c>
      <c r="F127" s="3115">
        <v>15</v>
      </c>
    </row>
    <row r="128" spans="1:6" ht="24">
      <c r="A128" s="3115">
        <v>56</v>
      </c>
      <c r="B128" s="3824"/>
      <c r="C128" s="3115" t="s">
        <v>2771</v>
      </c>
      <c r="D128" s="3089" t="s">
        <v>2772</v>
      </c>
      <c r="E128" s="3115">
        <v>0.1</v>
      </c>
      <c r="F128" s="3115">
        <v>15</v>
      </c>
    </row>
    <row r="129" spans="1:6" ht="24">
      <c r="A129" s="3115">
        <v>57</v>
      </c>
      <c r="B129" s="3824"/>
      <c r="C129" s="3115" t="s">
        <v>2773</v>
      </c>
      <c r="D129" s="3089" t="s">
        <v>2774</v>
      </c>
      <c r="E129" s="3115">
        <v>0.1</v>
      </c>
      <c r="F129" s="3115">
        <v>15</v>
      </c>
    </row>
    <row r="130" spans="1:6" ht="24">
      <c r="A130" s="3115">
        <v>58</v>
      </c>
      <c r="B130" s="3824" t="s">
        <v>2775</v>
      </c>
      <c r="C130" s="3115" t="s">
        <v>2776</v>
      </c>
      <c r="D130" s="3089" t="s">
        <v>2777</v>
      </c>
      <c r="E130" s="3115">
        <v>0.1</v>
      </c>
      <c r="F130" s="3115">
        <v>15</v>
      </c>
    </row>
    <row r="131" spans="1:6" ht="24">
      <c r="A131" s="3115">
        <v>59</v>
      </c>
      <c r="B131" s="3824"/>
      <c r="C131" s="3115" t="s">
        <v>2778</v>
      </c>
      <c r="D131" s="3089" t="s">
        <v>2779</v>
      </c>
      <c r="E131" s="3115">
        <v>0.1</v>
      </c>
      <c r="F131" s="3115">
        <v>15</v>
      </c>
    </row>
    <row r="132" spans="1:6" ht="24">
      <c r="A132" s="3115">
        <v>60</v>
      </c>
      <c r="B132" s="3819" t="s">
        <v>2780</v>
      </c>
      <c r="C132" s="3115" t="s">
        <v>2781</v>
      </c>
      <c r="D132" s="3089" t="s">
        <v>2782</v>
      </c>
      <c r="E132" s="3115">
        <v>0.1</v>
      </c>
      <c r="F132" s="3115">
        <v>15</v>
      </c>
    </row>
    <row r="133" spans="1:6" ht="24">
      <c r="A133" s="3115">
        <v>61</v>
      </c>
      <c r="B133" s="3823"/>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24">
      <c r="A135" s="3115">
        <v>63</v>
      </c>
      <c r="B135" s="3824" t="s">
        <v>2788</v>
      </c>
      <c r="C135" s="3115" t="s">
        <v>2789</v>
      </c>
      <c r="D135" s="3089" t="s">
        <v>2790</v>
      </c>
      <c r="E135" s="3115">
        <v>0.1</v>
      </c>
      <c r="F135" s="3115">
        <v>15</v>
      </c>
    </row>
    <row r="136" spans="1:6" ht="24">
      <c r="A136" s="3115">
        <v>64</v>
      </c>
      <c r="B136" s="3824"/>
      <c r="C136" s="3115" t="s">
        <v>2791</v>
      </c>
      <c r="D136" s="3089" t="s">
        <v>2792</v>
      </c>
      <c r="E136" s="3115">
        <v>0.1</v>
      </c>
      <c r="F136" s="3115">
        <v>15</v>
      </c>
    </row>
    <row r="137" spans="1:6" ht="24">
      <c r="A137" s="3115">
        <v>65</v>
      </c>
      <c r="B137" s="3115" t="s">
        <v>2793</v>
      </c>
      <c r="C137" s="3115" t="s">
        <v>2794</v>
      </c>
      <c r="D137" s="3089" t="s">
        <v>2795</v>
      </c>
      <c r="E137" s="3115">
        <v>0.1</v>
      </c>
      <c r="F137" s="3115">
        <v>15</v>
      </c>
    </row>
    <row r="138" spans="1:6" ht="14.4">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8"/>
    <col min="14" max="16384" width="9" style="750"/>
  </cols>
  <sheetData>
    <row r="1" spans="1:20" ht="16.2"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30907</v>
      </c>
      <c r="C2" s="2" t="s">
        <v>106</v>
      </c>
      <c r="D2" s="199"/>
      <c r="E2" s="199"/>
      <c r="F2" s="199"/>
      <c r="G2" s="199"/>
    </row>
    <row r="3" spans="1:7" s="200" customFormat="1" ht="18" customHeight="1" thickBot="1">
      <c r="A3" s="203" t="s">
        <v>58</v>
      </c>
      <c r="B3" s="204">
        <f ca="1">ROUND(B2*10000/'数据-汇总表'!E3,0)</f>
        <v>4779187</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64.67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64.67</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2014</v>
      </c>
      <c r="D22" s="235">
        <f ca="1">C26</f>
        <v>1.4E-3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6.4">
      <c r="A27" s="777" t="s">
        <v>342</v>
      </c>
      <c r="B27" s="244" t="s">
        <v>85</v>
      </c>
      <c r="C27" s="245">
        <f>C28</f>
        <v>5204</v>
      </c>
      <c r="D27" s="235">
        <f>C29</f>
        <v>7.4999999999999997E-3</v>
      </c>
      <c r="E27" s="236" t="s">
        <v>99</v>
      </c>
      <c r="F27" s="246">
        <f>'数据-取费表'!Q16</f>
        <v>0.25</v>
      </c>
      <c r="G27" s="247" t="s">
        <v>431</v>
      </c>
    </row>
    <row r="28" spans="1:7" s="214" customFormat="1" ht="13.5" customHeight="1">
      <c r="A28" s="780" t="s">
        <v>349</v>
      </c>
      <c r="B28" s="248" t="s">
        <v>424</v>
      </c>
      <c r="C28" s="249">
        <f>ROUND((C5+C19+C20)*F27*'数据-取费表'!B21/'数据-取费表'!B20,0)</f>
        <v>5204</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30883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64.67</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89" t="s">
        <v>94</v>
      </c>
    </row>
    <row r="43" spans="1:7" ht="13.5" customHeight="1">
      <c r="A43" s="780" t="s">
        <v>347</v>
      </c>
      <c r="B43" s="215" t="s">
        <v>426</v>
      </c>
      <c r="C43" s="238">
        <f ca="1">ROUND(IF('数据-取费表'!B22&lt;=1,C39*F22*'数据-取费表'!B21/2,C39*(POWER((1+F22),'数据-取费表'!B21/2)-1)),0)</f>
        <v>0</v>
      </c>
      <c r="D43" s="238"/>
      <c r="E43" s="238"/>
      <c r="F43" s="239"/>
      <c r="G43" s="3690"/>
    </row>
    <row r="44" spans="1:7" ht="13.5" customHeight="1">
      <c r="A44" s="780" t="s">
        <v>348</v>
      </c>
      <c r="B44" s="215" t="s">
        <v>428</v>
      </c>
      <c r="C44" s="238">
        <f ca="1">ROUND(IF('数据-取费表'!B22&lt;=1,C40*F22*'数据-取费表'!B21/2,C40*(POWER((1+F22),'数据-取费表'!B21/2)-1)),4)</f>
        <v>1.4E-3</v>
      </c>
      <c r="D44" s="238"/>
      <c r="E44" s="238"/>
      <c r="F44" s="239"/>
      <c r="G44" s="3691"/>
    </row>
    <row r="45" spans="1:7" s="214" customFormat="1" ht="13.5" customHeight="1">
      <c r="A45" s="777" t="s">
        <v>341</v>
      </c>
      <c r="B45" s="244" t="s">
        <v>85</v>
      </c>
      <c r="C45" s="245">
        <f>C46</f>
        <v>6</v>
      </c>
      <c r="D45" s="235">
        <f>C47</f>
        <v>7.4999999999999997E-3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34</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24</v>
      </c>
      <c r="D51" s="232"/>
      <c r="E51" s="232"/>
      <c r="F51" s="264"/>
      <c r="G51" s="234" t="s">
        <v>37</v>
      </c>
    </row>
    <row r="52" spans="1:7" s="208" customFormat="1" ht="16.8" thickBot="1">
      <c r="A52" s="265" t="s">
        <v>38</v>
      </c>
      <c r="B52" s="266"/>
      <c r="C52" s="267">
        <f ca="1">C31+C51</f>
        <v>30907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54" sqref="F54"/>
    </sheetView>
  </sheetViews>
  <sheetFormatPr defaultColWidth="8.88671875"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827" t="s">
        <v>2838</v>
      </c>
      <c r="B1" s="3827"/>
      <c r="C1" s="3827"/>
      <c r="D1" s="3827"/>
      <c r="E1" s="3827"/>
      <c r="F1" s="3827"/>
      <c r="G1" s="3828"/>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1.4"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25"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1.4" thickBot="1">
      <c r="A4" s="3826"/>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1.4"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1.4"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1.4"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1.4"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1.4"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1.4"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6" customWidth="1"/>
    <col min="2" max="2" width="20" style="3286" customWidth="1"/>
    <col min="3" max="7" width="8.88671875" style="3250"/>
    <col min="8" max="16384" width="8.88671875" style="3251"/>
  </cols>
  <sheetData>
    <row r="1" spans="1:7">
      <c r="A1" s="3829" t="s">
        <v>3180</v>
      </c>
      <c r="B1" s="3829"/>
    </row>
    <row r="2" spans="1:7" ht="15" thickBot="1">
      <c r="A2" s="3252"/>
      <c r="B2" s="3252"/>
    </row>
    <row r="3" spans="1:7" ht="15" thickBot="1">
      <c r="A3" s="3252"/>
      <c r="B3" s="3252"/>
      <c r="C3" s="3253" t="s">
        <v>2810</v>
      </c>
      <c r="D3" s="3253" t="s">
        <v>2866</v>
      </c>
      <c r="E3" s="3253" t="s">
        <v>2812</v>
      </c>
      <c r="F3" s="3253" t="s">
        <v>2867</v>
      </c>
      <c r="G3" s="3253" t="s">
        <v>2630</v>
      </c>
    </row>
    <row r="4" spans="1:7" ht="1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7"/>
  </cols>
  <sheetData>
    <row r="1" spans="1:6">
      <c r="A1" s="3830" t="s">
        <v>3231</v>
      </c>
      <c r="B1" s="3830"/>
      <c r="C1" s="3830"/>
      <c r="D1" s="3830"/>
      <c r="E1" s="3830"/>
      <c r="F1" s="3831"/>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F54" sqref="F54"/>
    </sheetView>
  </sheetViews>
  <sheetFormatPr defaultRowHeight="14.4"/>
  <cols>
    <col min="1" max="1" width="13.88671875" customWidth="1"/>
    <col min="11" max="17" width="0" hidden="1" customWidth="1"/>
    <col min="25" max="30" width="0" hidden="1" customWidth="1"/>
  </cols>
  <sheetData>
    <row r="1" spans="1:30">
      <c r="A1" s="3218">
        <f>基准地价修正!G23</f>
        <v>45699</v>
      </c>
      <c r="B1" s="3207" t="s">
        <v>3379</v>
      </c>
      <c r="C1" s="3208"/>
      <c r="D1" s="3208"/>
      <c r="E1" s="3208"/>
      <c r="F1" s="3208"/>
      <c r="G1" s="3208"/>
      <c r="H1" s="3208"/>
      <c r="I1" s="3208"/>
      <c r="J1" s="3162"/>
      <c r="K1" s="3208" t="s">
        <v>454</v>
      </c>
      <c r="L1" s="3208"/>
      <c r="M1" s="3208"/>
      <c r="N1" s="3208"/>
      <c r="O1" s="3208"/>
      <c r="P1" s="3208"/>
      <c r="Q1" s="3162"/>
      <c r="R1" s="3832" t="s">
        <v>456</v>
      </c>
      <c r="S1" s="3833"/>
      <c r="T1" s="3833"/>
      <c r="U1" s="3833"/>
      <c r="V1" s="3833"/>
      <c r="W1" s="3833"/>
      <c r="X1" s="3162"/>
      <c r="Y1" s="3832" t="s">
        <v>457</v>
      </c>
      <c r="Z1" s="3833"/>
      <c r="AA1" s="3833"/>
      <c r="AB1" s="3833"/>
      <c r="AC1" s="3833"/>
      <c r="AD1" s="3833"/>
    </row>
    <row r="2" spans="1:30" s="3140" customFormat="1" ht="1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3.2">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2">
      <c r="A5" s="2202" t="s">
        <v>3375</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3.2">
      <c r="A6" s="3183" t="s">
        <v>3384</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3.2">
      <c r="A7" s="2202" t="s">
        <v>3383</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3.2">
      <c r="A8" s="3173" t="s">
        <v>3376</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3.2">
      <c r="A9" s="3173" t="s">
        <v>3374</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3.2">
      <c r="A10" s="3173" t="s">
        <v>3370</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3.2">
      <c r="A11" s="3173" t="s">
        <v>3369</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3.2">
      <c r="A12" s="3173" t="s">
        <v>3367</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3.2">
      <c r="A13" s="3173" t="s">
        <v>3366</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3.2">
      <c r="A14" s="3173" t="s">
        <v>3365</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3.2">
      <c r="A15" s="3173" t="s">
        <v>3363</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3.2">
      <c r="A16" s="3173" t="s">
        <v>3354</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3.2">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3.2">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3.2">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3.2">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ht="13.8"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5" thickTop="1"/>
    <row r="23" spans="1:30" s="3006" customFormat="1">
      <c r="A23" s="3445" t="s">
        <v>3382</v>
      </c>
    </row>
    <row r="24" spans="1:30" s="3006" customFormat="1">
      <c r="I24" s="3205" t="s">
        <v>2824</v>
      </c>
    </row>
    <row r="25" spans="1:30" s="3006" customFormat="1"/>
    <row r="26" spans="1:30" s="3206" customFormat="1" ht="13.2">
      <c r="B26" s="3207" t="s">
        <v>3380</v>
      </c>
      <c r="C26" s="3208"/>
      <c r="D26" s="3208"/>
      <c r="E26" s="3208"/>
      <c r="F26" s="3208"/>
      <c r="G26" s="3208"/>
      <c r="H26" s="3208"/>
      <c r="I26" s="3208"/>
      <c r="J26" s="3162"/>
      <c r="K26" s="3208" t="s">
        <v>2825</v>
      </c>
      <c r="L26" s="3208"/>
      <c r="M26" s="3208"/>
      <c r="N26" s="3208"/>
      <c r="O26" s="3208"/>
      <c r="P26" s="3208"/>
      <c r="Q26" s="3162"/>
      <c r="R26" s="3832" t="s">
        <v>2826</v>
      </c>
      <c r="S26" s="3833"/>
      <c r="T26" s="3833"/>
      <c r="U26" s="3833"/>
      <c r="V26" s="3833"/>
      <c r="W26" s="3833"/>
      <c r="X26" s="3162"/>
      <c r="Y26" s="3832" t="s">
        <v>2827</v>
      </c>
      <c r="Z26" s="3833"/>
      <c r="AA26" s="3833"/>
      <c r="AB26" s="3833"/>
      <c r="AC26" s="3833"/>
      <c r="AD26" s="3833"/>
    </row>
    <row r="27" spans="1:30" s="3140" customFormat="1" ht="1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3.2">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3.2">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3.2">
      <c r="A30" s="2202" t="s">
        <v>3375</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3.2">
      <c r="A31" s="3183" t="s">
        <v>3377</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3.2">
      <c r="A32" s="2202" t="s">
        <v>3372</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3.2">
      <c r="A33" s="3173" t="s">
        <v>3378</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3.2">
      <c r="A34" s="3173" t="s">
        <v>3373</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3.2">
      <c r="A35" s="3173" t="s">
        <v>3371</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3.2">
      <c r="A36" s="3173" t="s">
        <v>3369</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3.2">
      <c r="A37" s="3173" t="s">
        <v>3368</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3.2">
      <c r="A38" s="3173" t="s">
        <v>3366</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3.2">
      <c r="A39" s="3173" t="s">
        <v>3365</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3.2">
      <c r="A40" s="3173" t="s">
        <v>3364</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3.2">
      <c r="A41" s="3173" t="s">
        <v>3354</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3.2">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3.2">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3.2">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3.2">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ht="13.8"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5" thickTop="1"/>
    <row r="48" spans="1:30">
      <c r="A48" s="3445"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F54" sqref="F54"/>
    </sheetView>
  </sheetViews>
  <sheetFormatPr defaultColWidth="9" defaultRowHeight="13.2"/>
  <cols>
    <col min="1" max="1" width="9" style="2189"/>
    <col min="2" max="6" width="9" style="2189" customWidth="1"/>
    <col min="7" max="7" width="9" style="2227"/>
    <col min="8" max="8" width="9" style="2189"/>
    <col min="9" max="12" width="9" style="2189" customWidth="1"/>
    <col min="13" max="13" width="2.21875" style="2189" customWidth="1"/>
    <col min="14" max="14" width="9" style="2227" customWidth="1"/>
    <col min="15" max="17" width="9" style="2189" customWidth="1"/>
    <col min="18" max="18" width="2.33203125" style="2189" customWidth="1"/>
    <col min="19" max="19" width="7.109375" style="2227" customWidth="1"/>
    <col min="20" max="22" width="7.109375" style="2189" customWidth="1"/>
    <col min="23" max="23" width="24.21875" style="2189" customWidth="1"/>
    <col min="24" max="25" width="9" style="2189"/>
    <col min="26" max="27" width="11.6640625" style="2189" customWidth="1"/>
    <col min="28" max="28" width="9" style="2189"/>
    <col min="29" max="29" width="2" style="2189" customWidth="1"/>
    <col min="30" max="16384" width="9" style="2189"/>
  </cols>
  <sheetData>
    <row r="1" spans="1:34" s="2168" customFormat="1">
      <c r="B1" s="3839" t="s">
        <v>452</v>
      </c>
      <c r="C1" s="3839"/>
      <c r="D1" s="3839"/>
      <c r="E1" s="3839"/>
      <c r="F1" s="3839"/>
      <c r="G1" s="3835" t="s">
        <v>453</v>
      </c>
      <c r="H1" s="3835"/>
      <c r="I1" s="3835"/>
      <c r="J1" s="3835"/>
      <c r="K1" s="3835"/>
      <c r="L1" s="3835"/>
      <c r="N1" s="3835" t="s">
        <v>454</v>
      </c>
      <c r="O1" s="3835"/>
      <c r="P1" s="3835"/>
      <c r="Q1" s="3835"/>
      <c r="S1" s="3835" t="s">
        <v>455</v>
      </c>
      <c r="T1" s="3835"/>
      <c r="U1" s="3835"/>
      <c r="V1" s="3835"/>
      <c r="X1" s="3834" t="s">
        <v>456</v>
      </c>
      <c r="Y1" s="3835"/>
      <c r="Z1" s="3835"/>
      <c r="AA1" s="3835"/>
      <c r="AB1" s="3835"/>
      <c r="AD1" s="3834" t="s">
        <v>457</v>
      </c>
      <c r="AE1" s="3835"/>
      <c r="AF1" s="3835"/>
      <c r="AG1" s="3835"/>
      <c r="AH1" s="3835"/>
    </row>
    <row r="2" spans="1:34" s="2169" customFormat="1" ht="1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4">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4">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2308</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2307</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8"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8"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37">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37"/>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37"/>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44"/>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40">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37"/>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37"/>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44"/>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40">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37"/>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37"/>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8"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38"/>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8" thickBot="1">
      <c r="A33" s="2202" t="s">
        <v>124</v>
      </c>
      <c r="B33" s="2217">
        <v>333</v>
      </c>
      <c r="C33" s="2217">
        <v>277</v>
      </c>
      <c r="D33" s="2217">
        <f t="shared" si="246"/>
        <v>277</v>
      </c>
      <c r="E33" s="2217">
        <v>459</v>
      </c>
      <c r="F33" s="2218">
        <v>249</v>
      </c>
      <c r="G33" s="3836">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37"/>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37"/>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38"/>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8" thickBot="1">
      <c r="A37" s="2202" t="s">
        <v>120</v>
      </c>
      <c r="B37" s="2231">
        <v>318</v>
      </c>
      <c r="C37" s="2231">
        <v>268</v>
      </c>
      <c r="D37" s="2231">
        <f t="shared" si="246"/>
        <v>268</v>
      </c>
      <c r="E37" s="2231">
        <v>437</v>
      </c>
      <c r="F37" s="2232">
        <v>237</v>
      </c>
      <c r="G37" s="3836">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37"/>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8"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37"/>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8"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38"/>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8" thickBot="1">
      <c r="A41" s="2202" t="s">
        <v>465</v>
      </c>
      <c r="B41" s="2217">
        <v>299</v>
      </c>
      <c r="C41" s="2217">
        <v>252</v>
      </c>
      <c r="D41" s="2217">
        <f t="shared" si="246"/>
        <v>252</v>
      </c>
      <c r="E41" s="2217">
        <v>409</v>
      </c>
      <c r="F41" s="2218">
        <v>227</v>
      </c>
      <c r="G41" s="3841">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42"/>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42"/>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43"/>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8" thickBot="1">
      <c r="A45" s="2202" t="s">
        <v>469</v>
      </c>
      <c r="B45" s="2252">
        <v>278</v>
      </c>
      <c r="C45" s="2252">
        <v>234</v>
      </c>
      <c r="D45" s="2252">
        <f t="shared" si="246"/>
        <v>234</v>
      </c>
      <c r="E45" s="2252">
        <v>379</v>
      </c>
      <c r="F45" s="2253">
        <v>220</v>
      </c>
      <c r="G45" s="3836">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37"/>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37"/>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8" thickBot="1">
      <c r="A48" s="2202" t="s">
        <v>472</v>
      </c>
      <c r="B48" s="2203">
        <f>B47/(1+N47)</f>
        <v>275.19025476197027</v>
      </c>
      <c r="C48" s="2254">
        <v>232</v>
      </c>
      <c r="D48" s="2254">
        <f t="shared" si="246"/>
        <v>232</v>
      </c>
      <c r="E48" s="2203">
        <f t="shared" si="257"/>
        <v>375.65990977608692</v>
      </c>
      <c r="F48" s="2203">
        <f t="shared" si="257"/>
        <v>214.12518283971252</v>
      </c>
      <c r="G48" s="3838"/>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8" thickBot="1">
      <c r="A49" s="2202" t="s">
        <v>473</v>
      </c>
      <c r="B49" s="2217">
        <v>275</v>
      </c>
      <c r="C49" s="2217">
        <v>232</v>
      </c>
      <c r="D49" s="2217">
        <f t="shared" si="246"/>
        <v>232</v>
      </c>
      <c r="E49" s="2217">
        <v>376</v>
      </c>
      <c r="F49" s="2218">
        <v>213</v>
      </c>
      <c r="G49" s="3836">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37">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37">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8"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38">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8" thickBot="1">
      <c r="A53" s="2202" t="s">
        <v>477</v>
      </c>
      <c r="B53" s="2217">
        <v>269</v>
      </c>
      <c r="C53" s="2217">
        <v>221</v>
      </c>
      <c r="D53" s="2217">
        <f t="shared" si="246"/>
        <v>221</v>
      </c>
      <c r="E53" s="2217">
        <v>373</v>
      </c>
      <c r="F53" s="2218">
        <v>196</v>
      </c>
      <c r="G53" s="3836">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37">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37">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8"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38">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8" thickBot="1">
      <c r="A57" s="2202" t="s">
        <v>481</v>
      </c>
      <c r="B57" s="2217">
        <v>220</v>
      </c>
      <c r="C57" s="2217">
        <v>187</v>
      </c>
      <c r="D57" s="2217">
        <f t="shared" si="246"/>
        <v>187</v>
      </c>
      <c r="E57" s="2217">
        <v>301</v>
      </c>
      <c r="F57" s="2218">
        <v>168</v>
      </c>
      <c r="G57" s="3836">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37">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37">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38">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8" thickBot="1">
      <c r="A61" s="2202" t="s">
        <v>485</v>
      </c>
      <c r="B61" s="2252">
        <v>214</v>
      </c>
      <c r="C61" s="2252">
        <v>188</v>
      </c>
      <c r="D61" s="2252">
        <f t="shared" si="246"/>
        <v>188</v>
      </c>
      <c r="E61" s="2252">
        <v>289</v>
      </c>
      <c r="F61" s="2253">
        <v>166</v>
      </c>
      <c r="G61" s="3836">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37">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37">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8"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38">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8" thickBot="1">
      <c r="A65" s="2202" t="s">
        <v>489</v>
      </c>
      <c r="B65" s="2217">
        <v>188</v>
      </c>
      <c r="C65" s="2217">
        <v>165</v>
      </c>
      <c r="D65" s="2217">
        <f t="shared" si="246"/>
        <v>165</v>
      </c>
      <c r="E65" s="2217">
        <v>254</v>
      </c>
      <c r="F65" s="2218">
        <v>148</v>
      </c>
      <c r="G65" s="3836">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37">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37">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38">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8" thickBot="1">
      <c r="A69" s="2202" t="s">
        <v>493</v>
      </c>
      <c r="B69" s="2231">
        <v>159</v>
      </c>
      <c r="C69" s="2231">
        <v>141</v>
      </c>
      <c r="D69" s="2231">
        <f t="shared" si="246"/>
        <v>141</v>
      </c>
      <c r="E69" s="2231">
        <v>195</v>
      </c>
      <c r="F69" s="2232">
        <v>122</v>
      </c>
      <c r="G69" s="3836">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37">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37">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38">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8" thickBot="1">
      <c r="A73" s="2202" t="s">
        <v>497</v>
      </c>
      <c r="B73" s="2231">
        <v>138</v>
      </c>
      <c r="C73" s="2231">
        <v>131</v>
      </c>
      <c r="D73" s="2231">
        <f t="shared" si="246"/>
        <v>131</v>
      </c>
      <c r="E73" s="2231">
        <v>155</v>
      </c>
      <c r="F73" s="2232">
        <v>114</v>
      </c>
      <c r="G73" s="3836">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37">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37">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38">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8" thickBot="1">
      <c r="A77" s="2202" t="s">
        <v>501</v>
      </c>
      <c r="B77" s="2252">
        <v>121</v>
      </c>
      <c r="C77" s="2252">
        <v>122</v>
      </c>
      <c r="D77" s="2252">
        <f t="shared" si="246"/>
        <v>122</v>
      </c>
      <c r="E77" s="2252">
        <v>124</v>
      </c>
      <c r="F77" s="2253">
        <v>107</v>
      </c>
      <c r="G77" s="3836">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37">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37">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8"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38">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8" thickBot="1">
      <c r="A81" s="2202" t="s">
        <v>505</v>
      </c>
      <c r="B81" s="2272">
        <v>111</v>
      </c>
      <c r="C81" s="2272">
        <v>114</v>
      </c>
      <c r="D81" s="2272">
        <f t="shared" si="246"/>
        <v>114</v>
      </c>
      <c r="E81" s="2272">
        <v>108</v>
      </c>
      <c r="F81" s="2273">
        <v>104</v>
      </c>
      <c r="G81" s="3836">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37">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37">
        <v>2003</v>
      </c>
      <c r="H83" s="2215">
        <v>2</v>
      </c>
      <c r="I83" s="2274"/>
      <c r="J83" s="2274"/>
      <c r="K83" s="2274"/>
      <c r="L83" s="2274"/>
      <c r="X83" s="2266"/>
      <c r="Y83" s="2266"/>
      <c r="Z83" s="2266"/>
    </row>
    <row r="84" spans="1:26" ht="13.8" thickBot="1">
      <c r="A84" s="2202" t="s">
        <v>508</v>
      </c>
      <c r="B84" s="2276">
        <f t="shared" si="282"/>
        <v>107.25</v>
      </c>
      <c r="C84" s="2276">
        <f t="shared" si="282"/>
        <v>108.75</v>
      </c>
      <c r="D84" s="2276">
        <f t="shared" si="246"/>
        <v>108.75</v>
      </c>
      <c r="E84" s="2276">
        <f t="shared" si="283"/>
        <v>105.75</v>
      </c>
      <c r="F84" s="2276">
        <f t="shared" si="283"/>
        <v>102.5</v>
      </c>
      <c r="G84" s="3838">
        <v>2003</v>
      </c>
      <c r="H84" s="2277">
        <v>1</v>
      </c>
      <c r="I84" s="2274"/>
      <c r="J84" s="2274"/>
      <c r="K84" s="2274"/>
      <c r="L84" s="2274"/>
      <c r="S84" s="2205"/>
      <c r="T84" s="2190"/>
      <c r="U84" s="2190"/>
      <c r="X84" s="2266"/>
      <c r="Y84" s="2266"/>
      <c r="Z84" s="2266"/>
    </row>
    <row r="85" spans="1:26" ht="13.8" thickBot="1">
      <c r="A85" s="2202" t="s">
        <v>509</v>
      </c>
      <c r="B85" s="2278">
        <v>106</v>
      </c>
      <c r="C85" s="2278">
        <v>107</v>
      </c>
      <c r="D85" s="2278">
        <f t="shared" si="246"/>
        <v>107</v>
      </c>
      <c r="E85" s="2278">
        <v>105</v>
      </c>
      <c r="F85" s="2279">
        <v>102</v>
      </c>
      <c r="G85" s="3836">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37">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37">
        <v>2002</v>
      </c>
      <c r="H87" s="2215">
        <v>2</v>
      </c>
      <c r="I87" s="2274"/>
      <c r="J87" s="2274"/>
      <c r="K87" s="2274"/>
      <c r="L87" s="2274"/>
      <c r="X87" s="2266"/>
      <c r="Y87" s="2266"/>
      <c r="Z87" s="2266"/>
    </row>
    <row r="88" spans="1:26" s="2239" customFormat="1" ht="13.8" thickBot="1">
      <c r="A88" s="2235" t="s">
        <v>512</v>
      </c>
      <c r="B88" s="2242">
        <f t="shared" si="284"/>
        <v>103</v>
      </c>
      <c r="C88" s="2242">
        <f t="shared" si="284"/>
        <v>104</v>
      </c>
      <c r="D88" s="2242">
        <f t="shared" si="246"/>
        <v>104</v>
      </c>
      <c r="E88" s="2242">
        <f t="shared" si="285"/>
        <v>103.5</v>
      </c>
      <c r="F88" s="2242">
        <f t="shared" si="285"/>
        <v>100.5</v>
      </c>
      <c r="G88" s="3838">
        <v>2002</v>
      </c>
      <c r="H88" s="2280">
        <v>1</v>
      </c>
      <c r="I88" s="2281"/>
      <c r="J88" s="2281"/>
      <c r="K88" s="2281"/>
      <c r="L88" s="2281"/>
      <c r="N88" s="2282"/>
      <c r="S88" s="2282"/>
      <c r="X88" s="2283"/>
      <c r="Y88" s="2283"/>
      <c r="Z88" s="2283"/>
    </row>
    <row r="89" spans="1:26" ht="13.8"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8"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8"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17" t="str">
        <f>IF(项目基本情况!B9="房地产市场价值","估价结果一览表","结果表-2")</f>
        <v>估价结果一览表</v>
      </c>
      <c r="B1" s="3517"/>
      <c r="C1" s="3517"/>
      <c r="D1" s="3517"/>
      <c r="E1" s="3517"/>
      <c r="F1" s="3517"/>
      <c r="G1" s="3517"/>
      <c r="H1" s="3517"/>
      <c r="I1" s="3517"/>
    </row>
    <row r="2" spans="1:9" ht="30" customHeight="1" thickTop="1">
      <c r="A2" s="3518" t="s">
        <v>928</v>
      </c>
      <c r="B2" s="3518" t="s">
        <v>929</v>
      </c>
      <c r="C2" s="3518" t="s">
        <v>930</v>
      </c>
      <c r="D2" s="3518" t="str">
        <f>结果表!D116</f>
        <v>出让国有建设用地使用权价值</v>
      </c>
      <c r="E2" s="3518"/>
      <c r="F2" s="3518" t="str">
        <f>结果表!F116</f>
        <v>在建建筑物价值</v>
      </c>
      <c r="G2" s="3518"/>
      <c r="H2" s="3518" t="str">
        <f>IF(项目基本情况!B9="房地产市场价值","房地产市场价值","房地产价值")</f>
        <v>房地产市场价值</v>
      </c>
      <c r="I2" s="3518"/>
    </row>
    <row r="3" spans="1:9" ht="15.6">
      <c r="A3" s="3519"/>
      <c r="B3" s="3519"/>
      <c r="C3" s="3519"/>
      <c r="D3" s="854" t="s">
        <v>925</v>
      </c>
      <c r="E3" s="854" t="s">
        <v>931</v>
      </c>
      <c r="F3" s="854" t="s">
        <v>925</v>
      </c>
      <c r="G3" s="854" t="s">
        <v>926</v>
      </c>
      <c r="H3" s="854" t="s">
        <v>925</v>
      </c>
      <c r="I3" s="854" t="s">
        <v>926</v>
      </c>
    </row>
    <row r="4" spans="1:9" ht="15">
      <c r="A4" s="1505" t="str">
        <f>项目基本情况!S2</f>
        <v>北京市房地产</v>
      </c>
      <c r="B4" s="854">
        <f>项目基本情况!C17</f>
        <v>64.67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9" t="s">
        <v>927</v>
      </c>
      <c r="B5" s="3519"/>
      <c r="C5" s="3519"/>
      <c r="D5" s="3519" t="e">
        <f ca="1">结果表!D119</f>
        <v>#REF!</v>
      </c>
      <c r="E5" s="3519"/>
      <c r="F5" s="3519" t="e">
        <f ca="1">结果表!F119</f>
        <v>#REF!</v>
      </c>
      <c r="G5" s="3519"/>
      <c r="H5" s="3519" t="e">
        <f ca="1">结果表!H119</f>
        <v>#REF!</v>
      </c>
      <c r="I5" s="3519"/>
    </row>
    <row r="6" spans="1:9" ht="15.6">
      <c r="A6" s="3520" t="str">
        <f>结果表!A120</f>
        <v/>
      </c>
      <c r="B6" s="3520"/>
      <c r="C6" s="3520"/>
      <c r="D6" s="3520">
        <f>结果表!D120</f>
        <v>0</v>
      </c>
      <c r="E6" s="3520"/>
      <c r="F6" s="3520"/>
      <c r="G6" s="3520"/>
      <c r="H6" s="3520"/>
      <c r="I6" s="3520"/>
    </row>
    <row r="7" spans="1:9" ht="15">
      <c r="A7" s="3519" t="s">
        <v>927</v>
      </c>
      <c r="B7" s="3519"/>
      <c r="C7" s="3519"/>
      <c r="D7" s="3521" t="str">
        <f>结果表!D121</f>
        <v>零元整</v>
      </c>
      <c r="E7" s="3522"/>
      <c r="F7" s="3522"/>
      <c r="G7" s="3522"/>
      <c r="H7" s="3522"/>
      <c r="I7" s="3523"/>
    </row>
    <row r="8" spans="1:9" ht="15.6">
      <c r="A8" s="3520" t="str">
        <f>结果表!A122</f>
        <v/>
      </c>
      <c r="B8" s="3520"/>
      <c r="C8" s="3520"/>
      <c r="D8" s="3520" t="e">
        <f ca="1">结果表!D122</f>
        <v>#REF!</v>
      </c>
      <c r="E8" s="3520"/>
      <c r="F8" s="3520"/>
      <c r="G8" s="3520"/>
      <c r="H8" s="3520"/>
      <c r="I8" s="3520"/>
    </row>
    <row r="9" spans="1:9" ht="15">
      <c r="A9" s="3519" t="s">
        <v>927</v>
      </c>
      <c r="B9" s="3519"/>
      <c r="C9" s="3519"/>
      <c r="D9" s="3519" t="e">
        <f ca="1">结果表!D123</f>
        <v>#REF!</v>
      </c>
      <c r="E9" s="3519"/>
      <c r="F9" s="3519"/>
      <c r="G9" s="3519"/>
      <c r="H9" s="3519"/>
      <c r="I9" s="3519"/>
    </row>
    <row r="10" spans="1:9" ht="15.6">
      <c r="A10" s="3520" t="str">
        <f>结果表!A124</f>
        <v/>
      </c>
      <c r="B10" s="3520"/>
      <c r="C10" s="3520"/>
      <c r="D10" s="3520" t="str">
        <f>结果表!D124</f>
        <v>——</v>
      </c>
      <c r="E10" s="3520"/>
      <c r="F10" s="3520"/>
      <c r="G10" s="3520"/>
      <c r="H10" s="3520"/>
      <c r="I10" s="3520"/>
    </row>
    <row r="11" spans="1:9" ht="15">
      <c r="A11" s="3519" t="s">
        <v>927</v>
      </c>
      <c r="B11" s="3519"/>
      <c r="C11" s="3519"/>
      <c r="D11" s="3519" t="e">
        <f>结果表!D125</f>
        <v>#VALUE!</v>
      </c>
      <c r="E11" s="3519"/>
      <c r="F11" s="3519"/>
      <c r="G11" s="3519"/>
      <c r="H11" s="3519"/>
      <c r="I11" s="3519"/>
    </row>
    <row r="12" spans="1:9" ht="15.6">
      <c r="A12" s="3520" t="str">
        <f>结果表!A126</f>
        <v/>
      </c>
      <c r="B12" s="3520"/>
      <c r="C12" s="3520"/>
      <c r="D12" s="3520" t="str">
        <f>结果表!D126</f>
        <v>——</v>
      </c>
      <c r="E12" s="3520"/>
      <c r="F12" s="3520"/>
      <c r="G12" s="3520"/>
      <c r="H12" s="3520"/>
      <c r="I12" s="3520"/>
    </row>
    <row r="13" spans="1:9" ht="15.6" thickBot="1">
      <c r="A13" s="3524" t="s">
        <v>927</v>
      </c>
      <c r="B13" s="3524"/>
      <c r="C13" s="3524"/>
      <c r="D13" s="3524" t="e">
        <f>结果表!D127</f>
        <v>#VALUE!</v>
      </c>
      <c r="E13" s="3524"/>
      <c r="F13" s="3524"/>
      <c r="G13" s="3524"/>
      <c r="H13" s="3524"/>
      <c r="I13" s="3524"/>
    </row>
    <row r="14" spans="1:9" ht="14.4" thickTop="1">
      <c r="A14" s="3525" t="s">
        <v>932</v>
      </c>
      <c r="B14" s="3525"/>
      <c r="C14" s="3525"/>
      <c r="D14" s="3525"/>
      <c r="E14" s="3525"/>
      <c r="F14" s="3525"/>
      <c r="G14" s="3525"/>
      <c r="H14" s="3525"/>
      <c r="I14" s="352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F54" sqref="F5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45699</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8">
        <v>45586</v>
      </c>
      <c r="D13" s="2819">
        <v>3.1</v>
      </c>
      <c r="E13" s="2819">
        <f>D13</f>
        <v>3.1</v>
      </c>
      <c r="F13" s="2819">
        <f>D13</f>
        <v>3.1</v>
      </c>
      <c r="G13" s="2819">
        <f>D13</f>
        <v>3.1</v>
      </c>
      <c r="H13" s="2819">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3"/>
      <c r="C14" s="2815">
        <v>45495</v>
      </c>
      <c r="D14" s="2814">
        <v>3.35</v>
      </c>
      <c r="E14" s="2814">
        <f>D14</f>
        <v>3.35</v>
      </c>
      <c r="F14" s="2814">
        <f>D14</f>
        <v>3.35</v>
      </c>
      <c r="G14" s="2814">
        <f>D14</f>
        <v>3.35</v>
      </c>
      <c r="H14" s="2814">
        <v>3.85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3"/>
      <c r="C15" s="2815">
        <v>45342</v>
      </c>
      <c r="D15" s="2814">
        <v>3.45</v>
      </c>
      <c r="E15" s="2814">
        <f>D15</f>
        <v>3.45</v>
      </c>
      <c r="F15" s="2814">
        <f>D15</f>
        <v>3.45</v>
      </c>
      <c r="G15" s="2814">
        <f>D15</f>
        <v>3.45</v>
      </c>
      <c r="H15" s="2814">
        <v>3.95</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3"/>
      <c r="C16" s="2815">
        <v>45159</v>
      </c>
      <c r="D16" s="2814">
        <v>3.45</v>
      </c>
      <c r="E16" s="2814">
        <f>D16</f>
        <v>3.45</v>
      </c>
      <c r="F16" s="2814">
        <f>D16</f>
        <v>3.45</v>
      </c>
      <c r="G16" s="2814">
        <f>D16</f>
        <v>3.45</v>
      </c>
      <c r="H16" s="2814">
        <v>4.2</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3"/>
      <c r="C17" s="2815">
        <v>45097</v>
      </c>
      <c r="D17" s="2814">
        <v>3.55</v>
      </c>
      <c r="E17" s="2814">
        <f>D17</f>
        <v>3.55</v>
      </c>
      <c r="F17" s="2814">
        <f>D17</f>
        <v>3.55</v>
      </c>
      <c r="G17" s="2814">
        <f>D17</f>
        <v>3.55</v>
      </c>
      <c r="H17" s="2814">
        <v>4.2</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4"/>
      <c r="B19" s="2813"/>
      <c r="C19" s="2815">
        <v>44701</v>
      </c>
      <c r="D19" s="2814">
        <v>3.7</v>
      </c>
      <c r="E19" s="2814">
        <f>D19</f>
        <v>3.7</v>
      </c>
      <c r="F19" s="2814">
        <f>D19</f>
        <v>3.7</v>
      </c>
      <c r="G19" s="2814">
        <f>D19</f>
        <v>3.7</v>
      </c>
      <c r="H19" s="2814">
        <v>4.45</v>
      </c>
      <c r="I19" s="2819"/>
      <c r="J19" s="281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3"/>
      <c r="C20" s="2815">
        <v>44581</v>
      </c>
      <c r="D20" s="2814">
        <v>3.7</v>
      </c>
      <c r="E20" s="2814">
        <f>D20</f>
        <v>3.7</v>
      </c>
      <c r="F20" s="2814">
        <f>D20</f>
        <v>3.7</v>
      </c>
      <c r="G20" s="2814">
        <f>D20</f>
        <v>3.7</v>
      </c>
      <c r="H20" s="2814">
        <v>4.5999999999999996</v>
      </c>
      <c r="I20" s="2819"/>
      <c r="J20" s="281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4"/>
      <c r="C21" s="2815">
        <v>44550</v>
      </c>
      <c r="D21" s="2814">
        <v>3.8</v>
      </c>
      <c r="E21" s="2814">
        <f>D21</f>
        <v>3.8</v>
      </c>
      <c r="F21" s="2814">
        <f>D21</f>
        <v>3.8</v>
      </c>
      <c r="G21" s="2814">
        <f>D21</f>
        <v>3.8</v>
      </c>
      <c r="H21" s="2814">
        <v>4.6500000000000004</v>
      </c>
      <c r="I21" s="2814"/>
      <c r="J21" s="281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4"/>
      <c r="C22" s="2815">
        <v>43941</v>
      </c>
      <c r="D22" s="2814">
        <v>3.85</v>
      </c>
      <c r="E22" s="2814">
        <v>3.85</v>
      </c>
      <c r="F22" s="2814">
        <v>3.85</v>
      </c>
      <c r="G22" s="2814">
        <v>3.85</v>
      </c>
      <c r="H22" s="2814">
        <v>4.6500000000000004</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0"/>
      <c r="B23" s="2814"/>
      <c r="C23" s="2815">
        <v>43881</v>
      </c>
      <c r="D23" s="2814">
        <v>4.05</v>
      </c>
      <c r="E23" s="2814">
        <v>4.05</v>
      </c>
      <c r="F23" s="2814">
        <v>4.05</v>
      </c>
      <c r="G23" s="2814">
        <v>4.05</v>
      </c>
      <c r="H23" s="2814">
        <v>4.75</v>
      </c>
      <c r="I23" s="2814"/>
      <c r="J23" s="281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4"/>
      <c r="C24" s="2815">
        <v>43789</v>
      </c>
      <c r="D24" s="2814">
        <v>4.1500000000000004</v>
      </c>
      <c r="E24" s="2814">
        <v>4.1500000000000004</v>
      </c>
      <c r="F24" s="2814">
        <v>4.1500000000000004</v>
      </c>
      <c r="G24" s="2814">
        <v>4.1500000000000004</v>
      </c>
      <c r="H24" s="2814">
        <v>4.8</v>
      </c>
      <c r="I24" s="2814"/>
      <c r="J24" s="281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4"/>
      <c r="C25" s="2815">
        <v>43728</v>
      </c>
      <c r="D25" s="2814">
        <v>4.2</v>
      </c>
      <c r="E25" s="2814">
        <v>4.2</v>
      </c>
      <c r="F25" s="2814">
        <v>4.2</v>
      </c>
      <c r="G25" s="2814">
        <v>4.2</v>
      </c>
      <c r="H25" s="2814">
        <v>4.8499999999999996</v>
      </c>
      <c r="I25" s="2814"/>
      <c r="J25" s="2814"/>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3" t="s">
        <v>2309</v>
      </c>
      <c r="C26" s="2816">
        <v>43697</v>
      </c>
      <c r="D26" s="2817">
        <v>4.25</v>
      </c>
      <c r="E26" s="2817">
        <v>4.25</v>
      </c>
      <c r="F26" s="2817">
        <v>4.25</v>
      </c>
      <c r="G26" s="2817">
        <v>4.25</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1"/>
      <c r="C27" s="2822">
        <v>42301</v>
      </c>
      <c r="D27" s="2823">
        <v>4.3499999999999996</v>
      </c>
      <c r="E27" s="2823">
        <v>4.3499999999999996</v>
      </c>
      <c r="F27" s="2823">
        <v>4.75</v>
      </c>
      <c r="G27" s="2823">
        <v>4.75</v>
      </c>
      <c r="H27" s="2823">
        <v>4.9000000000000004</v>
      </c>
      <c r="I27" s="2823"/>
      <c r="J27" s="2823"/>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26" t="s">
        <v>949</v>
      </c>
      <c r="B1" s="3526"/>
      <c r="C1" s="3526"/>
      <c r="D1" s="3526"/>
    </row>
    <row r="2" spans="1:4" ht="17.399999999999999">
      <c r="A2" s="3527" t="s">
        <v>933</v>
      </c>
      <c r="B2" s="3527"/>
      <c r="C2" s="3527"/>
      <c r="D2" s="3527"/>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27" t="s">
        <v>939</v>
      </c>
      <c r="B6" s="3527"/>
      <c r="C6" s="3527"/>
      <c r="D6" s="352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28" t="s">
        <v>942</v>
      </c>
      <c r="B11" s="3529"/>
      <c r="C11" s="3529"/>
      <c r="D11" s="3529"/>
    </row>
    <row r="12" spans="1:4" ht="15.6">
      <c r="A12" s="35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0"/>
      <c r="C12" s="3530"/>
      <c r="D12" s="3530"/>
    </row>
    <row r="13" spans="1:4" ht="30" customHeight="1">
      <c r="A13" s="3529" t="str">
        <f>IF(项目基本情况!B8="抵押","3.抵押双方在办理抵押登记手续时，应使用本公司出具的正式《房地产评估报告》，特提醒报告使用者注意。","——")</f>
        <v>——</v>
      </c>
      <c r="B13" s="3530"/>
      <c r="C13" s="3530"/>
      <c r="D13" s="3530"/>
    </row>
    <row r="14" spans="1:4" ht="15.75" customHeight="1">
      <c r="A14" s="3529" t="str">
        <f>IF(项目基本情况!B8="抵押","4.本次评估估价师所知悉的法定优先受偿款情况说明如下：","——")</f>
        <v>——</v>
      </c>
      <c r="B14" s="3530"/>
      <c r="C14" s="3530"/>
      <c r="D14" s="3530"/>
    </row>
    <row r="15" spans="1:4" ht="42" customHeight="1">
      <c r="A15" s="3529" t="str">
        <f>IF(项目基本情况!B8="抵押","（1）"&amp;CONCATENATE(项目基本情况!L20,项目基本情况!L21,项目基本情况!L22),"——")</f>
        <v>——</v>
      </c>
      <c r="B15" s="3529"/>
      <c r="C15" s="3529"/>
      <c r="D15" s="3529"/>
    </row>
    <row r="16" spans="1:4" ht="30" customHeight="1">
      <c r="A16" s="3532" t="s">
        <v>943</v>
      </c>
      <c r="B16" s="3532"/>
      <c r="C16" s="3532"/>
      <c r="D16" s="3532"/>
    </row>
    <row r="17" spans="1:4" ht="144" customHeight="1">
      <c r="A17" s="3532" t="s">
        <v>944</v>
      </c>
      <c r="B17" s="3532"/>
      <c r="C17" s="3532"/>
      <c r="D17" s="3532"/>
    </row>
    <row r="18" spans="1:4" ht="15.75" customHeight="1">
      <c r="A18" s="3529" t="str">
        <f>IF(项目基本情况!B8="抵押",结果表!K120,"——")</f>
        <v>——</v>
      </c>
      <c r="B18" s="3529"/>
      <c r="C18" s="3529"/>
      <c r="D18" s="3529"/>
    </row>
    <row r="19" spans="1:4" ht="46.5" customHeight="1">
      <c r="A19" s="35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9"/>
      <c r="C19" s="3529"/>
      <c r="D19" s="3529"/>
    </row>
    <row r="20" spans="1:4" ht="57.75" customHeight="1">
      <c r="A20" s="35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9"/>
      <c r="C20" s="3529"/>
      <c r="D20" s="3529"/>
    </row>
    <row r="21" spans="1:4" ht="57.75" customHeight="1">
      <c r="A21" s="35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3"/>
      <c r="C21" s="3533"/>
      <c r="D21" s="3533"/>
    </row>
    <row r="22" spans="1:4" ht="18.75" customHeight="1">
      <c r="A22" s="3534" t="s">
        <v>945</v>
      </c>
      <c r="B22" s="3534"/>
      <c r="C22" s="3534"/>
      <c r="D22" s="353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31">
        <v>42551</v>
      </c>
      <c r="D31" s="35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40" t="s">
        <v>956</v>
      </c>
      <c r="B15" s="3535" t="s">
        <v>109</v>
      </c>
      <c r="C15" s="3536"/>
    </row>
    <row r="16" spans="1:7" ht="14.4">
      <c r="A16" s="3541"/>
      <c r="B16" s="3535" t="s">
        <v>42</v>
      </c>
      <c r="C16" s="3536"/>
    </row>
    <row r="17" spans="1:3" ht="14.4">
      <c r="A17" s="3541"/>
      <c r="B17" s="3538" t="s">
        <v>957</v>
      </c>
      <c r="C17" s="1532" t="s">
        <v>956</v>
      </c>
    </row>
    <row r="18" spans="1:3" ht="14.4">
      <c r="A18" s="3541"/>
      <c r="B18" s="3538"/>
      <c r="C18" s="1532" t="s">
        <v>958</v>
      </c>
    </row>
    <row r="19" spans="1:3" ht="14.4">
      <c r="A19" s="3541"/>
      <c r="B19" s="3538"/>
      <c r="C19" s="1532" t="s">
        <v>959</v>
      </c>
    </row>
    <row r="20" spans="1:3" ht="14.4">
      <c r="A20" s="3542"/>
      <c r="B20" s="3537" t="s">
        <v>960</v>
      </c>
      <c r="C20" s="3536"/>
    </row>
    <row r="21" spans="1:3" ht="14.4">
      <c r="A21" s="1533" t="s">
        <v>961</v>
      </c>
      <c r="B21" s="1534"/>
      <c r="C21" s="1535"/>
    </row>
    <row r="22" spans="1:3" ht="14.4">
      <c r="A22" s="3539" t="s">
        <v>962</v>
      </c>
      <c r="B22" s="3537" t="s">
        <v>963</v>
      </c>
      <c r="C22" s="3536"/>
    </row>
    <row r="23" spans="1:3" ht="14.4">
      <c r="A23" s="3539"/>
      <c r="B23" s="3537" t="s">
        <v>964</v>
      </c>
      <c r="C23" s="3536"/>
    </row>
    <row r="24" spans="1:3" ht="14.4">
      <c r="A24" s="3539"/>
      <c r="B24" s="3537" t="s">
        <v>965</v>
      </c>
      <c r="C24" s="3536"/>
    </row>
    <row r="25" spans="1:3" ht="14.4">
      <c r="A25" s="3539"/>
      <c r="B25" s="3538" t="s">
        <v>966</v>
      </c>
      <c r="C25" s="1532" t="s">
        <v>967</v>
      </c>
    </row>
    <row r="26" spans="1:3" ht="14.4">
      <c r="A26" s="3539"/>
      <c r="B26" s="3538"/>
      <c r="C26" s="1532" t="s">
        <v>968</v>
      </c>
    </row>
    <row r="27" spans="1:3" ht="14.4">
      <c r="A27" s="3539"/>
      <c r="B27" s="3538"/>
      <c r="C27" s="1532" t="s">
        <v>969</v>
      </c>
    </row>
    <row r="28" spans="1:3" ht="14.4">
      <c r="A28" s="3539"/>
      <c r="B28" s="3538"/>
      <c r="C28" s="1532" t="s">
        <v>970</v>
      </c>
    </row>
    <row r="29" spans="1:3" ht="14.4">
      <c r="A29" s="3539"/>
      <c r="B29" s="3538"/>
      <c r="C29" s="1532" t="s">
        <v>971</v>
      </c>
    </row>
    <row r="30" spans="1:3" ht="14.4">
      <c r="A30" s="3539"/>
      <c r="B30" s="3538"/>
      <c r="C30" s="1532" t="s">
        <v>972</v>
      </c>
    </row>
    <row r="31" spans="1:3" ht="14.4">
      <c r="A31" s="3539"/>
      <c r="B31" s="3538"/>
      <c r="C31" s="1532" t="s">
        <v>973</v>
      </c>
    </row>
    <row r="32" spans="1:3" ht="14.4">
      <c r="A32" s="3539"/>
      <c r="B32" s="3538"/>
      <c r="C32" s="1532" t="s">
        <v>974</v>
      </c>
    </row>
    <row r="33" spans="1:3" ht="14.4">
      <c r="A33" s="3539"/>
      <c r="B33" s="353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4" customWidth="1"/>
    <col min="2" max="2" width="38.6640625" style="2334" customWidth="1"/>
    <col min="3" max="3" width="26" style="2334" customWidth="1"/>
    <col min="4" max="4" width="35" style="2334" hidden="1" customWidth="1"/>
    <col min="5" max="5" width="30.109375" style="2334" customWidth="1"/>
    <col min="6" max="6" width="35.44140625" style="2334" customWidth="1"/>
    <col min="7" max="7" width="31" style="2334" customWidth="1"/>
    <col min="8" max="8" width="37.44140625" style="2334" hidden="1" customWidth="1"/>
    <col min="9" max="16384" width="22.6640625" style="2334"/>
  </cols>
  <sheetData>
    <row r="1" spans="1:8" ht="24" customHeight="1">
      <c r="A1" s="2333"/>
      <c r="B1" s="2333"/>
      <c r="C1" s="2333"/>
      <c r="D1" s="2333"/>
      <c r="E1" s="2333"/>
      <c r="F1" s="2333"/>
      <c r="G1" s="2333"/>
      <c r="H1" s="2333"/>
    </row>
    <row r="2" spans="1:8" ht="24" customHeight="1">
      <c r="A2" s="2335" t="s">
        <v>2139</v>
      </c>
      <c r="B2" s="2336">
        <f ca="1">TODAY()</f>
        <v>45708</v>
      </c>
      <c r="C2" s="2337" t="s">
        <v>2140</v>
      </c>
      <c r="D2" s="2337"/>
      <c r="E2" s="2337"/>
      <c r="F2" s="2333"/>
      <c r="G2" s="2333"/>
      <c r="H2" s="2333"/>
    </row>
    <row r="3" spans="1:8" ht="24" customHeight="1">
      <c r="A3" s="2338" t="s">
        <v>2141</v>
      </c>
      <c r="B3" s="2339" t="s">
        <v>2142</v>
      </c>
      <c r="C3" s="2339" t="s">
        <v>2143</v>
      </c>
      <c r="D3" s="2340" t="s">
        <v>2144</v>
      </c>
      <c r="E3" s="2341" t="s">
        <v>2145</v>
      </c>
      <c r="F3" s="1304" t="s">
        <v>2146</v>
      </c>
      <c r="G3" s="2339" t="s">
        <v>2143</v>
      </c>
      <c r="H3" s="2340" t="s">
        <v>2147</v>
      </c>
    </row>
    <row r="4" spans="1:8" ht="24" customHeight="1">
      <c r="A4" s="1304" t="s">
        <v>2148</v>
      </c>
      <c r="B4" s="1304">
        <f ca="1">IF(C4&lt;B2,"已过期",1119970066)</f>
        <v>1119970066</v>
      </c>
      <c r="C4" s="2342">
        <v>45937</v>
      </c>
      <c r="D4" s="2343" t="str">
        <f ca="1">A4&amp;"（注册号："&amp;B4&amp;"）"</f>
        <v>梁津（注册号：1119970066）</v>
      </c>
      <c r="E4" s="2344" t="s">
        <v>2148</v>
      </c>
      <c r="F4" s="1304">
        <f ca="1">IF(G4&lt;B2,"已过期",96010014)</f>
        <v>96010014</v>
      </c>
      <c r="G4" s="2345">
        <v>47118</v>
      </c>
      <c r="H4" s="2346" t="str">
        <f ca="1">E4&amp;"（注册号："&amp;F4&amp;"）"</f>
        <v>梁津（注册号：96010014）</v>
      </c>
    </row>
    <row r="5" spans="1:8" ht="24" customHeight="1">
      <c r="A5" s="1304" t="s">
        <v>2149</v>
      </c>
      <c r="B5" s="1304">
        <f ca="1">IF(C5&lt;B2,"已过期",1119970111)</f>
        <v>1119970111</v>
      </c>
      <c r="C5" s="2342">
        <v>45937</v>
      </c>
      <c r="D5" s="2343" t="str">
        <f t="shared" ref="D5:D15" ca="1" si="0">A5&amp;"（注册号："&amp;B5&amp;"）"</f>
        <v>叶凌（注册号：1119970111）</v>
      </c>
      <c r="E5" s="2344" t="s">
        <v>2149</v>
      </c>
      <c r="F5" s="1304">
        <f ca="1">IF(G5&lt;B2,"已过期",94010078)</f>
        <v>94010078</v>
      </c>
      <c r="G5" s="2345">
        <v>46387</v>
      </c>
      <c r="H5" s="2346" t="str">
        <f t="shared" ref="H5:H16" ca="1" si="1">E5&amp;"（注册号："&amp;F5&amp;"）"</f>
        <v>叶凌（注册号：94010078）</v>
      </c>
    </row>
    <row r="6" spans="1:8" ht="24" customHeight="1">
      <c r="A6" s="1304" t="s">
        <v>2150</v>
      </c>
      <c r="B6" s="1304" t="str">
        <f ca="1">IF(C6&lt;B2,"已过期",1120050019)</f>
        <v>已过期</v>
      </c>
      <c r="C6" s="2342">
        <v>45410</v>
      </c>
      <c r="D6" s="2343" t="str">
        <f t="shared" ca="1" si="0"/>
        <v>王鹏（注册号：已过期）</v>
      </c>
      <c r="E6" s="2344" t="s">
        <v>2150</v>
      </c>
      <c r="F6" s="1304">
        <f ca="1">IF(G6&lt;B2,"已过期",2002110030)</f>
        <v>2002110030</v>
      </c>
      <c r="G6" s="2345">
        <v>46387</v>
      </c>
      <c r="H6" s="2346" t="str">
        <f t="shared" ca="1" si="1"/>
        <v>王鹏（注册号：2002110030）</v>
      </c>
    </row>
    <row r="7" spans="1:8" ht="24" customHeight="1">
      <c r="A7" s="1304" t="s">
        <v>2151</v>
      </c>
      <c r="B7" s="1304">
        <f ca="1">IF(C7&lt;B2,"已过期",1120000080)</f>
        <v>1120000080</v>
      </c>
      <c r="C7" s="2342">
        <v>45937</v>
      </c>
      <c r="D7" s="2343" t="str">
        <f t="shared" ca="1" si="0"/>
        <v>欧红伟（注册号：1120000080）</v>
      </c>
      <c r="E7" s="2344" t="s">
        <v>2151</v>
      </c>
      <c r="F7" s="1304">
        <f ca="1">IF(G7&lt;B2,"已过期",2000110082)</f>
        <v>2000110082</v>
      </c>
      <c r="G7" s="2345">
        <v>46387</v>
      </c>
      <c r="H7" s="2346" t="str">
        <f t="shared" ca="1" si="1"/>
        <v>欧红伟（注册号：2000110082）</v>
      </c>
    </row>
    <row r="8" spans="1:8" ht="24" customHeight="1">
      <c r="A8" s="1304" t="s">
        <v>2152</v>
      </c>
      <c r="B8" s="1304">
        <f ca="1">IF(C8&lt;B2,"已过期",1419970001)</f>
        <v>1419970001</v>
      </c>
      <c r="C8" s="2342">
        <v>45937</v>
      </c>
      <c r="D8" s="2343" t="str">
        <f t="shared" ca="1" si="0"/>
        <v>吴薇（注册号：1419970001）</v>
      </c>
      <c r="E8" s="2344" t="s">
        <v>2152</v>
      </c>
      <c r="F8" s="1304">
        <f ca="1">IF(G8&lt;B2,"已过期",2002110125)</f>
        <v>2002110125</v>
      </c>
      <c r="G8" s="2345">
        <v>47118</v>
      </c>
      <c r="H8" s="2346" t="str">
        <f t="shared" ca="1" si="1"/>
        <v>吴薇（注册号：2002110125）</v>
      </c>
    </row>
    <row r="9" spans="1:8" ht="24" customHeight="1">
      <c r="A9" s="1304" t="s">
        <v>2153</v>
      </c>
      <c r="B9" s="1304" t="str">
        <f ca="1">IF(C9&lt;B2,"已过期",1120060040)</f>
        <v>已过期</v>
      </c>
      <c r="C9" s="2347">
        <v>45592</v>
      </c>
      <c r="D9" s="2343" t="str">
        <f t="shared" ca="1" si="0"/>
        <v>陈颖（注册号：已过期）</v>
      </c>
      <c r="E9" s="2344" t="s">
        <v>2153</v>
      </c>
      <c r="F9" s="1304">
        <f ca="1">IF(G9&lt;B2,"已过期",2004110096)</f>
        <v>2004110096</v>
      </c>
      <c r="G9" s="2345">
        <v>47118</v>
      </c>
      <c r="H9" s="2346" t="str">
        <f t="shared" ca="1" si="1"/>
        <v>陈颖（注册号：2004110096）</v>
      </c>
    </row>
    <row r="10" spans="1:8" ht="24" customHeight="1">
      <c r="A10" s="1304" t="s">
        <v>2154</v>
      </c>
      <c r="B10" s="1304">
        <f ca="1">IF(C10&lt;B2,"已过期",1120100036)</f>
        <v>1120100036</v>
      </c>
      <c r="C10" s="2347">
        <v>45752</v>
      </c>
      <c r="D10" s="2343" t="str">
        <f t="shared" ca="1" si="0"/>
        <v>崔锴（注册号：1120100036）</v>
      </c>
      <c r="E10" s="2344" t="s">
        <v>2154</v>
      </c>
      <c r="F10" s="1304">
        <f ca="1">IF(G10&lt;B2,"已过期",2010110070)</f>
        <v>2010110070</v>
      </c>
      <c r="G10" s="2345">
        <v>47907</v>
      </c>
      <c r="H10" s="2346" t="str">
        <f t="shared" ca="1" si="1"/>
        <v>崔锴（注册号：2010110070）</v>
      </c>
    </row>
    <row r="11" spans="1:8" ht="24" customHeight="1">
      <c r="A11" s="1304" t="s">
        <v>2155</v>
      </c>
      <c r="B11" s="1304">
        <f ca="1">IF(C11&lt;B2,"已过期",1120070131)</f>
        <v>1120070131</v>
      </c>
      <c r="C11" s="2342">
        <v>45937</v>
      </c>
      <c r="D11" s="2343" t="str">
        <f t="shared" ca="1" si="0"/>
        <v>郑燚（注册号：1120070131）</v>
      </c>
      <c r="E11" s="2344" t="s">
        <v>2155</v>
      </c>
      <c r="F11" s="1304">
        <f ca="1">IF(G11&lt;B2,"已过期",2014110011)</f>
        <v>2014110011</v>
      </c>
      <c r="G11" s="2345">
        <v>49302</v>
      </c>
      <c r="H11" s="2346" t="str">
        <f t="shared" ca="1" si="1"/>
        <v>郑燚（注册号：2014110011）</v>
      </c>
    </row>
    <row r="12" spans="1:8" ht="24" customHeight="1">
      <c r="A12" s="1304" t="s">
        <v>2156</v>
      </c>
      <c r="B12" s="1304">
        <f ca="1">IF(C12&lt;B2,"已过期",1120040230)</f>
        <v>1120040230</v>
      </c>
      <c r="C12" s="2347">
        <v>45937</v>
      </c>
      <c r="D12" s="2343" t="str">
        <f t="shared" ca="1" si="0"/>
        <v>苏海（注册号：1120040230）</v>
      </c>
      <c r="E12" s="2344" t="s">
        <v>2156</v>
      </c>
      <c r="F12" s="1304">
        <f ca="1">IF(G12&lt;B2,"已过期",98030020)</f>
        <v>98030020</v>
      </c>
      <c r="G12" s="2345">
        <v>47118</v>
      </c>
      <c r="H12" s="2346" t="str">
        <f t="shared" ca="1" si="1"/>
        <v>苏海（注册号：98030020）</v>
      </c>
    </row>
    <row r="13" spans="1:8" ht="24" customHeight="1">
      <c r="A13" s="1304" t="s">
        <v>2157</v>
      </c>
      <c r="B13" s="1304" t="str">
        <f ca="1">IF(C13&lt;B2,"已过期",1120020033)</f>
        <v>已过期</v>
      </c>
      <c r="C13" s="2342">
        <v>45375</v>
      </c>
      <c r="D13" s="2343" t="str">
        <f t="shared" ca="1" si="0"/>
        <v>刘敬东（注册号：已过期）</v>
      </c>
      <c r="E13" s="2344" t="s">
        <v>2157</v>
      </c>
      <c r="F13" s="1304">
        <f ca="1">IF(G13&lt;B2,"已过期",2000110137)</f>
        <v>2000110137</v>
      </c>
      <c r="G13" s="2345">
        <v>46387</v>
      </c>
      <c r="H13" s="2346" t="str">
        <f t="shared" ca="1" si="1"/>
        <v>刘敬东（注册号：2000110137）</v>
      </c>
    </row>
    <row r="14" spans="1:8" ht="24" customHeight="1">
      <c r="A14" s="1304" t="s">
        <v>2158</v>
      </c>
      <c r="B14" s="1304" t="str">
        <f ca="1">IF(C14&lt;B2,"已过期",1119980106)</f>
        <v>已过期</v>
      </c>
      <c r="C14" s="2347">
        <v>44969</v>
      </c>
      <c r="D14" s="2343" t="str">
        <f t="shared" ca="1" si="0"/>
        <v>刘俊财（注册号：已过期）</v>
      </c>
      <c r="E14" s="2344" t="s">
        <v>2158</v>
      </c>
      <c r="F14" s="1304">
        <f ca="1">IF(G14&lt;B2,"已过期",96010063)</f>
        <v>96010063</v>
      </c>
      <c r="G14" s="2345">
        <v>47483</v>
      </c>
      <c r="H14" s="2346" t="str">
        <f t="shared" ca="1" si="1"/>
        <v>刘俊财（注册号：96010063）</v>
      </c>
    </row>
    <row r="15" spans="1:8" ht="24" customHeight="1">
      <c r="A15" s="1304" t="s">
        <v>2436</v>
      </c>
      <c r="B15" s="1304">
        <v>1120210056</v>
      </c>
      <c r="C15" s="2347">
        <v>45410</v>
      </c>
      <c r="D15" s="2343" t="str">
        <f t="shared" si="0"/>
        <v>宁小鳗（注册号：1120210056）</v>
      </c>
      <c r="E15" s="2344" t="s">
        <v>2159</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543" t="s">
        <v>2160</v>
      </c>
      <c r="B17" s="3543"/>
      <c r="C17" s="3543"/>
      <c r="D17" s="3543"/>
      <c r="E17" s="3543"/>
      <c r="F17" s="3543"/>
      <c r="G17" s="3543"/>
      <c r="H17" s="3543"/>
    </row>
    <row r="18" spans="1:8" ht="24" customHeight="1">
      <c r="A18" s="3544" t="s">
        <v>2161</v>
      </c>
      <c r="B18" s="3544"/>
      <c r="C18" s="3544"/>
      <c r="D18" s="2340"/>
      <c r="E18" s="3545" t="s">
        <v>2162</v>
      </c>
      <c r="F18" s="3544"/>
      <c r="G18" s="3544"/>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租金</vt:lpstr>
      <vt:lpstr>比较法-住宅</vt:lpstr>
      <vt:lpstr>售价</vt:lpstr>
      <vt:lpstr>Sheet2</vt:lpstr>
      <vt:lpstr>Sheet1</vt:lpstr>
      <vt:lpstr>法拍</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2025-02-20T05:23:05Z</dcterms:modified>
</cp:coreProperties>
</file>