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6" i="74" l="1"/>
  <c r="G16" i="74"/>
  <c r="C16" i="74"/>
  <c r="B16" i="74"/>
  <c r="D15" i="74"/>
  <c r="G15" i="74"/>
  <c r="B15" i="74"/>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D19" i="9"/>
  <c r="G19" i="9"/>
  <c r="C32" i="9"/>
  <c r="H118" i="9"/>
  <c r="D14" i="74"/>
  <c r="B5" i="74"/>
  <c r="B1" i="74"/>
  <c r="C5" i="74"/>
  <c r="B52" i="1"/>
  <c r="F34" i="15"/>
  <c r="F17" i="15"/>
  <c r="C34" i="34"/>
  <c r="I7" i="34"/>
  <c r="G7" i="34"/>
  <c r="E7" i="34"/>
  <c r="Y6" i="1"/>
  <c r="N6" i="1"/>
  <c r="N20" i="1"/>
  <c r="F19" i="6"/>
  <c r="C19" i="6"/>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J57" i="15"/>
  <c r="J55" i="15"/>
  <c r="J58" i="15"/>
  <c r="J59" i="15"/>
  <c r="C76" i="15"/>
  <c r="L51" i="15"/>
  <c r="L57" i="15"/>
  <c r="L47" i="15"/>
  <c r="L58" i="15"/>
  <c r="L59" i="15"/>
  <c r="L60" i="15"/>
  <c r="D2" i="34"/>
  <c r="F7" i="34"/>
  <c r="AA7" i="34"/>
  <c r="R49" i="34"/>
  <c r="T49" i="34"/>
  <c r="V49" i="34"/>
  <c r="R50" i="34"/>
  <c r="C50" i="34"/>
  <c r="B2" i="34"/>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M23" i="15"/>
  <c r="F26" i="67"/>
  <c r="F8" i="67"/>
  <c r="D2" i="33"/>
  <c r="M9" i="67"/>
  <c r="E13" i="76"/>
  <c r="J15" i="67"/>
  <c r="B10" i="76"/>
  <c r="M27" i="67"/>
  <c r="AO8" i="1"/>
  <c r="F41" i="67"/>
  <c r="B8" i="76"/>
  <c r="F3" i="73"/>
  <c r="M29" i="67"/>
  <c r="E7" i="76"/>
  <c r="AO7" i="1"/>
  <c r="F20" i="31"/>
  <c r="D2" i="35"/>
  <c r="M21" i="15"/>
  <c r="L47" i="67"/>
  <c r="F5" i="73"/>
  <c r="M24" i="15"/>
  <c r="D2" i="21"/>
  <c r="M26" i="15"/>
  <c r="D3" i="73"/>
  <c r="K1" i="73"/>
  <c r="AO6" i="1"/>
  <c r="B12" i="76"/>
  <c r="E11" i="76"/>
  <c r="M29" i="15"/>
  <c r="F7" i="73"/>
  <c r="E10" i="76"/>
  <c r="F16" i="67"/>
  <c r="F36" i="67"/>
  <c r="M22" i="67"/>
  <c r="M6" i="67"/>
  <c r="AO10" i="1"/>
  <c r="AO12" i="1"/>
  <c r="F6" i="73"/>
  <c r="F6" i="67"/>
  <c r="M26" i="67"/>
  <c r="D34" i="9"/>
  <c r="M8" i="67"/>
  <c r="B3" i="34"/>
  <c r="D20" i="9"/>
  <c r="M23" i="67"/>
  <c r="D2" i="37"/>
  <c r="E9" i="76"/>
  <c r="F40" i="67"/>
  <c r="B3" i="15"/>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AB7"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49" i="34"/>
  <c r="I68" i="39"/>
  <c r="H70" i="39"/>
  <c r="G53" i="34"/>
  <c r="H53" i="34"/>
  <c r="G54" i="34"/>
  <c r="H54" i="34"/>
  <c r="E54" i="34"/>
  <c r="F54" i="34"/>
  <c r="E53" i="34"/>
  <c r="F53" i="34"/>
  <c r="G39" i="43"/>
  <c r="I39" i="43"/>
  <c r="G34" i="43"/>
  <c r="I34" i="43"/>
  <c r="C27" i="43"/>
  <c r="C52" i="68"/>
  <c r="B2" i="68"/>
  <c r="B3" i="68"/>
  <c r="D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<sst xmlns="http://schemas.openxmlformats.org/spreadsheetml/2006/main" count="7341" uniqueCount="3104">
  <si>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</si>
  <si>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</si>
  <si>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</si>
  <si>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</si>
  <si>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</si>
  <si>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</si>
  <si>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</si>
  <si>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</si>
  <si>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</si>
  <si>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</si>
  <si>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</si>
  <si>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</si>
  <si>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</si>
  <si>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</si>
  <si>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</si>
  <si>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</si>
  <si>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</si>
  <si>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</si>
  <si>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</si>
  <si>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</si>
  <si>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</si>
  <si>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</si>
  <si>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</si>
  <si>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</si>
  <si>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</si>
  <si>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</si>
  <si>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</si>
  <si>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</si>
  <si>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</si>
  <si>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</si>
  <si>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</si>
  <si>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</si>
  <si>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</si>
  <si>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</si>
  <si>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</si>
  <si>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</si>
  <si>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</si>
  <si>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</si>
  <si>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</si>
  <si>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</si>
  <si>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</si>
  <si>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</si>
  <si>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</si>
  <si>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</si>
  <si>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</si>
  <si>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</si>
  <si>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</si>
  <si>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</si>
  <si>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</si>
  <si>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</si>
  <si>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</si>
  <si>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</si>
  <si>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</si>
  <si>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</si>
  <si>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</si>
  <si>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</si>
  <si>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</si>
  <si>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</si>
  <si>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</si>
  <si>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</si>
  <si>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</si>
  <si>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</si>
  <si>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</si>
  <si>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</si>
  <si>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</si>
  <si>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</si>
  <si>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</si>
  <si>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</si>
  <si>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</si>
  <si>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</si>
  <si>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</si>
  <si>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</si>
  <si>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</si>
  <si>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</si>
  <si>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</si>
  <si>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</si>
  <si>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</si>
  <si>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</si>
  <si>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</si>
  <si>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</si>
  <si>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</si>
  <si>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</si>
  <si>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</si>
  <si>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</si>
  <si>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</si>
  <si>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</si>
  <si>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</si>
  <si>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</si>
  <si>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</si>
  <si>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</si>
  <si>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</si>
  <si>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</si>
  <si>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</si>
  <si>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</si>
  <si>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</si>
  <si>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</si>
  <si>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</si>
  <si>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</si>
  <si>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</si>
  <si>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</si>
  <si>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</si>
  <si>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</si>
  <si>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</si>
  <si>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</si>
  <si>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</si>
  <si>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</si>
  <si>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</si>
  <si>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</si>
  <si>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</si>
  <si>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</si>
  <si>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</si>
  <si>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</si>
  <si>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</si>
  <si>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</si>
  <si>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</si>
  <si>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</si>
  <si>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</si>
  <si>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</si>
  <si>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</si>
  <si>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</si>
  <si>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</si>
  <si>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</si>
  <si>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</si>
  <si>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</si>
  <si>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</si>
  <si>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</si>
  <si>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</si>
  <si>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</si>
  <si>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</si>
  <si>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</si>
  <si>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</si>
  <si>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</si>
  <si>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</si>
  <si>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</si>
  <si>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</si>
  <si>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</si>
  <si>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</si>
  <si>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</si>
  <si>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</si>
  <si>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</si>
  <si>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</si>
  <si>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</si>
  <si>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</si>
  <si>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</si>
  <si>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</si>
  <si>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</si>
  <si>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</si>
  <si>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</si>
  <si>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</si>
  <si>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</si>
  <si>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</si>
  <si>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</si>
  <si>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</si>
  <si>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</si>
  <si>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</si>
  <si>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</si>
  <si>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</si>
  <si>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</si>
  <si>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</si>
  <si>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</si>
  <si>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</si>
  <si>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</si>
  <si>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</si>
  <si>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</si>
  <si>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</si>
  <si>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</si>
  <si>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</si>
  <si>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</si>
  <si>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</si>
  <si>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</si>
  <si>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</si>
  <si>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</si>
  <si>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</si>
  <si>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</si>
  <si>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</si>
  <si>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</si>
  <si>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</si>
  <si>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</si>
  <si>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</si>
  <si>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</si>
  <si>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</si>
  <si>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</si>
  <si>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</si>
  <si>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</si>
  <si>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</si>
  <si>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</si>
  <si>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</si>
  <si>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</si>
  <si>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</si>
  <si>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</si>
  <si>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</si>
  <si>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</si>
  <si>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</si>
  <si>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</si>
  <si>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</si>
  <si>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</si>
  <si>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</si>
  <si>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</si>
  <si>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</si>
  <si>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</si>
  <si>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</si>
  <si>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</si>
  <si>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</si>
  <si>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</si>
  <si>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</si>
  <si>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</si>
  <si>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</si>
  <si>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</si>
  <si>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</si>
  <si>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</si>
  <si>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</si>
  <si>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</si>
  <si>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</si>
  <si>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</si>
  <si>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</si>
  <si>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</si>
  <si>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</si>
  <si>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</si>
  <si>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</si>
  <si>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</si>
  <si>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</si>
  <si>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</si>
  <si>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</si>
  <si>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</si>
  <si>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</si>
  <si>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</si>
  <si>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</si>
  <si>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</si>
  <si>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</si>
  <si>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</si>
  <si>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</si>
  <si>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</si>
  <si>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</si>
  <si>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</si>
  <si>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</si>
  <si>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</si>
  <si>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</si>
  <si>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</si>
  <si>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</si>
  <si>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</si>
  <si>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</si>
  <si>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</si>
  <si>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</si>
  <si>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</si>
  <si>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</si>
  <si>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</si>
  <si>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</si>
  <si>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</si>
  <si>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</si>
  <si>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</si>
  <si>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</si>
  <si>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</si>
  <si>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</si>
  <si>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</si>
  <si>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</si>
  <si>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</si>
  <si>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</si>
  <si>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</si>
  <si>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</si>
  <si>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</si>
  <si>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</si>
  <si>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</si>
  <si>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</si>
  <si>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</si>
  <si>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</si>
  <si>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</si>
  <si>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</si>
  <si>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</si>
  <si>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</si>
  <si>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</si>
  <si>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</si>
  <si>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</si>
  <si>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</si>
  <si>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</si>
  <si>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</si>
  <si>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</si>
  <si>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</si>
  <si>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</si>
  <si>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</si>
  <si>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</si>
  <si>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</si>
  <si>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</si>
  <si>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</si>
  <si>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</si>
  <si>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</si>
  <si>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</si>
  <si>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</si>
  <si>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</si>
  <si>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</si>
  <si>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</si>
  <si>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</si>
  <si>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</si>
  <si>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</si>
  <si>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</si>
  <si>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</si>
  <si>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</si>
  <si>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</si>
  <si>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</si>
  <si>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</si>
  <si>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</si>
  <si>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</si>
  <si>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</si>
  <si>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</si>
  <si>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</si>
  <si>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</si>
  <si>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</si>
  <si>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</si>
  <si>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</si>
  <si>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</si>
  <si>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</si>
  <si>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</si>
  <si>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</si>
  <si>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</si>
  <si>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</si>
  <si>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</si>
  <si>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</si>
  <si>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</si>
  <si>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</si>
  <si>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</si>
  <si>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</si>
  <si>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</si>
  <si>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</si>
  <si>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</si>
  <si>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</si>
  <si>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</si>
  <si>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</si>
  <si>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</si>
  <si>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</si>
  <si>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</si>
  <si>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</si>
  <si>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</si>
  <si>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</si>
  <si>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</si>
  <si>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</si>
  <si>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</si>
  <si>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</si>
  <si>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</si>
  <si>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</si>
  <si>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</si>
  <si>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</si>
  <si>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</si>
  <si>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</si>
  <si>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</si>
  <si>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</si>
  <si>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</si>
  <si>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</si>
  <si>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</si>
  <si>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</si>
  <si>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</si>
  <si>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</si>
  <si>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</si>
  <si>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</si>
  <si>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</si>
  <si>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</si>
  <si>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</si>
  <si>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</si>
  <si>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</si>
  <si>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</si>
  <si>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</si>
  <si>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</si>
  <si>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</si>
  <si>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</si>
  <si>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</si>
  <si>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</si>
  <si>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</si>
  <si>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</si>
  <si>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</si>
  <si>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</si>
  <si>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</si>
  <si>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</si>
  <si>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</si>
  <si>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</si>
  <si>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</si>
  <si>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</si>
  <si>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</si>
  <si>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</si>
  <si>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</si>
  <si>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</si>
  <si>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</si>
  <si>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</si>
  <si>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</si>
  <si>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</si>
  <si>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</si>
  <si>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</si>
  <si>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</si>
  <si>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</si>
  <si>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</si>
  <si>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</si>
  <si>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</si>
  <si>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</si>
  <si>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</si>
  <si>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</si>
  <si>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</si>
  <si>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</si>
  <si>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</si>
  <si>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</si>
  <si>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</si>
  <si>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</si>
  <si>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</si>
  <si>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</si>
  <si>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</si>
  <si>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</si>
  <si>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</si>
  <si>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</si>
  <si>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</si>
  <si>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</si>
  <si>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</si>
  <si>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</si>
  <si>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</si>
  <si>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</si>
  <si>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</si>
  <si>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</si>
  <si>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</si>
  <si>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</si>
  <si>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</si>
  <si>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</si>
  <si>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</si>
  <si>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</si>
  <si>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</si>
  <si>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</si>
  <si>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</si>
  <si>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</si>
  <si>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</si>
  <si>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</si>
  <si>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</si>
  <si>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</si>
  <si>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</si>
  <si>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</si>
  <si>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</si>
  <si>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</si>
  <si>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</si>
  <si>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</si>
  <si>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</si>
  <si>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</si>
  <si>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</si>
  <si>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</si>
  <si>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</si>
  <si>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</si>
  <si>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</si>
  <si>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</si>
  <si>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</si>
  <si>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</si>
  <si>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</si>
  <si>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</si>
  <si>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</si>
  <si>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</si>
  <si>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</si>
  <si>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</si>
  <si>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</si>
  <si>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</si>
  <si>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</si>
  <si>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</si>
  <si>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</si>
  <si>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</si>
  <si>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</si>
  <si>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</si>
  <si>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</si>
  <si>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</si>
  <si>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</si>
  <si>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</si>
  <si>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</si>
  <si>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</si>
  <si>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</si>
  <si>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</si>
  <si>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</si>
  <si>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</si>
  <si>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</si>
  <si>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</si>
  <si>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</si>
  <si>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</si>
  <si>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</si>
  <si>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</si>
  <si>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</si>
  <si>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</si>
  <si>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</si>
  <si>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</si>
  <si>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</si>
  <si>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</si>
  <si>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</si>
  <si>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</si>
  <si>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</si>
  <si>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</si>
  <si>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</si>
  <si>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</si>
  <si>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</si>
  <si>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</si>
  <si>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</si>
  <si>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</si>
  <si>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</si>
  <si>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</si>
  <si>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</si>
  <si>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</si>
  <si>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</si>
  <si>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</si>
  <si>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</si>
  <si>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</si>
  <si>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</si>
  <si>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</si>
  <si>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</si>
  <si>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</si>
  <si>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</si>
  <si>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</si>
  <si>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</si>
  <si>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</si>
  <si>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</si>
  <si>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</si>
  <si>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</si>
  <si>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</si>
  <si>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</si>
  <si>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</si>
  <si>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</si>
  <si>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</si>
  <si>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</si>
  <si>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</si>
  <si>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</si>
  <si>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</si>
  <si>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</si>
  <si>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</si>
  <si>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</si>
  <si>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</si>
  <si>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</si>
  <si>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</si>
  <si>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</si>
  <si>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</si>
  <si>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</si>
  <si>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</si>
  <si>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</si>
  <si>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</si>
  <si>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</si>
  <si>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</si>
  <si>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</si>
  <si>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</si>
  <si>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</si>
  <si>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</si>
  <si>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</si>
  <si>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</si>
  <si>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</si>
  <si>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</si>
  <si>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</si>
  <si>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</si>
  <si>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</si>
  <si>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</si>
  <si>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</si>
  <si>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</si>
  <si>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</si>
  <si>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</si>
  <si>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</si>
  <si>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</si>
  <si>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</si>
  <si>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</si>
  <si>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</si>
  <si>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</si>
  <si>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</si>
  <si>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</si>
  <si>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</si>
  <si>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</si>
  <si>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</si>
  <si>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</si>
  <si>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</si>
  <si>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</si>
  <si>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</si>
  <si>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</si>
  <si>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</si>
  <si>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</si>
  <si>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</si>
  <si>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</si>
  <si>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</si>
  <si>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</si>
  <si>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</si>
  <si>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</si>
  <si>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</si>
  <si>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</si>
  <si>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</si>
  <si>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</si>
  <si>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</si>
  <si>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</si>
  <si>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</si>
  <si>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</si>
  <si>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</si>
  <si>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</si>
  <si>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</si>
  <si>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</si>
  <si>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</si>
  <si>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</si>
  <si>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</si>
  <si>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</si>
  <si>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</si>
  <si>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</si>
  <si>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</si>
  <si>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</si>
  <si>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</si>
  <si>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</si>
  <si>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</si>
  <si>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</si>
  <si>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</si>
  <si>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</si>
  <si>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</si>
  <si>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</si>
  <si>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</si>
  <si>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</si>
  <si>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</si>
  <si>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</si>
  <si>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</si>
  <si>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</si>
  <si>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</si>
  <si>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</si>
  <si>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</si>
  <si>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</si>
  <si>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</si>
  <si>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</si>
  <si>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</si>
  <si>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</si>
  <si>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</si>
  <si>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</si>
  <si>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</si>
  <si>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</si>
  <si>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</si>
  <si>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</si>
  <si>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</si>
  <si>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</si>
  <si>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</si>
  <si>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</si>
  <si>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</si>
  <si>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</si>
  <si>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</si>
  <si>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</si>
  <si>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</si>
  <si>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</si>
  <si>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</si>
  <si>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</si>
  <si>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</si>
  <si>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</si>
  <si>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</si>
  <si>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</si>
  <si>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</si>
  <si>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</si>
  <si>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</si>
  <si>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</si>
  <si>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</si>
  <si>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</si>
  <si>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</si>
  <si>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</si>
  <si>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</si>
  <si>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</si>
  <si>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</si>
  <si>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</si>
  <si>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</si>
  <si>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</si>
  <si>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</si>
  <si>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</si>
  <si>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</si>
  <si>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</si>
  <si>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</si>
  <si>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</si>
  <si>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</si>
  <si>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</si>
  <si>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</si>
  <si>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</si>
  <si>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</si>
  <si>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</si>
  <si>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</si>
  <si>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</si>
  <si>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</si>
  <si>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</si>
  <si>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</si>
  <si>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</si>
  <si>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</si>
  <si>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</si>
  <si>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</si>
  <si>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</si>
  <si>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</si>
  <si>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</si>
  <si>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</si>
  <si>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</si>
  <si>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</si>
  <si>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</si>
  <si>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</si>
  <si>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</si>
  <si>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</si>
  <si>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</si>
  <si>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</si>
  <si>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</si>
  <si>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</si>
  <si>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</si>
  <si>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</si>
  <si>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</si>
  <si>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</si>
  <si>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</si>
  <si>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</si>
  <si>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</si>
  <si>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</si>
  <si>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</si>
  <si>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</si>
  <si>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</si>
  <si>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</si>
  <si>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</si>
  <si>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</si>
  <si>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</si>
  <si>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</si>
  <si>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</si>
  <si>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</si>
  <si>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</si>
  <si>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</si>
  <si>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</si>
  <si>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</si>
  <si>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</si>
  <si>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</si>
  <si>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</si>
  <si>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</si>
  <si>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</si>
  <si>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</si>
  <si>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</si>
  <si>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</si>
  <si>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</si>
  <si>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</si>
  <si>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</si>
  <si>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</si>
  <si>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</si>
  <si>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</si>
  <si>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</si>
  <si>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</si>
  <si>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</si>
  <si>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</si>
  <si>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</si>
  <si>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</si>
  <si>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</si>
  <si>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</si>
  <si>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</si>
  <si>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</si>
  <si>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</si>
  <si>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</si>
  <si>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</si>
  <si>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</si>
  <si>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</si>
  <si>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</si>
  <si>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</si>
  <si>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</si>
  <si>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</si>
  <si>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</si>
  <si>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</si>
  <si>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</si>
  <si>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</si>
  <si>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</si>
  <si>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</si>
  <si>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</si>
  <si>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</si>
  <si>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</si>
  <si>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</si>
  <si>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</si>
  <si>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</si>
  <si>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</si>
  <si>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</si>
  <si>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</si>
  <si>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</si>
  <si>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</si>
  <si>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</si>
  <si>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</si>
  <si>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</si>
  <si>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</si>
  <si>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</si>
  <si>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</si>
  <si>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</si>
  <si>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</si>
  <si>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</si>
  <si>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</si>
  <si>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</si>
  <si>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</si>
  <si>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</si>
  <si>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</si>
  <si>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</si>
  <si>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</si>
  <si>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</si>
  <si>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</si>
  <si>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</si>
  <si>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</si>
  <si>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</si>
  <si>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</si>
  <si>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</si>
  <si>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</si>
  <si>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</si>
  <si>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</si>
  <si>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</si>
  <si>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</si>
  <si>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</si>
  <si>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</si>
  <si>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</si>
  <si>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</si>
  <si>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</si>
  <si>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</si>
  <si>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</si>
  <si>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</si>
  <si>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</si>
  <si>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</si>
  <si>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</si>
  <si>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</si>
  <si>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</si>
  <si>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</si>
  <si>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</si>
  <si>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</si>
  <si>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</si>
  <si>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</si>
  <si>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</si>
  <si>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</si>
  <si>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</si>
  <si>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</si>
  <si>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</si>
  <si>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</si>
  <si>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</si>
  <si>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</si>
  <si>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</si>
  <si>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</si>
  <si>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</si>
  <si>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</si>
  <si>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</si>
  <si>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</si>
  <si>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</si>
  <si>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</si>
  <si>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</si>
  <si>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</si>
  <si>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</si>
  <si>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</si>
  <si>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</si>
  <si>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</si>
  <si>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</si>
  <si>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</si>
  <si>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</si>
  <si>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</si>
  <si>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</si>
  <si>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</si>
  <si>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</si>
  <si>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</si>
  <si>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</si>
  <si>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</si>
  <si>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</si>
  <si>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</si>
  <si>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</si>
  <si>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</si>
  <si>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</si>
  <si>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</si>
  <si>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</si>
  <si>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</si>
  <si>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</si>
  <si>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</si>
  <si>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</si>
  <si>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</si>
  <si>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</si>
  <si>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</si>
  <si>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</si>
  <si>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</si>
  <si>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</si>
  <si>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</si>
  <si>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</si>
  <si>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</si>
  <si>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</si>
  <si>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</si>
  <si>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</si>
  <si>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</si>
  <si>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</si>
  <si>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</si>
  <si>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</si>
  <si>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</si>
  <si>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</si>
  <si>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</si>
  <si>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</si>
  <si>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</si>
  <si>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</si>
  <si>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</si>
  <si>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</si>
  <si>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</si>
  <si>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</si>
  <si>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</si>
  <si>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</si>
  <si>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</si>
  <si>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</si>
  <si>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</si>
  <si>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</si>
  <si>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</si>
  <si>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</si>
  <si>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</si>
  <si>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</si>
  <si>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</si>
  <si>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</si>
  <si>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</si>
  <si>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</si>
  <si>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</si>
  <si>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</si>
  <si>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</si>
  <si>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</si>
  <si>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</si>
  <si>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</si>
  <si>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</si>
  <si>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</si>
  <si>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</si>
  <si>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</si>
  <si>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</si>
  <si>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</si>
  <si>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</si>
  <si>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</si>
  <si>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</si>
  <si>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</si>
  <si>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</si>
  <si>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</si>
  <si>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</si>
  <si>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</si>
  <si>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</si>
  <si>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</si>
  <si>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</si>
  <si>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</si>
  <si>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</si>
  <si>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</si>
  <si>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</si>
  <si>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</si>
  <si>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</si>
  <si>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</si>
  <si>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</si>
  <si>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</si>
  <si>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</si>
  <si>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</si>
  <si>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</si>
  <si>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</si>
  <si>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</si>
  <si>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</si>
  <si>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</si>
  <si>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</si>
  <si>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</si>
  <si>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</si>
  <si>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</si>
  <si>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</si>
  <si>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</si>
  <si>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</si>
  <si>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</si>
  <si>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</si>
  <si>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</si>
  <si>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</si>
  <si>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</si>
  <si>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</si>
  <si>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</si>
  <si>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</si>
  <si>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</si>
  <si>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</si>
  <si>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</si>
  <si>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</si>
  <si>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</si>
  <si>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</si>
  <si>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</si>
  <si>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</si>
  <si>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</si>
  <si>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</si>
  <si>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</si>
  <si>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</si>
  <si>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</si>
  <si>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</si>
  <si>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</si>
  <si>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</si>
  <si>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</si>
  <si>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</si>
  <si>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</si>
  <si>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</si>
  <si>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</si>
  <si>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</si>
  <si>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</si>
  <si>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</si>
  <si>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</si>
  <si>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</si>
  <si>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</si>
  <si>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</si>
  <si>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</si>
  <si>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</si>
  <si>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</si>
  <si>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</si>
  <si>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</si>
  <si>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</si>
  <si>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</si>
  <si>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</si>
  <si>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</si>
  <si>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</si>
  <si>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</si>
  <si>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</si>
  <si>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</si>
  <si>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</si>
  <si>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</si>
  <si>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</si>
  <si>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</si>
  <si>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</si>
  <si>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</si>
  <si>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</si>
  <si>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</si>
  <si>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</si>
  <si>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</si>
  <si>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</si>
  <si>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</si>
  <si>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</si>
  <si>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</si>
  <si>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</si>
  <si>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</si>
  <si>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</si>
  <si>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</si>
  <si>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</si>
  <si>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</si>
  <si>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</si>
  <si>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</si>
  <si>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</si>
  <si>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</si>
  <si>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</si>
  <si>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</si>
  <si>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</si>
  <si>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</si>
  <si>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</si>
  <si>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</si>
  <si>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</si>
  <si>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</si>
  <si>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</si>
  <si>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</si>
  <si>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</si>
  <si>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</si>
  <si>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</si>
  <si>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</si>
  <si>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</si>
  <si>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</si>
  <si>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</si>
  <si>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</si>
  <si>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</si>
  <si>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</si>
  <si>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</si>
  <si>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</si>
  <si>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</si>
  <si>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</si>
  <si>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</si>
  <si>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</si>
  <si>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</si>
  <si>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</si>
  <si>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</si>
  <si>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</si>
  <si>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</si>
  <si>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</si>
  <si>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</si>
  <si>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</si>
  <si>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</si>
  <si>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</si>
  <si>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</si>
  <si>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</si>
  <si>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</si>
  <si>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</si>
  <si>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</si>
  <si>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</si>
  <si>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</si>
  <si>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</si>
  <si>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</si>
  <si>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</si>
  <si>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</si>
  <si>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</si>
  <si>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</si>
  <si>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</si>
  <si>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</si>
  <si>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</si>
  <si>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</si>
  <si>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</si>
  <si>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</si>
  <si>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</si>
  <si>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</si>
  <si>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</si>
  <si>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</si>
  <si>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</si>
  <si>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</si>
  <si>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</si>
  <si>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</si>
  <si>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</si>
  <si>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</si>
  <si>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</si>
  <si>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</si>
  <si>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</si>
  <si>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</si>
  <si>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</si>
  <si>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</si>
  <si>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</si>
  <si>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</si>
  <si>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</si>
  <si>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</si>
  <si>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</si>
  <si>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</si>
  <si>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</si>
  <si>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</si>
  <si>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</si>
  <si>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</si>
  <si>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</si>
  <si>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</si>
  <si>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</si>
  <si>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</si>
  <si>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</si>
  <si>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</si>
  <si>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</si>
  <si>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</si>
  <si>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</si>
  <si>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</si>
  <si>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</si>
  <si>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</si>
  <si>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</si>
  <si>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</si>
  <si>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</si>
  <si>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</si>
  <si>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</si>
  <si>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</si>
  <si>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</si>
  <si>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</si>
  <si>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</si>
  <si>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</si>
  <si>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</si>
  <si>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</si>
  <si>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</si>
  <si>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</si>
  <si>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</si>
  <si>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</si>
  <si>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</si>
  <si>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</si>
  <si>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</si>
  <si>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</si>
  <si>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</si>
  <si>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</si>
  <si>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</si>
  <si>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</si>
  <si>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</si>
  <si>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</si>
  <si>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</si>
  <si>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</si>
  <si>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</si>
  <si>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</si>
  <si>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</si>
  <si>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</si>
  <si>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</si>
  <si>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</si>
  <si>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</si>
  <si>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</si>
  <si>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</si>
  <si>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</si>
  <si>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</si>
  <si>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</si>
  <si>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</si>
  <si>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</si>
  <si>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</si>
  <si>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</si>
  <si>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</si>
  <si>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</si>
  <si>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</si>
  <si>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</si>
  <si>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</si>
  <si>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</si>
  <si>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</si>
  <si>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</si>
  <si>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</si>
  <si>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</si>
  <si>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</si>
  <si>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</si>
  <si>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</si>
  <si>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</si>
  <si>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</si>
  <si>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</si>
  <si>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</si>
  <si>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</si>
  <si>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</si>
  <si>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</si>
  <si>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</si>
  <si>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</si>
  <si>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</si>
  <si>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</si>
  <si>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</si>
  <si>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</si>
  <si>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</si>
  <si>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</si>
  <si>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</si>
  <si>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</si>
  <si>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</si>
  <si>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</si>
  <si>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</si>
  <si>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</si>
  <si>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</si>
  <si>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</si>
  <si>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</si>
  <si>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</si>
  <si>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</si>
  <si>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</si>
  <si>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</si>
  <si>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</si>
  <si>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</si>
  <si>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</si>
  <si>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</si>
  <si>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</si>
  <si>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</si>
  <si>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</si>
  <si>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</si>
  <si>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</si>
  <si>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</si>
  <si>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</si>
  <si>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</si>
  <si>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</si>
  <si>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</si>
  <si>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</si>
  <si>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</si>
  <si>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</si>
  <si>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</si>
  <si>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</si>
  <si>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</si>
  <si>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</si>
  <si>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</si>
  <si>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</si>
  <si>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</si>
  <si>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</si>
  <si>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</si>
  <si>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</si>
  <si>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</si>
  <si>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</si>
  <si>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</si>
  <si>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</si>
  <si>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</si>
  <si>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</si>
  <si>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</si>
  <si>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</si>
  <si>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</si>
  <si>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</si>
  <si>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</si>
  <si>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</si>
  <si>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</si>
  <si>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</si>
  <si>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</si>
  <si>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</si>
  <si>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</si>
  <si>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</si>
  <si>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</si>
  <si>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</si>
  <si>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</si>
  <si>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</si>
  <si>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</si>
  <si>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</si>
  <si>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</si>
  <si>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</si>
  <si>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</si>
  <si>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</si>
  <si>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</si>
  <si>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</si>
  <si>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</si>
  <si>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</si>
  <si>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</si>
  <si>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</si>
  <si>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</si>
  <si>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</si>
  <si>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</si>
  <si>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</si>
  <si>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</si>
  <si>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</si>
  <si>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</si>
  <si>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</si>
  <si>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</si>
  <si>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</si>
  <si>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</si>
  <si>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</si>
  <si>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</si>
  <si>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</si>
  <si>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</si>
  <si>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</si>
  <si>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</si>
  <si>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</si>
  <si>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</si>
  <si>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</si>
  <si>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</si>
  <si>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</si>
  <si>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</si>
  <si>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</si>
  <si>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</si>
  <si>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</si>
  <si>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</si>
  <si>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</si>
  <si>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</si>
  <si>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</si>
  <si>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</si>
  <si>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</si>
  <si>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</si>
  <si>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</si>
  <si>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</si>
  <si>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</si>
  <si>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</si>
  <si>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</si>
  <si>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</si>
  <si>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</si>
  <si>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</si>
  <si>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</si>
  <si>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</si>
  <si>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</si>
  <si>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</si>
  <si>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</si>
  <si>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</si>
  <si>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</si>
  <si>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</si>
  <si>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</si>
  <si>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</si>
  <si>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</si>
  <si>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</si>
  <si>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</si>
  <si>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</si>
  <si>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</si>
  <si>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</si>
  <si>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</si>
  <si>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</si>
  <si>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</si>
  <si>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</si>
  <si>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</si>
  <si>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</si>
  <si>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</si>
  <si>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</si>
  <si>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</si>
  <si>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</si>
  <si>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</si>
  <si>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</si>
  <si>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</si>
  <si>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</si>
  <si>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</si>
  <si>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</si>
  <si>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</si>
  <si>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</si>
  <si>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</si>
  <si>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</si>
  <si>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</si>
  <si>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</si>
  <si>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</si>
  <si>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</si>
  <si>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</si>
  <si>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</si>
  <si>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</si>
  <si>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</si>
  <si>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</si>
  <si>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</si>
  <si>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</si>
  <si>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</si>
  <si>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</si>
  <si>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</si>
  <si>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</si>
  <si>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</si>
  <si>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</si>
  <si>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</si>
  <si>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</si>
  <si>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</si>
  <si>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</si>
  <si>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</si>
  <si>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</si>
  <si>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</si>
  <si>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</si>
  <si>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</si>
  <si>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</si>
  <si>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</si>
  <si>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</si>
  <si>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</si>
  <si>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</si>
  <si>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</si>
  <si>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</si>
  <si>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</si>
  <si>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</si>
  <si>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</si>
  <si>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</si>
  <si>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</si>
  <si>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</si>
  <si>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</si>
  <si>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</si>
  <si>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</si>
  <si>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</si>
  <si>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</si>
  <si>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</si>
  <si>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</si>
  <si>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</si>
  <si>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</si>
  <si>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</si>
  <si>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</si>
  <si>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</si>
  <si>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</si>
  <si>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</si>
  <si>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</si>
  <si>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</si>
  <si>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</si>
  <si>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</si>
  <si>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</si>
  <si>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</si>
  <si>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</si>
  <si>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</si>
  <si>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</si>
  <si>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</si>
  <si>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</si>
  <si>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</si>
  <si>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</si>
  <si>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</si>
  <si>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</si>
  <si>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</si>
  <si>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</si>
  <si>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</si>
  <si>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</si>
  <si>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</si>
  <si>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</si>
  <si>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</si>
  <si>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</si>
  <si>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</si>
  <si>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</si>
  <si>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</si>
  <si>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</si>
  <si>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</si>
  <si>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</si>
  <si>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</si>
  <si>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</si>
  <si>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</si>
  <si>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</si>
  <si>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</si>
  <si>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</si>
  <si>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</si>
  <si>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</si>
  <si>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</si>
  <si>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</si>
  <si>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</si>
  <si>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</si>
  <si>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</si>
  <si>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</si>
  <si>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</si>
  <si>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</si>
  <si>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</si>
  <si>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</si>
  <si>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</si>
  <si>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</si>
  <si>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</si>
  <si>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</si>
  <si>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</si>
  <si>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</si>
  <si>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</si>
  <si>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</si>
  <si>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</si>
  <si>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</si>
  <si>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</si>
  <si>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</si>
  <si>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</si>
  <si>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</si>
  <si>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</si>
  <si>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</si>
  <si>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</si>
  <si>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</si>
  <si>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</si>
  <si>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</si>
  <si>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</si>
  <si>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</si>
  <si>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</si>
  <si>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</si>
  <si>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</si>
  <si>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</si>
  <si>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</si>
  <si>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</si>
  <si>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</si>
  <si>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</si>
  <si>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</si>
  <si>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</si>
  <si>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</si>
  <si>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</si>
  <si>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</si>
  <si>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</si>
  <si>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</si>
  <si>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</si>
  <si>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</si>
  <si>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</si>
  <si>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</si>
  <si>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</si>
  <si>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</si>
  <si>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</si>
  <si>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</si>
  <si>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</si>
  <si>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</si>
  <si>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</si>
  <si>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</si>
  <si>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</si>
  <si>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</si>
  <si>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</si>
  <si>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</si>
  <si>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</si>
  <si>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</si>
  <si>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</si>
  <si>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</si>
  <si>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</si>
  <si>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</si>
  <si>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</si>
  <si>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</si>
  <si>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</si>
  <si>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</si>
  <si>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</si>
  <si>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</si>
  <si>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</si>
  <si>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</si>
  <si>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</si>
  <si>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</si>
  <si>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</si>
  <si>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</si>
  <si>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</si>
  <si>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</si>
  <si>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</si>
  <si>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</si>
  <si>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</si>
  <si>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</si>
  <si>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</si>
  <si>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</si>
  <si>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</si>
  <si>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</si>
  <si>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</si>
  <si>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</si>
  <si>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</si>
  <si>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</si>
  <si>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</si>
  <si>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</si>
  <si>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</si>
  <si>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</si>
  <si>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</si>
  <si>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</si>
  <si>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</si>
  <si>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</si>
  <si>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</si>
  <si>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</si>
  <si>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</si>
  <si>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</si>
  <si>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</si>
  <si>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</si>
  <si>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</si>
  <si>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</si>
  <si>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</si>
  <si>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</si>
  <si>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</si>
  <si>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</si>
  <si>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</si>
  <si>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</si>
  <si>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</si>
  <si>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</si>
  <si>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</si>
  <si>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</si>
  <si>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</si>
  <si>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</si>
  <si>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</si>
  <si>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</si>
  <si>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</si>
  <si>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</si>
  <si>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</si>
  <si>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</si>
  <si>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</si>
  <si>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</si>
  <si>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</si>
  <si>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</si>
  <si>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</si>
  <si>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</si>
  <si>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</si>
  <si>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</si>
  <si>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</si>
  <si>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</si>
  <si>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</si>
  <si>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</si>
  <si>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</si>
  <si>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</si>
  <si>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</si>
  <si>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</si>
  <si>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</si>
  <si>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</si>
  <si>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</si>
  <si>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</si>
  <si>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</si>
  <si>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</si>
  <si>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</si>
  <si>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</si>
  <si>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</si>
  <si>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</si>
  <si>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</si>
  <si>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</si>
  <si>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</si>
  <si>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</si>
  <si>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</si>
  <si>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</si>
  <si>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</si>
  <si>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</si>
  <si>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</si>
  <si>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</si>
  <si>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</si>
  <si>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</si>
  <si>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</si>
  <si>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</si>
  <si>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</si>
  <si>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</si>
  <si>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</si>
  <si>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</si>
  <si>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</si>
  <si>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</si>
  <si>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</si>
  <si>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</si>
  <si>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</si>
  <si>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</si>
  <si>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</si>
  <si>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</si>
  <si>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</si>
  <si>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</si>
  <si>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</si>
  <si>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</si>
  <si>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</si>
  <si>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</si>
  <si>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</si>
  <si>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</si>
  <si>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</si>
  <si>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</si>
  <si>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</si>
  <si>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</si>
  <si>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</si>
  <si>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</si>
  <si>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</si>
  <si>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</si>
  <si>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</si>
  <si>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</si>
  <si>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</si>
  <si>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</si>
  <si>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</si>
  <si>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</si>
  <si>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</si>
  <si>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</si>
  <si>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</si>
  <si>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</si>
  <si>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</si>
  <si>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</si>
  <si>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</si>
  <si>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</si>
  <si>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</si>
  <si>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</si>
  <si>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</si>
  <si>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</si>
  <si>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</si>
  <si>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</si>
  <si>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</si>
  <si>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</si>
  <si>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</si>
  <si>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</si>
  <si>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</si>
  <si>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</si>
  <si>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</si>
  <si>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</si>
  <si>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</si>
  <si>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</si>
  <si>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</si>
  <si>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</si>
  <si>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</si>
  <si>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</si>
  <si>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</si>
  <si>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</si>
  <si>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</si>
  <si>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</si>
  <si>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</si>
  <si>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</si>
  <si>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</si>
  <si>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</si>
  <si>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</si>
  <si>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</si>
  <si>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</si>
  <si>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</si>
  <si>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</si>
  <si>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</si>
  <si>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</si>
  <si>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</si>
  <si>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</si>
  <si>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</si>
  <si>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</si>
  <si>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</si>
  <si>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</si>
  <si>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</si>
  <si>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</si>
  <si>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</si>
  <si>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</si>
  <si>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</si>
  <si>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</si>
  <si>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</si>
  <si>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</si>
  <si>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</si>
  <si>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</si>
  <si>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</si>
  <si>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</si>
  <si>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</si>
  <si>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</si>
  <si>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</si>
  <si>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</si>
  <si>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</si>
  <si>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</si>
  <si>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</si>
  <si>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</si>
  <si>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</si>
  <si>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</si>
  <si>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</si>
  <si>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</si>
  <si>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</si>
  <si>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</si>
  <si>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</si>
  <si>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</si>
  <si>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</si>
  <si>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</si>
  <si>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</si>
  <si>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</si>
  <si>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</si>
  <si>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</si>
  <si>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</si>
  <si>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</si>
  <si>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</si>
  <si>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</si>
  <si>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</si>
  <si>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</si>
  <si>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</si>
  <si>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</si>
  <si>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</si>
  <si>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</si>
  <si>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</si>
  <si>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</si>
  <si>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</si>
  <si>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</si>
  <si>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</si>
  <si>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</si>
  <si>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</si>
  <si>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</si>
  <si>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</si>
  <si>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</si>
  <si>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</si>
  <si>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</si>
  <si>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</si>
  <si>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</si>
  <si>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</si>
  <si>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</si>
  <si>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</si>
  <si>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</si>
  <si>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</si>
  <si>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</si>
  <si>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</si>
  <si>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</si>
  <si>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</si>
  <si>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</si>
  <si>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</si>
  <si>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</si>
  <si>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</si>
  <si>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</si>
  <si>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</si>
  <si>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</si>
  <si>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</si>
  <si>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</si>
  <si>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</si>
  <si>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</si>
  <si>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</si>
  <si>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</si>
  <si>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</si>
  <si>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</si>
  <si>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</si>
  <si>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</si>
  <si>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</si>
  <si>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</si>
  <si>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</si>
  <si>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</si>
  <si>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</si>
  <si>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</si>
  <si>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</si>
  <si>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</si>
  <si>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</si>
  <si>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</si>
  <si>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</si>
  <si>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</si>
  <si>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</si>
  <si>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</si>
  <si>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</si>
  <si>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</si>
  <si>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</si>
  <si>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</si>
  <si>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</si>
  <si>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</si>
  <si>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</si>
  <si>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</si>
  <si>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</si>
  <si>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</si>
  <si>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</si>
  <si>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</si>
  <si>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</si>
  <si>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</si>
  <si>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</si>
  <si>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</si>
  <si>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</si>
  <si>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</si>
  <si>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</si>
  <si>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</si>
  <si>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</si>
  <si>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</si>
  <si>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</si>
  <si>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</si>
  <si>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</si>
  <si>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</si>
  <si>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</si>
  <si>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</si>
  <si>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</si>
  <si>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</si>
  <si>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</si>
  <si>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</si>
  <si>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</si>
  <si>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</si>
  <si>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</si>
  <si>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</si>
  <si>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</si>
  <si>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</si>
  <si>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</si>
  <si>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</si>
  <si>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</si>
  <si>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</si>
  <si>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</si>
  <si>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</si>
  <si>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</si>
  <si>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</si>
  <si>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</si>
  <si>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</si>
  <si>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</si>
  <si>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</si>
  <si>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</si>
  <si>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</si>
  <si>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</si>
  <si>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</si>
  <si>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</si>
  <si>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</si>
  <si>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</si>
  <si>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</si>
  <si>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</si>
  <si>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</si>
  <si>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</si>
  <si>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</si>
  <si>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</si>
  <si>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</si>
  <si>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</si>
  <si>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</si>
  <si>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</si>
  <si>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</si>
  <si>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</si>
  <si>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</si>
  <si>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</si>
  <si>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</si>
  <si>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</si>
  <si>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</si>
  <si>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</si>
  <si>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</si>
  <si>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</si>
  <si>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</si>
  <si>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</si>
  <si>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</si>
  <si>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</si>
  <si>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</si>
  <si>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</si>
  <si>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</si>
  <si>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</si>
  <si>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</si>
  <si>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</si>
  <si>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</si>
  <si>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</si>
  <si>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</si>
  <si>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</si>
  <si>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</si>
  <si>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</si>
  <si>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</si>
  <si>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</si>
  <si>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</si>
  <si>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</si>
  <si>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</si>
  <si>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</si>
  <si>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</si>
  <si>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</si>
  <si>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</si>
  <si>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</si>
  <si>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</si>
  <si>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</si>
  <si>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</si>
  <si>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</si>
  <si>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</si>
  <si>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</si>
  <si>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</si>
  <si>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</si>
  <si>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</si>
  <si>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</si>
  <si>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</si>
  <si>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</si>
  <si>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</si>
  <si>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</si>
  <si>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</si>
  <si>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</si>
  <si>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</si>
  <si>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</si>
  <si>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</si>
  <si>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</si>
  <si>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</si>
  <si>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</si>
  <si>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</si>
  <si>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</si>
  <si>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</si>
  <si>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</si>
  <si>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</si>
  <si>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</si>
  <si>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</si>
  <si>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</si>
  <si>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</si>
  <si>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</si>
  <si>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</si>
  <si>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</si>
  <si>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</si>
  <si>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</si>
  <si>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</si>
  <si>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</si>
  <si>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</si>
  <si>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</si>
  <si>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</si>
  <si>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</si>
  <si>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</si>
  <si>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</si>
  <si>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</si>
  <si>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</si>
  <si>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</si>
  <si>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</si>
  <si>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</si>
  <si>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</si>
  <si>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</si>
  <si>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</si>
  <si>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</si>
  <si>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</si>
  <si>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</si>
  <si>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</si>
  <si>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</si>
  <si>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</si>
  <si>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</si>
  <si>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</si>
  <si>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</si>
  <si>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</si>
  <si>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</si>
  <si>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</si>
  <si>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</si>
  <si>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</si>
  <si>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</si>
  <si>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</si>
  <si>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</si>
  <si>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</si>
  <si>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</si>
  <si>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</si>
  <si>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</si>
  <si>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</si>
  <si>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</si>
  <si>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</si>
  <si>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</si>
  <si>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</si>
  <si>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</si>
  <si>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</si>
  <si>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</si>
  <si>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</si>
  <si>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</si>
  <si>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</si>
  <si>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</si>
  <si>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</si>
  <si>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</si>
  <si>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</si>
  <si>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</si>
  <si>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</si>
  <si>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</si>
  <si>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</si>
  <si>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</si>
  <si>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</si>
  <si>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</si>
  <si>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</si>
  <si>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</si>
  <si>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</si>
  <si>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</si>
  <si>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</si>
  <si>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</si>
  <si>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</si>
  <si>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</si>
  <si>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</si>
  <si>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</si>
  <si>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</si>
  <si>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</si>
  <si>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</si>
  <si>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</si>
  <si>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</si>
  <si>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</si>
  <si>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</si>
  <si>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</si>
  <si>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</si>
  <si>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</si>
  <si>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</si>
  <si>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</si>
  <si>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</si>
  <si>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</si>
  <si>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</si>
  <si>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</si>
  <si>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</si>
  <si>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</si>
  <si>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</si>
  <si>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</si>
  <si>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</si>
  <si>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</si>
  <si>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</si>
  <si>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</si>
  <si>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</si>
  <si>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</si>
  <si>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</si>
  <si>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</si>
  <si>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</si>
  <si>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</si>
  <si>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</si>
  <si>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</si>
  <si>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</si>
  <si>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</si>
  <si>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</si>
  <si>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</si>
  <si>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</si>
  <si>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</si>
  <si>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</si>
  <si>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</si>
  <si>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</si>
  <si>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</si>
  <si>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</si>
  <si>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</si>
  <si>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</si>
  <si>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</si>
  <si>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</si>
  <si>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</si>
  <si>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</si>
  <si>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</si>
  <si>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</si>
  <si>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</si>
  <si>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</si>
  <si>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</si>
  <si>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</si>
  <si>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</si>
  <si>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</si>
  <si>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</si>
  <si>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</si>
  <si>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</si>
  <si>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</si>
  <si>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</si>
  <si>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</si>
  <si>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</si>
  <si>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</si>
  <si>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</si>
  <si>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</si>
  <si>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</si>
  <si>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</si>
  <si>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</si>
  <si>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</si>
  <si>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</si>
  <si>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</si>
  <si>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</si>
  <si>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</si>
  <si>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</si>
  <si>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</si>
  <si>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</si>
  <si>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</si>
  <si>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</si>
  <si>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</si>
  <si>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</si>
  <si>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</si>
  <si>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</si>
  <si>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</si>
  <si>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</si>
  <si>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</si>
  <si>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</si>
  <si>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</si>
  <si>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</si>
  <si>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</si>
  <si>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</si>
  <si>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</si>
  <si>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</si>
  <si>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</si>
  <si>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</si>
  <si>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</si>
  <si>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</si>
  <si>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</si>
  <si>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</si>
  <si>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</si>
  <si>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</si>
  <si>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</si>
  <si>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</si>
  <si>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</si>
  <si>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</si>
  <si>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</si>
  <si>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</si>
  <si>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</si>
  <si>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</si>
  <si>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</si>
  <si>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</si>
  <si>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</si>
  <si>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</si>
  <si>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</si>
  <si>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</si>
  <si>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</si>
  <si>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</si>
  <si>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</si>
  <si>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</si>
  <si>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</si>
  <si>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</si>
  <si>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</si>
  <si>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</si>
  <si>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</si>
  <si>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</si>
  <si>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</si>
  <si>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</si>
  <si>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</si>
  <si>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</si>
  <si>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</si>
  <si>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</si>
  <si>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</si>
  <si>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</si>
  <si>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</si>
  <si>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</si>
  <si>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</si>
  <si>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</si>
  <si>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</si>
  <si>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</si>
  <si>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</si>
  <si>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</si>
  <si>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</si>
  <si>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</si>
  <si>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</si>
  <si>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</si>
  <si>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</si>
  <si>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</si>
  <si>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</si>
  <si>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</si>
  <si>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</si>
  <si>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</si>
  <si>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</si>
  <si>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</si>
  <si>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</si>
  <si>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</si>
  <si>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</si>
  <si>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</si>
  <si>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</si>
  <si>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</si>
  <si>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</si>
  <si>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</si>
  <si>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</si>
  <si>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</si>
  <si>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</si>
  <si>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</si>
  <si>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</si>
  <si>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</si>
  <si>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</si>
  <si>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</si>
  <si>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</si>
  <si>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</si>
  <si>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</si>
  <si>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</si>
  <si>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</si>
  <si>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</si>
  <si>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</si>
  <si>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</si>
  <si>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</si>
  <si>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</si>
  <si>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</si>
  <si>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</si>
  <si>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</si>
  <si>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</si>
  <si>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</si>
  <si>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</si>
  <si>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</si>
  <si>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</si>
  <si>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</si>
  <si>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</si>
  <si>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</si>
  <si>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</si>
  <si>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</si>
  <si>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</si>
  <si>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</si>
  <si>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</si>
  <si>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</si>
  <si>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</si>
  <si>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</si>
  <si>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</si>
  <si>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</si>
  <si>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</si>
  <si>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</si>
  <si>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</si>
  <si>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</si>
  <si>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</si>
  <si>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</si>
  <si>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</si>
  <si>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</si>
  <si>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</si>
  <si>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</si>
  <si>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</si>
  <si>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</si>
  <si>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</si>
  <si>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</si>
  <si>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</si>
  <si>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</si>
  <si>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</si>
  <si>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</si>
  <si>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</si>
  <si>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</si>
  <si>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</si>
  <si>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</si>
  <si>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</si>
  <si>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</si>
  <si>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</si>
  <si>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</si>
  <si>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</si>
  <si>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</si>
  <si>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</si>
  <si>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</si>
  <si>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</si>
  <si>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</si>
  <si>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</si>
  <si>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</si>
  <si>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</si>
  <si>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</si>
  <si>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</si>
  <si>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</si>
  <si>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</si>
  <si>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</si>
  <si>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</si>
  <si>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</si>
  <si>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</si>
  <si>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</si>
  <si>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</si>
  <si>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</si>
  <si>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</si>
  <si>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</si>
  <si>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</si>
  <si>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</si>
  <si>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</si>
  <si>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</si>
  <si>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</si>
  <si>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</si>
  <si>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</si>
  <si>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</si>
  <si>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</si>
  <si>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</si>
  <si>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</si>
  <si>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</si>
  <si>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</si>
  <si>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</si>
  <si>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</si>
  <si>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</si>
  <si>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</si>
  <si>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</si>
  <si>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</si>
  <si>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</si>
  <si>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</si>
  <si>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</si>
  <si>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</si>
  <si>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</si>
  <si>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</si>
  <si>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</si>
  <si>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</si>
  <si>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</si>
  <si>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</si>
  <si>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</si>
  <si>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</si>
  <si>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</si>
  <si>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</si>
  <si>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</si>
  <si>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</si>
  <si>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</si>
  <si>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</si>
  <si>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</si>
  <si>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</si>
  <si>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</si>
  <si>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</si>
  <si>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</si>
  <si>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</si>
  <si>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</si>
  <si>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</si>
  <si>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</si>
  <si>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</si>
  <si>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</si>
  <si>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</si>
  <si>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</si>
  <si>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</si>
  <si>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</si>
  <si>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</si>
  <si>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</si>
  <si>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</si>
  <si>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</si>
  <si>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</si>
  <si>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</si>
  <si>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</si>
  <si>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</si>
  <si>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</si>
  <si>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</si>
  <si>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</si>
  <si>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</si>
  <si>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</si>
  <si>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</si>
  <si>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</si>
  <si>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</si>
  <si>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</si>
  <si>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</si>
  <si>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</si>
  <si>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</si>
  <si>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</si>
  <si>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</si>
  <si>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</si>
  <si>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</si>
  <si>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</si>
  <si>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</si>
  <si>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</si>
  <si>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</si>
  <si>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</si>
  <si>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</si>
  <si>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</si>
  <si>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</si>
  <si>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</si>
  <si>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</si>
  <si>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</si>
  <si>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</si>
  <si>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</si>
  <si>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</si>
  <si>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</si>
  <si>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</si>
  <si>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</si>
  <si>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</si>
  <si>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</si>
  <si>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</si>
  <si>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</si>
  <si>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</si>
  <si>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</si>
  <si>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</si>
  <si>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</si>
  <si>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</si>
  <si>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</si>
  <si>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</si>
  <si>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</si>
  <si>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</si>
  <si>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</si>
  <si>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</si>
  <si>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</si>
  <si>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</si>
  <si>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</si>
  <si>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</si>
  <si>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</si>
  <si>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</si>
  <si>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</si>
  <si>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</si>
  <si>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</si>
  <si>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</si>
  <si>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</si>
  <si>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</si>
  <si>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</si>
  <si>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</si>
  <si>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</si>
  <si>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</si>
  <si>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</si>
  <si>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</si>
  <si>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</si>
  <si>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</si>
  <si>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</si>
  <si>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</si>
  <si>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</si>
  <si>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</si>
  <si>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</si>
  <si>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</si>
  <si>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</si>
  <si>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</si>
  <si>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</si>
  <si>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</si>
  <si>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</si>
  <si>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</si>
  <si>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</si>
  <si>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</si>
  <si>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</si>
  <si>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</si>
  <si>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</si>
  <si>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</si>
  <si>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</si>
  <si>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</si>
  <si>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</si>
  <si>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</si>
  <si>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</si>
  <si>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</si>
  <si>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</si>
  <si>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</si>
  <si>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</si>
  <si>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</si>
  <si>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</si>
  <si>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</si>
  <si>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</si>
  <si>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</si>
  <si>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</si>
  <si>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</si>
  <si>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</si>
  <si>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</si>
  <si>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</si>
  <si>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</si>
  <si>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</si>
  <si>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</si>
  <si>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</si>
  <si>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</si>
  <si>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</si>
  <si>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</si>
  <si>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</si>
  <si>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</si>
  <si>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</si>
  <si>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</si>
  <si>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</si>
  <si>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</si>
  <si>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</si>
  <si>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</si>
  <si>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</si>
  <si>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</si>
  <si>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</si>
  <si>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</si>
  <si>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</si>
  <si>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</si>
  <si>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</si>
  <si>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</si>
  <si>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</si>
  <si>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</si>
  <si>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</si>
  <si>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</si>
  <si>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</si>
  <si>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</si>
  <si>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</si>
  <si>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</si>
  <si>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</si>
  <si>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</si>
  <si>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</si>
  <si>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</si>
  <si>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</si>
  <si>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</si>
  <si>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</si>
  <si>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</si>
  <si>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</si>
  <si>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</si>
  <si>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</si>
  <si>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</si>
  <si>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</si>
  <si>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</si>
  <si>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</si>
  <si>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</si>
  <si>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</si>
  <si>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</si>
  <si>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</si>
  <si>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</si>
  <si>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</si>
  <si>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</si>
  <si>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</si>
  <si>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</si>
  <si>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</si>
  <si>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</si>
  <si>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</si>
  <si>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</si>
  <si>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</si>
  <si>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</si>
  <si>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</si>
  <si>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</si>
  <si>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</si>
  <si>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</si>
  <si>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</si>
  <si>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</si>
  <si>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</si>
  <si>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</si>
  <si>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</si>
  <si>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</si>
  <si>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</si>
  <si>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</si>
  <si>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</si>
  <si>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</si>
  <si>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</si>
  <si>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</si>
  <si>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</si>
  <si>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</si>
  <si>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</si>
  <si>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</si>
  <si>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</si>
  <si>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</si>
  <si>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</si>
  <si>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</si>
  <si>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</si>
  <si>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</si>
  <si>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</si>
  <si>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</si>
  <si>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</si>
  <si>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</si>
  <si>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</si>
  <si>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</si>
  <si>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</si>
  <si>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</si>
  <si>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</si>
  <si>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</si>
  <si>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</si>
  <si>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</si>
  <si>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</si>
  <si>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</si>
  <si>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</si>
  <si>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</si>
  <si>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</si>
  <si>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</si>
  <si>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</si>
  <si>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</si>
  <si>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</si>
  <si>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</si>
  <si>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</si>
  <si>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</si>
  <si>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</si>
  <si>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</si>
  <si>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</si>
  <si>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</si>
  <si>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</si>
  <si>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</si>
  <si>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</si>
  <si>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</si>
  <si>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</si>
  <si>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</si>
  <si>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</si>
  <si>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</si>
  <si>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</si>
  <si>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</si>
  <si>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</si>
  <si>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</si>
  <si>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</si>
  <si>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</si>
  <si>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</si>
  <si>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</si>
  <si>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</si>
  <si>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</si>
  <si>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</si>
  <si>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</si>
  <si>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</si>
  <si>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</si>
  <si>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</si>
  <si>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</si>
  <si>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</si>
  <si>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</si>
  <si>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</si>
  <si>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</si>
  <si>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</si>
  <si>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</si>
  <si>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</si>
  <si>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</si>
  <si>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</si>
  <si>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</si>
  <si>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</si>
  <si>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</si>
  <si>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</si>
  <si>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</si>
  <si>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</si>
  <si>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</si>
  <si>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</si>
  <si>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</si>
  <si>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</si>
  <si>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</si>
  <si>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</si>
  <si>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</si>
  <si>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</si>
  <si>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</si>
  <si>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</si>
  <si>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</si>
  <si>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</si>
  <si>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</si>
  <si>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</si>
  <si>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</si>
  <si>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</si>
  <si>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</si>
  <si>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</si>
  <si>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</si>
  <si>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</si>
  <si>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</si>
  <si>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</si>
  <si>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</si>
  <si>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</si>
  <si>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</si>
  <si>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</si>
  <si>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</si>
  <si>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</si>
  <si>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</si>
  <si>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</si>
  <si>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</si>
  <si>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</si>
  <si>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</si>
  <si>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</si>
  <si>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</si>
  <si>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</si>
  <si>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</si>
  <si>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</si>
  <si>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</si>
  <si>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</si>
  <si>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</si>
  <si>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</si>
  <si>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</si>
  <si>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</si>
  <si>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</si>
  <si>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</si>
  <si>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</si>
  <si>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</si>
  <si>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</si>
  <si>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</si>
  <si>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</si>
  <si>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</si>
  <si>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</si>
  <si>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</si>
  <si>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</si>
  <si>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</si>
  <si>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</si>
  <si>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</si>
  <si>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</si>
  <si>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</si>
  <si>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</si>
  <si>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</si>
  <si>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</si>
  <si>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</si>
  <si>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</si>
  <si>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</si>
  <si>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</si>
  <si>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</si>
  <si>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</si>
  <si>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</si>
  <si>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</si>
  <si>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</si>
  <si>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</si>
  <si>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</si>
  <si>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</si>
  <si>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</si>
  <si>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</si>
  <si>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</si>
  <si>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</si>
  <si>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</si>
  <si>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</si>
  <si>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</si>
  <si>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</si>
  <si>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</si>
  <si>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</si>
  <si>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</si>
  <si>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</si>
  <si>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</si>
  <si>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</si>
  <si>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</si>
  <si>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</si>
  <si>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</si>
  <si>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</si>
  <si>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</si>
  <si>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</si>
  <si>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</si>
  <si>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</si>
  <si>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</si>
  <si>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</si>
  <si>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</si>
  <si>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</si>
  <si>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</si>
  <si>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</si>
  <si>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</si>
  <si>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</si>
  <si>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</si>
  <si>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</si>
  <si>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</si>
  <si>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</si>
  <si>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</si>
  <si>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</si>
  <si>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</si>
  <si>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</si>
  <si>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</si>
  <si>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</si>
  <si>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</si>
  <si>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</si>
  <si>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</si>
  <si>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</si>
  <si>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</si>
  <si>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</si>
  <si>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</si>
  <si>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</si>
  <si>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</si>
  <si>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</si>
  <si>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</si>
  <si>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</si>
  <si>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</si>
  <si>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</si>
  <si>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</si>
  <si>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</si>
  <si>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</si>
  <si>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</si>
  <si>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</si>
  <si>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</si>
  <si>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</si>
  <si>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</si>
  <si>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</si>
  <si>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</si>
  <si>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</si>
  <si>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</si>
  <si>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</si>
  <si>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</si>
  <si>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</si>
  <si>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</si>
  <si>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</si>
  <si>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</si>
  <si>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</si>
  <si>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</si>
  <si>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</si>
  <si>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</si>
  <si>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</si>
  <si>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</si>
  <si>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</si>
  <si>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</si>
  <si>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</si>
  <si>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</si>
  <si>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</si>
  <si>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</si>
  <si>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</si>
  <si>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</si>
  <si>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</si>
  <si>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</si>
  <si>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</si>
  <si>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</si>
  <si>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</si>
  <si>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</si>
  <si>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</si>
  <si>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</si>
  <si>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</si>
  <si>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</si>
  <si>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</si>
  <si>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</si>
  <si>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</si>
  <si>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</si>
  <si>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</si>
  <si>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</si>
  <si>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</si>
  <si>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</si>
  <si>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</si>
  <si>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</si>
  <si>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</si>
  <si>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</si>
  <si>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</si>
  <si>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</si>
  <si>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</si>
  <si>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</si>
  <si>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</si>
  <si>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</si>
  <si>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</si>
  <si>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</si>
  <si>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</si>
  <si>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</si>
  <si>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</si>
  <si>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</si>
  <si>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</si>
  <si>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</si>
  <si>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</si>
  <si>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</si>
  <si>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</si>
  <si>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</si>
  <si>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</si>
  <si>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</si>
  <si>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</si>
  <si>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</si>
  <si>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</si>
  <si>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</si>
  <si>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</si>
  <si>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</si>
  <si>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</si>
  <si>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</si>
  <si>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</si>
  <si>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</si>
  <si>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</si>
  <si>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</si>
  <si>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</si>
  <si>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</si>
  <si>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</si>
  <si>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</si>
  <si>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</si>
  <si>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</si>
  <si>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</si>
  <si>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</si>
  <si>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</si>
  <si>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</si>
  <si>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</si>
  <si>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</si>
  <si>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</si>
  <si>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</si>
  <si>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</si>
  <si>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</si>
  <si>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</si>
  <si>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</si>
  <si>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</si>
  <si>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</si>
  <si>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</si>
  <si>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</si>
  <si>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</si>
  <si>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</si>
  <si>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</si>
  <si>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</si>
  <si>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</si>
  <si>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</si>
  <si>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</si>
  <si>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</si>
  <si>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</si>
  <si>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</si>
  <si>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</si>
  <si>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</si>
  <si>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</si>
  <si>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</si>
  <si>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</si>
  <si>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</si>
  <si>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</si>
  <si>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</si>
  <si>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</si>
  <si>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</si>
  <si>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</si>
  <si>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</si>
  <si>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</si>
  <si>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</si>
  <si>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</si>
  <si>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</si>
  <si>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</si>
  <si>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</si>
  <si>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</si>
  <si>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</si>
  <si>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</si>
  <si>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</si>
  <si>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</si>
  <si>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</si>
  <si>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</si>
  <si>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</si>
  <si>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</si>
  <si>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</si>
  <si>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</si>
  <si>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</si>
  <si>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</si>
  <si>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</si>
  <si>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</si>
  <si>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</si>
  <si>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</si>
  <si>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</si>
  <si>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</si>
  <si>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</si>
  <si>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</si>
  <si>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</si>
  <si>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</si>
  <si>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</si>
  <si>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</si>
  <si>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</si>
  <si>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</si>
  <si>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</si>
  <si>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</si>
  <si>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</si>
  <si>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</si>
  <si>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</si>
  <si>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</si>
  <si>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</si>
  <si>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</si>
  <si>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</si>
  <si>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</si>
  <si>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</si>
  <si>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</si>
  <si>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</si>
  <si>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</si>
  <si>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</si>
  <si>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</si>
  <si>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</si>
  <si>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</si>
  <si>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</si>
  <si>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</si>
  <si>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</si>
  <si>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</si>
  <si>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</si>
  <si>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</si>
  <si>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</si>
  <si>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</si>
  <si>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</si>
  <si>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</si>
  <si>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</si>
  <si>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</si>
  <si>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</si>
  <si>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</si>
  <si>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</si>
  <si>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</si>
  <si>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</si>
  <si>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</si>
  <si>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</si>
  <si>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</si>
  <si>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</si>
  <si>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</si>
  <si>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</si>
  <si>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</si>
  <si>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</si>
  <si>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</si>
  <si>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</si>
  <si>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</si>
  <si>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</si>
  <si>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</si>
  <si>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</si>
  <si>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</si>
  <si>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</si>
  <si>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</si>
  <si>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</si>
  <si>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</si>
  <si>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</si>
  <si>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</si>
  <si>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</si>
  <si>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</si>
  <si>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</si>
  <si>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</si>
  <si>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</si>
  <si>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</si>
  <si>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</si>
  <si>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</si>
  <si>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</si>
  <si>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</si>
  <si>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</si>
  <si>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</si>
  <si>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</si>
  <si>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</si>
  <si>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</si>
  <si>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</si>
  <si>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</si>
  <si>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</si>
  <si>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</si>
  <si>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</si>
  <si>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</si>
  <si>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</si>
  <si>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</si>
  <si>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</si>
  <si>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</si>
  <si>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</si>
  <si>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</si>
  <si>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</si>
  <si>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</si>
  <si>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</si>
  <si>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</si>
  <si>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</si>
  <si>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</si>
  <si>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</si>
  <si>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</si>
  <si>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</si>
  <si>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</si>
  <si>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</si>
  <si>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</si>
  <si>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</si>
  <si>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</si>
  <si>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</si>
  <si>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</si>
  <si>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</si>
  <si>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</si>
  <si>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</si>
  <si>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</si>
  <si>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</si>
  <si>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</si>
  <si>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</si>
  <si>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</si>
  <si>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</si>
  <si>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</si>
  <si>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</si>
  <si>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</si>
  <si>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</si>
  <si>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</si>
  <si>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</si>
  <si>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</si>
  <si>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</si>
  <si>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</si>
  <si>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</si>
  <si>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</si>
  <si>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</si>
  <si>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</si>
  <si>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</si>
  <si>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</si>
  <si>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</si>
  <si>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</si>
  <si>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</si>
  <si>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</si>
  <si>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</si>
  <si>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</si>
  <si>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</si>
  <si>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</si>
  <si>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</si>
  <si>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</si>
  <si>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</si>
  <si>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</si>
  <si>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</si>
  <si>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</si>
  <si>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</si>
  <si>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</si>
  <si>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</si>
  <si>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</si>
  <si>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</si>
  <si>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</si>
  <si>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</si>
  <si>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</si>
  <si>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</si>
  <si>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</si>
  <si>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</si>
  <si>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</si>
  <si>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</si>
  <si>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</si>
  <si>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</si>
  <si>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</si>
  <si>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</si>
  <si>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</si>
  <si>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</si>
  <si>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</si>
  <si>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</si>
  <si>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</si>
  <si>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</si>
  <si>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</si>
  <si>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</si>
  <si>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</si>
  <si>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</si>
  <si>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</si>
  <si>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</si>
  <si>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</si>
  <si>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</si>
  <si>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</si>
  <si>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</si>
  <si>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</si>
  <si>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</si>
  <si>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</si>
  <si>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</si>
  <si>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</si>
  <si>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</si>
  <si>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</si>
  <si>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</si>
  <si>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</si>
  <si>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</si>
  <si>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</si>
  <si>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</si>
  <si>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</si>
  <si>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</si>
  <si>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</si>
  <si>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</si>
  <si>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</si>
  <si>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</si>
  <si>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</si>
  <si>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</si>
  <si>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</si>
  <si>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</si>
  <si>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</si>
  <si>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</si>
  <si>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</si>
  <si>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</si>
  <si>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</si>
  <si>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</si>
  <si>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</si>
  <si>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</si>
  <si>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</si>
  <si>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</si>
  <si>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</si>
  <si>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</si>
  <si>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</si>
  <si>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</si>
  <si>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</si>
  <si>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</si>
  <si>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</si>
  <si>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</si>
  <si>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</si>
  <si>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</si>
  <si>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</si>
  <si>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</si>
  <si>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</si>
  <si>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</si>
  <si>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</si>
  <si>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</si>
  <si>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</si>
  <si>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</si>
  <si>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</si>
  <si>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</si>
  <si>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</si>
  <si>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</si>
  <si>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</si>
  <si>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</si>
  <si>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</si>
  <si>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</si>
  <si>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</si>
  <si>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安徽省宿州市</t>
    <phoneticPr fontId="6" type="noConversion"/>
  </si>
  <si>
    <t>企业</t>
  </si>
  <si>
    <t>宿州市东城建设投资有限责任公司</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</si>
  <si>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</si>
  <si>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</si>
  <si>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39</t>
    </r>
    <r>
      <rPr>
        <sz val="12"/>
        <color theme="9" tint="-0.249977111117893"/>
        <rFont val="宋体"/>
        <family val="3"/>
        <charset val="134"/>
      </rPr>
      <t>年</t>
    </r>
    <phoneticPr fontId="6" type="noConversion"/>
  </si>
  <si>
    <t>是</t>
  </si>
  <si>
    <t>办公</t>
    <phoneticPr fontId="3" type="noConversion"/>
  </si>
  <si>
    <t>地上</t>
  </si>
  <si>
    <t>成新度</t>
  </si>
  <si>
    <t>收益法</t>
  </si>
  <si>
    <t>较好</t>
  </si>
  <si>
    <t>较好</t>
    <phoneticPr fontId="25" type="noConversion"/>
  </si>
  <si>
    <t>较好</t>
    <phoneticPr fontId="41" type="noConversion"/>
  </si>
  <si>
    <t>六通</t>
  </si>
  <si>
    <t>六通</t>
    <phoneticPr fontId="25" type="noConversion"/>
  </si>
  <si>
    <t>现房</t>
  </si>
  <si>
    <t>比较法-办公</t>
  </si>
  <si>
    <t>押一</t>
  </si>
  <si>
    <t>钢混</t>
  </si>
  <si>
    <t>非生产用房</t>
  </si>
  <si>
    <t>售价</t>
  </si>
  <si>
    <t>家乐福公寓</t>
    <phoneticPr fontId="3" type="noConversion"/>
  </si>
  <si>
    <t>正常</t>
  </si>
  <si>
    <t>办公</t>
    <phoneticPr fontId="32" type="noConversion"/>
  </si>
  <si>
    <t>30-40（含）</t>
  </si>
  <si>
    <t>万达广场</t>
    <phoneticPr fontId="3" type="noConversion"/>
  </si>
  <si>
    <t>华夏世贸广场</t>
    <phoneticPr fontId="3" type="noConversion"/>
  </si>
  <si>
    <t>高区</t>
  </si>
  <si>
    <t>高区</t>
    <phoneticPr fontId="32" type="noConversion"/>
  </si>
  <si>
    <t>中区</t>
  </si>
  <si>
    <t>中区</t>
    <phoneticPr fontId="32" type="noConversion"/>
  </si>
  <si>
    <t>低区</t>
  </si>
  <si>
    <t>低区</t>
    <phoneticPr fontId="32" type="noConversion"/>
  </si>
  <si>
    <t>精装</t>
    <phoneticPr fontId="32" type="noConversion"/>
  </si>
  <si>
    <t>普装</t>
    <phoneticPr fontId="32" type="noConversion"/>
  </si>
  <si>
    <t>简装</t>
    <phoneticPr fontId="32" type="noConversion"/>
  </si>
  <si>
    <t>毛坯</t>
    <phoneticPr fontId="32" type="noConversion"/>
  </si>
  <si>
    <t>甲级</t>
    <phoneticPr fontId="32" type="noConversion"/>
  </si>
  <si>
    <t>乙级</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</si>
  <si>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</si>
  <si>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</si>
  <si>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</si>
  <si>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</si>
  <si>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</si>
  <si>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按租金收入计税</t>
  </si>
  <si>
    <r>
      <rPr>
        <sz val="12"/>
        <color theme="9" tint="-0.249977111117893"/>
        <rFont val="宋体"/>
        <family val="3"/>
        <charset val="134"/>
      </rPr>
      <t>卞河西路南侧林泉苑</t>
    </r>
    <r>
      <rPr>
        <sz val="12"/>
        <color theme="9" tint="-0.249977111117893"/>
        <rFont val="Arial"/>
        <family val="2"/>
      </rPr>
      <t>A#</t>
    </r>
    <r>
      <rPr>
        <sz val="12"/>
        <color theme="9" tint="-0.249977111117893"/>
        <rFont val="宋体"/>
        <family val="3"/>
        <charset val="134"/>
      </rPr>
      <t>楼</t>
    </r>
    <r>
      <rPr>
        <sz val="12"/>
        <color theme="9" tint="-0.249977111117893"/>
        <rFont val="Arial"/>
        <family val="2"/>
      </rPr>
      <t>0300</t>
    </r>
    <r>
      <rPr>
        <sz val="12"/>
        <color theme="9" tint="-0.249977111117893"/>
        <rFont val="宋体"/>
        <family val="3"/>
        <charset val="134"/>
      </rPr>
      <t>室</t>
    </r>
    <phoneticPr fontId="6"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</si>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</sst>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0" borderId="1" xfId="12" applyFont="1" applyBorder="1" applyAlignment="1" applyProtection="1">
      <alignment horizontal="center" vertical="center" wrapText="1"/>
      <protection locked="0"/>
    </xf>
    <xf numFmtId="0" fontId="170" fillId="0" borderId="1" xfId="12" applyBorder="1" applyAlignment="1" applyProtection="1">
      <alignment horizont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13</xdr:col>
      <xdr:colOff>636982</xdr:colOff>
      <xdr:row>9</xdr:row>
      <xdr:rowOff>76004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7625"/>
          <a:ext cx="9552382" cy="1571429"/>
        </a:xfrm>
        <a:prstGeom prst="rect">
          <a:avLst/>
        </a:prstGeom>
      </xdr:spPr>
    </xdr:pic>
    <xdr:clientData/>
  </xdr:twoCellAnchor>
  <xdr:twoCellAnchor editAs="oneCell">
    <xdr:from>
      <xdr:col>0</xdr:col>
      <xdr:colOff>0</xdr:colOff>
      <xdr:row>21</xdr:row>
      <xdr:rowOff>114300</xdr:rowOff>
    </xdr:from>
    <xdr:to>
      <xdr:col>13</xdr:col>
      <xdr:colOff>436982</xdr:colOff>
      <xdr:row>29</xdr:row>
      <xdr:rowOff>142700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714750"/>
          <a:ext cx="9352382" cy="1400000"/>
        </a:xfrm>
        <a:prstGeom prst="rect">
          <a:avLst/>
        </a:prstGeom>
      </xdr:spPr>
    </xdr:pic>
    <xdr:clientData/>
  </xdr:twoCellAnchor>
  <xdr:twoCellAnchor editAs="oneCell">
    <xdr:from>
      <xdr:col>0</xdr:col>
      <xdr:colOff>0</xdr:colOff>
      <xdr:row>30</xdr:row>
      <xdr:rowOff>0</xdr:rowOff>
    </xdr:from>
    <xdr:to>
      <xdr:col>11</xdr:col>
      <xdr:colOff>427629</xdr:colOff>
      <xdr:row>41</xdr:row>
      <xdr:rowOff>171193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7971429" cy="2057143"/>
        </a:xfrm>
        <a:prstGeom prst="rect">
          <a:avLst/>
        </a:prstGeom>
      </xdr:spPr>
    </xdr:pic>
    <xdr:clientData/>
  </xdr:twoCellAnchor>
  <xdr:twoCellAnchor editAs="oneCell">
    <xdr:from>
      <xdr:col>0</xdr:col>
      <xdr:colOff>0</xdr:colOff>
      <xdr:row>10</xdr:row>
      <xdr:rowOff>0</xdr:rowOff>
    </xdr:from>
    <xdr:to>
      <xdr:col>12</xdr:col>
      <xdr:colOff>351353</xdr:colOff>
      <xdr:row>20</xdr:row>
      <xdr:rowOff>9310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714500"/>
          <a:ext cx="8580953" cy="1723810"/>
        </a:xfrm>
        <a:prstGeom prst="rect">
          <a:avLst/>
        </a:prstGeom>
      </xdr:spPr>
    </xdr:pic>
    <xdr:clientData/>
  </xdr:twoCellAnchor>
  <xdr:twoCellAnchor editAs="oneCell">
    <xdr:from>
      <xdr:col>0</xdr:col>
      <xdr:colOff>0</xdr:colOff>
      <xdr:row>42</xdr:row>
      <xdr:rowOff>0</xdr:rowOff>
    </xdr:from>
    <xdr:to>
      <xdr:col>17</xdr:col>
      <xdr:colOff>350925</xdr:colOff>
      <xdr:row>77</xdr:row>
      <xdr:rowOff>8774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7200900"/>
          <a:ext cx="12009525" cy="6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65288;&#24481;&#29855;&#20848;&#24237;&#65289;-&#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03;&#23429;&#22320;-&#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11883.109999999997</v>
          </cell>
          <cell r="S22">
            <v>20561</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经济技术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0"/>
      <sheetName val="剩余法-待开发"/>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10291</v>
          </cell>
        </row>
        <row r="14">
          <cell r="B14">
            <v>96744.53</v>
          </cell>
          <cell r="C14">
            <v>34987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安徽省宿州市卞河西路南侧林泉苑A#楼0300室房地产抵押价值预评估</v>
      </c>
    </row>
    <row r="3" spans="1:2" s="1593" customFormat="1">
      <c r="A3" s="1591" t="s">
        <v>1217</v>
      </c>
      <c r="B3" s="1592" t="str">
        <f>'预评函-封皮'!B40</f>
        <v>宿州市东城建设投资有限责任公司</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受贵公司委托，我公司对安徽省宿州市卞河西路南侧林泉苑A#楼0300室房地产抵押价值进行了预评估。</v>
      </c>
    </row>
    <row r="7" spans="1:2" s="1593" customFormat="1">
      <c r="A7" s="1591" t="s">
        <v>1260</v>
      </c>
      <c r="B7" s="1592" t="str">
        <f>'预评函-1'!A7</f>
        <v>估价对象为安徽省宿州市卞河西路南侧林泉苑A#楼0300室房地产，为宿州市东城建设投资有限责任公司所有。根据《国有土地使用证》[]，估价对象（分摊）出让国有建设用地使用权面积为0平方米，建筑面积为1010.65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安徽省宿州市卞河西路南侧林泉苑A#楼0300室房地产,属宿州市东城建设投资有限责任公司开发建设的，该项目尚在开发建设中。根据《国有土地使用证》[]，估价对象（分摊）出让国有建设用地使用权面积为0平方米，规划建筑面积为1010.65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2019年8月16日</v>
      </c>
    </row>
    <row r="13" spans="1:2" s="1593" customFormat="1">
      <c r="A13" s="1591" t="s">
        <v>1223</v>
      </c>
      <c r="B13" s="1592" t="str">
        <f>'预评函-1'!A18</f>
        <v>本次估价的“房地产价值”是指在正常市场情况下，在价值时点2019年8月16日，估价对象规划用途为办公，土地取得方式为出让，出让国有建设用地使用权剩余土地使用年限为办公39年，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七通”（即、、、、、、）、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569</v>
      </c>
    </row>
    <row r="21" spans="1:2" s="1593" customFormat="1">
      <c r="A21" s="1591" t="s">
        <v>1231</v>
      </c>
      <c r="B21" s="1592">
        <f ca="1">'预评函-2'!D7</f>
        <v>5630</v>
      </c>
    </row>
    <row r="22" spans="1:2" s="1593" customFormat="1">
      <c r="A22" s="1591" t="s">
        <v>1232</v>
      </c>
      <c r="B22" s="1592" t="str">
        <f ca="1">'预评函-2'!D6</f>
        <v>伍佰陆拾玖万元整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569</v>
      </c>
    </row>
    <row r="31" spans="1:2" s="1593" customFormat="1">
      <c r="A31" s="1591" t="s">
        <v>1270</v>
      </c>
      <c r="B31" s="1592">
        <f ca="1">'预评函-2'!D15</f>
        <v>5630</v>
      </c>
    </row>
    <row r="32" spans="1:2" s="1593" customFormat="1">
      <c r="A32" s="1591" t="s">
        <v>1237</v>
      </c>
      <c r="B32" s="1592" t="str">
        <f ca="1">'预评函-2'!D14</f>
        <v>伍佰陆拾玖万元整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安徽省宿州市卞河西路南侧林泉苑A#楼0300室房地产</v>
      </c>
    </row>
    <row r="42" spans="1:2" s="1593" customFormat="1">
      <c r="A42" s="1591" t="s">
        <v>1284</v>
      </c>
      <c r="B42" s="1592" t="str">
        <f>'预评函-3'!B2</f>
        <v>建筑面积</v>
      </c>
    </row>
    <row r="43" spans="1:2" s="1593" customFormat="1">
      <c r="A43" s="1591" t="s">
        <v>1285</v>
      </c>
      <c r="B43" s="1592">
        <f>'预评函-3'!B4</f>
        <v>1010.65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宿州市东城建设投资有限责任公司拟使用安徽省宿州市卞河西路南侧林泉苑A#楼0300室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安徽省宿州市卞河西路南侧林泉苑A#楼0300室房地产抵押价值预评估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安徽省宿州市卞河西路南侧林泉苑A#楼0300室房地产抵押价值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安徽省宿州市卞河西路南侧林泉苑A#楼0300室房地产</v>
      </c>
    </row>
    <row r="3" spans="1:19" ht="18" customHeight="1">
      <c r="A3" s="2034" t="s">
        <v>1773</v>
      </c>
      <c r="B3" s="2035"/>
      <c r="C3" s="2036" t="s">
        <v>1774</v>
      </c>
      <c r="D3" s="2035">
        <v>43693</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952" t="s">
        <v>3058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953" t="s">
        <v>3058</v>
      </c>
      <c r="C7" s="2048"/>
      <c r="D7" s="2049"/>
      <c r="E7" s="2033"/>
      <c r="F7" s="2041"/>
      <c r="G7" s="2041"/>
      <c r="H7" s="2041"/>
      <c r="I7" s="2041"/>
      <c r="J7" s="2041"/>
      <c r="K7" s="2051"/>
      <c r="L7" s="2027"/>
      <c r="M7" s="2027"/>
      <c r="N7" s="2028"/>
      <c r="O7" s="2029"/>
      <c r="P7" s="2028"/>
      <c r="Q7" s="2028"/>
      <c r="R7" s="2028"/>
    </row>
    <row r="8" spans="1:19" ht="18" customHeight="1">
      <c r="A8" s="2046" t="s">
        <v>1779</v>
      </c>
      <c r="B8" s="2052" t="s">
        <v>3053</v>
      </c>
      <c r="C8" s="2053"/>
      <c r="D8" s="3009" t="s">
        <v>1780</v>
      </c>
      <c r="E8" s="2054" t="s">
        <v>3054</v>
      </c>
      <c r="F8" s="2055"/>
      <c r="G8" s="2025"/>
      <c r="H8" s="2025"/>
      <c r="I8" s="2025"/>
      <c r="J8" s="2041"/>
      <c r="K8" s="2042"/>
      <c r="L8" s="2027"/>
      <c r="M8" s="2027"/>
      <c r="N8" s="2028"/>
      <c r="O8" s="2029"/>
      <c r="P8" s="2028"/>
      <c r="Q8" s="2028"/>
      <c r="R8" s="2028"/>
    </row>
    <row r="9" spans="1:19" ht="18" customHeight="1" thickBot="1">
      <c r="A9" s="2039" t="s">
        <v>1781</v>
      </c>
      <c r="B9" s="2056" t="s">
        <v>3054</v>
      </c>
      <c r="C9" s="2057"/>
      <c r="D9" s="3010"/>
      <c r="E9" s="2056" t="s">
        <v>70</v>
      </c>
      <c r="F9" s="2058"/>
      <c r="G9" s="2059"/>
      <c r="H9" s="2059"/>
      <c r="I9" s="2059"/>
      <c r="J9" s="2041"/>
      <c r="K9" s="2051"/>
      <c r="L9" s="2027"/>
      <c r="M9" s="2027"/>
      <c r="N9" s="2028"/>
      <c r="O9" s="2029"/>
      <c r="P9" s="2028"/>
      <c r="Q9" s="2028"/>
      <c r="R9" s="2028"/>
    </row>
    <row r="10" spans="1:19" ht="18" customHeight="1" thickTop="1">
      <c r="A10" s="2060" t="s">
        <v>1782</v>
      </c>
      <c r="B10" s="2061" t="s">
        <v>3055</v>
      </c>
      <c r="C10" s="2955" t="s">
        <v>3056</v>
      </c>
      <c r="D10" s="2045"/>
      <c r="E10" s="2062" t="s">
        <v>1783</v>
      </c>
      <c r="F10" s="2063" t="s">
        <v>3102</v>
      </c>
      <c r="G10" s="2064"/>
      <c r="H10" s="2065"/>
      <c r="I10" s="2045"/>
      <c r="J10" s="2041"/>
      <c r="K10" s="2051"/>
      <c r="L10" s="2027"/>
      <c r="M10" s="2027"/>
      <c r="N10" s="2028"/>
      <c r="O10" s="2029"/>
      <c r="P10" s="2028"/>
      <c r="Q10" s="2028"/>
      <c r="R10" s="2028"/>
    </row>
    <row r="11" spans="1:19" ht="18" customHeight="1">
      <c r="A11" s="2066" t="s">
        <v>1784</v>
      </c>
      <c r="B11" s="2067" t="s">
        <v>3057</v>
      </c>
      <c r="C11" s="2954" t="s">
        <v>3058</v>
      </c>
      <c r="D11" s="2068"/>
      <c r="E11" s="2041"/>
      <c r="F11" s="2041"/>
      <c r="G11" s="2041"/>
      <c r="H11" s="2041"/>
      <c r="I11" s="2041"/>
      <c r="J11" s="2041"/>
      <c r="K11" s="2051"/>
      <c r="L11" s="2027"/>
      <c r="M11" s="2027"/>
      <c r="N11" s="2028"/>
      <c r="O11" s="2029"/>
      <c r="P11" s="2028"/>
      <c r="Q11" s="2028"/>
      <c r="R11" s="2028"/>
    </row>
    <row r="12" spans="1:19" ht="18" customHeight="1">
      <c r="A12" s="2069" t="s">
        <v>1785</v>
      </c>
      <c r="B12" s="2067" t="s">
        <v>3059</v>
      </c>
      <c r="C12" s="2070" t="s">
        <v>1786</v>
      </c>
      <c r="D12" s="2071" t="s">
        <v>1787</v>
      </c>
      <c r="E12" s="2071" t="s">
        <v>1788</v>
      </c>
      <c r="F12" s="2071" t="s">
        <v>1789</v>
      </c>
      <c r="G12" s="2071" t="s">
        <v>1790</v>
      </c>
      <c r="H12" s="2071" t="s">
        <v>1791</v>
      </c>
      <c r="I12" s="2071" t="s">
        <v>1792</v>
      </c>
      <c r="J12" s="2041"/>
      <c r="K12" s="2051"/>
      <c r="L12" s="2027"/>
      <c r="M12" s="2027"/>
      <c r="N12" s="2028"/>
      <c r="O12" s="2029"/>
      <c r="P12" s="2028"/>
      <c r="Q12" s="2028"/>
      <c r="R12" s="2028"/>
    </row>
    <row r="13" spans="1:19" ht="18" customHeight="1">
      <c r="A13" s="2072"/>
      <c r="B13" s="2073"/>
      <c r="C13" s="2074" t="s">
        <v>1793</v>
      </c>
      <c r="D13" s="2075"/>
      <c r="E13" s="2075"/>
      <c r="F13" s="2075">
        <v>57930</v>
      </c>
      <c r="G13" s="2075"/>
      <c r="H13" s="2075"/>
      <c r="I13" s="1047"/>
      <c r="J13" s="2041"/>
      <c r="K13" s="2051"/>
      <c r="L13" s="2027"/>
      <c r="M13" s="2027"/>
      <c r="N13" s="2028"/>
      <c r="O13" s="2029"/>
      <c r="P13" s="2028"/>
      <c r="Q13" s="2028"/>
      <c r="R13" s="2028"/>
    </row>
    <row r="14" spans="1:19" ht="18" customHeight="1">
      <c r="A14" s="2072"/>
      <c r="B14" s="2073"/>
      <c r="C14" s="2074" t="s">
        <v>1794</v>
      </c>
      <c r="D14" s="1050"/>
      <c r="E14" s="1050"/>
      <c r="F14" s="1050">
        <v>50</v>
      </c>
      <c r="G14" s="1050"/>
      <c r="H14" s="1050"/>
      <c r="I14" s="1050"/>
      <c r="J14" s="2041"/>
      <c r="K14" s="2076"/>
      <c r="L14" s="2027"/>
      <c r="M14" s="2027"/>
      <c r="N14" s="2028"/>
      <c r="O14" s="2029"/>
      <c r="P14" s="2028"/>
      <c r="Q14" s="2028"/>
      <c r="R14" s="2028"/>
    </row>
    <row r="15" spans="1:19" ht="18" customHeight="1">
      <c r="A15" s="2060"/>
      <c r="B15" s="2077"/>
      <c r="C15" s="2074" t="s">
        <v>1795</v>
      </c>
      <c r="D15" s="1049" t="str">
        <f>IF(B12="出让",IF(D13="","",ROUNDDOWN(MIN((D13-$D$3)/365,D14),2)),D14)</f>
        <v/>
      </c>
      <c r="E15" s="1049" t="str">
        <f>IF(B12="出让",IF(E13="","",ROUNDDOWN(MIN((E13-$D$3)/365,E14),2)),E14)</f>
        <v/>
      </c>
      <c r="F15" s="1049">
        <f>IF(B12="出让",IF(F13="","",ROUNDDOWN(MIN((F13-$D$3)/365,F14),2)),F14)</f>
        <v>39</v>
      </c>
      <c r="G15" s="1049" t="str">
        <f>IF(B12="出让",IF(G13="","",ROUNDDOWN(MIN((G13-$D$3)/365,G14),2)),G14)</f>
        <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1796</v>
      </c>
      <c r="B16" s="3016" t="s">
        <v>3060</v>
      </c>
      <c r="C16" s="3017"/>
      <c r="D16" s="3018"/>
      <c r="E16" s="2081" t="s">
        <v>1797</v>
      </c>
      <c r="F16" s="3019" t="s">
        <v>3061</v>
      </c>
      <c r="G16" s="3020"/>
      <c r="H16" s="3020"/>
      <c r="I16" s="3021"/>
      <c r="J16" s="2028"/>
      <c r="K16" s="2078"/>
      <c r="L16" s="2079"/>
      <c r="M16" s="2079"/>
      <c r="N16" s="2080"/>
      <c r="O16" s="2079"/>
      <c r="P16" s="2080"/>
      <c r="Q16" s="2028"/>
      <c r="R16" s="2028"/>
    </row>
    <row r="17" spans="1:22" ht="18" customHeight="1">
      <c r="A17" s="2082" t="s">
        <v>1798</v>
      </c>
      <c r="B17" s="2034" t="s">
        <v>1799</v>
      </c>
      <c r="C17" s="1054">
        <f>'数据-汇总表'!E3</f>
        <v>1010.65</v>
      </c>
      <c r="D17" s="2083" t="s">
        <v>1800</v>
      </c>
      <c r="E17" s="3022" t="s">
        <v>1801</v>
      </c>
      <c r="F17" s="3023"/>
      <c r="G17" s="3023"/>
      <c r="H17" s="3023"/>
      <c r="I17" s="3024"/>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0</v>
      </c>
      <c r="D18" s="2086" t="s">
        <v>1800</v>
      </c>
      <c r="E18" s="3025" t="s">
        <v>1804</v>
      </c>
      <c r="F18" s="3026"/>
      <c r="G18" s="3026"/>
      <c r="H18" s="3026"/>
      <c r="I18" s="3027"/>
      <c r="J18" s="2028"/>
      <c r="K18" s="2084"/>
      <c r="L18" s="2079"/>
      <c r="M18" s="2079"/>
      <c r="N18" s="2080"/>
      <c r="O18" s="2079"/>
      <c r="P18" s="2080"/>
      <c r="Q18" s="2028"/>
      <c r="R18" s="2028"/>
      <c r="S18" s="2028"/>
      <c r="T18" s="2028"/>
      <c r="U18" s="2028"/>
      <c r="V18" s="2028"/>
    </row>
    <row r="19" spans="1:22" ht="37.5" customHeight="1" thickTop="1" thickBot="1">
      <c r="A19" s="373" t="s">
        <v>1805</v>
      </c>
      <c r="B19" s="352" t="s">
        <v>1806</v>
      </c>
      <c r="C19" s="2087"/>
      <c r="D19" s="2088" t="s">
        <v>1807</v>
      </c>
      <c r="E19" s="2089"/>
      <c r="F19" s="2090" t="str">
        <f>IF(AND(C19="是",E19="否"),"是否提供他项权证或相关说明","")</f>
        <v/>
      </c>
      <c r="G19" s="2091"/>
      <c r="H19" s="2041"/>
      <c r="I19" s="2041"/>
      <c r="J19" s="2041"/>
      <c r="K19" s="2051"/>
      <c r="L19" s="2027"/>
      <c r="M19" s="2027"/>
      <c r="N19" s="2080"/>
      <c r="O19" s="2079"/>
      <c r="P19" s="2080"/>
      <c r="Q19" s="2028"/>
      <c r="R19" s="2028"/>
      <c r="S19" s="2028"/>
      <c r="T19" s="2028"/>
      <c r="U19" s="2028"/>
      <c r="V19" s="2028"/>
    </row>
    <row r="20" spans="1:22" ht="18" customHeight="1">
      <c r="A20" s="2092" t="s">
        <v>1808</v>
      </c>
      <c r="B20" s="3012" t="s">
        <v>1809</v>
      </c>
      <c r="C20" s="3013"/>
      <c r="D20" s="3014" t="s">
        <v>1810</v>
      </c>
      <c r="E20" s="3015"/>
      <c r="F20" s="2093" t="s">
        <v>1811</v>
      </c>
      <c r="G20" s="2041"/>
      <c r="H20" s="2041"/>
      <c r="I20" s="2041"/>
      <c r="J20" s="2041"/>
      <c r="K20" s="301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1813</v>
      </c>
      <c r="C21" s="2095" t="s">
        <v>1814</v>
      </c>
      <c r="D21" s="2096" t="s">
        <v>1815</v>
      </c>
      <c r="E21" s="2097" t="s">
        <v>1814</v>
      </c>
      <c r="F21" s="2098"/>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1816</v>
      </c>
      <c r="C22" s="2095" t="s">
        <v>1817</v>
      </c>
      <c r="D22" s="2025"/>
      <c r="E22" s="2025"/>
      <c r="F22" s="2100"/>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1818</v>
      </c>
      <c r="B23" s="183" t="s">
        <v>1819</v>
      </c>
      <c r="C23" s="2102"/>
      <c r="D23" s="2103" t="s">
        <v>1819</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1820</v>
      </c>
      <c r="C24" s="2107"/>
      <c r="D24" s="2101" t="s">
        <v>1820</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1821</v>
      </c>
      <c r="C25" s="2107"/>
      <c r="D25" s="2101" t="s">
        <v>1821</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1822</v>
      </c>
      <c r="C26" s="2111"/>
      <c r="D26" s="2112" t="s">
        <v>1823</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29" t="s">
        <v>1824</v>
      </c>
      <c r="B27" s="2060" t="s">
        <v>1825</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9"/>
      <c r="B28" s="2034" t="s">
        <v>1826</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9"/>
      <c r="B29" s="2034" t="s">
        <v>1827</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0"/>
      <c r="B30" s="2034" t="s">
        <v>1828</v>
      </c>
      <c r="C30" s="3031"/>
      <c r="D30" s="3032"/>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3" t="s">
        <v>1829</v>
      </c>
      <c r="B31" s="2122"/>
      <c r="C31" s="2123" t="str">
        <f>IF(B31="现房","成新及维护状况正常否",IF(B31="在建","工程状态是否正常",IF(B31="土地","是否闲置","-")))</f>
        <v>-</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34"/>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34"/>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1830</v>
      </c>
      <c r="B34" s="2129"/>
      <c r="C34" s="2129"/>
      <c r="D34" s="2129"/>
      <c r="E34" s="2129"/>
      <c r="F34" s="2129"/>
      <c r="G34" s="2129"/>
      <c r="H34" s="2129"/>
      <c r="I34" s="2041"/>
      <c r="J34" s="2041"/>
      <c r="K34" s="1795">
        <f>COUNTIF(B34:H34,"——")</f>
        <v>0</v>
      </c>
      <c r="L34" s="2070" t="s">
        <v>1831</v>
      </c>
      <c r="M34" s="2070" t="s">
        <v>1832</v>
      </c>
      <c r="N34" s="2070" t="s">
        <v>1833</v>
      </c>
      <c r="O34" s="2070" t="s">
        <v>1834</v>
      </c>
      <c r="P34" s="2070" t="s">
        <v>1835</v>
      </c>
      <c r="Q34" s="2070" t="s">
        <v>1836</v>
      </c>
      <c r="R34" s="2070" t="s">
        <v>1837</v>
      </c>
      <c r="S34" s="3028" t="s">
        <v>1838</v>
      </c>
      <c r="T34" s="2130" t="str">
        <f>NUMBERSTRING(7-K34,1)&amp;"通"</f>
        <v>七通</v>
      </c>
      <c r="U34" s="2028"/>
      <c r="V34" s="2028"/>
    </row>
    <row r="35" spans="1:22" ht="18" customHeight="1">
      <c r="A35" s="2131"/>
      <c r="B35" s="3035" t="s">
        <v>1839</v>
      </c>
      <c r="C35" s="3035"/>
      <c r="D35" s="3035"/>
      <c r="E35" s="3035"/>
      <c r="F35" s="2132" t="str">
        <f>C10</f>
        <v>安徽省宿州市</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8"/>
      <c r="V35" s="2028"/>
    </row>
    <row r="36" spans="1:22" ht="18" customHeight="1">
      <c r="A36" s="2133"/>
      <c r="B36" s="2132" t="s">
        <v>1840</v>
      </c>
      <c r="C36" s="2132" t="s">
        <v>1841</v>
      </c>
      <c r="D36" s="2132" t="s">
        <v>1842</v>
      </c>
      <c r="E36" s="2132" t="s">
        <v>1843</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1844</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1845</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1847</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1848</v>
      </c>
      <c r="B42" s="1795" t="s">
        <v>1849</v>
      </c>
      <c r="C42" s="1795" t="s">
        <v>1850</v>
      </c>
      <c r="D42" s="1795" t="s">
        <v>1851</v>
      </c>
      <c r="E42" s="1795" t="s">
        <v>1852</v>
      </c>
      <c r="F42" s="1795" t="s">
        <v>1853</v>
      </c>
      <c r="G42" s="1795" t="s">
        <v>1854</v>
      </c>
      <c r="H42" s="1795" t="s">
        <v>1855</v>
      </c>
      <c r="I42" s="1795" t="s">
        <v>1856</v>
      </c>
      <c r="J42" s="2148" t="s">
        <v>1857</v>
      </c>
      <c r="K42" s="2071" t="s">
        <v>1858</v>
      </c>
      <c r="L42" s="2071" t="s">
        <v>1859</v>
      </c>
      <c r="M42" s="2071" t="s">
        <v>1860</v>
      </c>
      <c r="N42" s="1795" t="s">
        <v>1861</v>
      </c>
      <c r="O42" s="1795" t="s">
        <v>1862</v>
      </c>
      <c r="P42" s="1795" t="s">
        <v>1863</v>
      </c>
      <c r="Q42" s="2070" t="s">
        <v>1864</v>
      </c>
      <c r="R42" s="2070" t="s">
        <v>1865</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1871</v>
      </c>
      <c r="AZ2" s="1270"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1010.65</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803"/>
      <c r="C5" s="1803"/>
      <c r="D5" s="1806"/>
      <c r="E5" s="16" t="s">
        <v>1</v>
      </c>
      <c r="F5" s="16">
        <f>SUM(F13:F587)</f>
        <v>0</v>
      </c>
      <c r="G5" s="16">
        <f>SUM(G13:G587)</f>
        <v>1010.65</v>
      </c>
      <c r="H5" s="16">
        <f t="shared" ref="H5:AT5" si="0">SUM(H13:H656)</f>
        <v>1010.65</v>
      </c>
      <c r="I5" s="16">
        <f t="shared" si="0"/>
        <v>1010.65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1010.65</v>
      </c>
      <c r="BA5" s="18">
        <f t="shared" si="1"/>
        <v>1010.65</v>
      </c>
      <c r="BB5" s="18">
        <f t="shared" si="1"/>
        <v>1010.65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1884</v>
      </c>
      <c r="AV7" s="23" t="s">
        <v>1885</v>
      </c>
      <c r="AW7" s="2162" t="s">
        <v>1886</v>
      </c>
      <c r="AX7" s="23" t="s">
        <v>1879</v>
      </c>
      <c r="AY7" s="1803"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8"/>
      <c r="K8" s="1818"/>
      <c r="L8" s="1818"/>
      <c r="M8" s="1818"/>
      <c r="N8" s="1818"/>
      <c r="O8" s="1818"/>
      <c r="P8" s="1818"/>
      <c r="Q8" s="1818"/>
      <c r="R8" s="1818"/>
      <c r="S8" s="1818"/>
      <c r="T8" s="1818"/>
      <c r="U8" s="1818"/>
      <c r="V8" s="2182"/>
      <c r="W8" s="1818"/>
      <c r="X8" s="1818"/>
      <c r="Y8" s="1818"/>
      <c r="Z8" s="1818"/>
      <c r="AA8" s="2182"/>
      <c r="AB8" s="2183"/>
      <c r="AC8" s="981" t="s">
        <v>1890</v>
      </c>
      <c r="AD8" s="2184"/>
      <c r="AE8" s="2176"/>
      <c r="AF8" s="1818"/>
      <c r="AG8" s="1818"/>
      <c r="AH8" s="1818"/>
      <c r="AI8" s="1818"/>
      <c r="AJ8" s="1818"/>
      <c r="AK8" s="1818"/>
      <c r="AL8" s="1818"/>
      <c r="AM8" s="1818"/>
      <c r="AN8" s="1818"/>
      <c r="AO8" s="1818"/>
      <c r="AP8" s="1818"/>
      <c r="AQ8" s="1818"/>
      <c r="AR8" s="1818"/>
      <c r="AS8" s="1818"/>
      <c r="AT8" s="1292" t="s">
        <v>1891</v>
      </c>
      <c r="AU8" s="2178" t="s">
        <v>1892</v>
      </c>
      <c r="AV8" s="1292"/>
      <c r="AW8" s="2161"/>
      <c r="AX8" s="1292"/>
      <c r="AY8" s="2162"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1895</v>
      </c>
      <c r="I9" s="2187" t="s">
        <v>3064</v>
      </c>
      <c r="J9" s="981"/>
      <c r="K9" s="2187"/>
      <c r="L9" s="981"/>
      <c r="M9" s="2187"/>
      <c r="N9" s="981"/>
      <c r="O9" s="2187"/>
      <c r="P9" s="981"/>
      <c r="Q9" s="2187"/>
      <c r="R9" s="981"/>
      <c r="S9" s="2187"/>
      <c r="T9" s="981"/>
      <c r="U9" s="2187"/>
      <c r="V9" s="981"/>
      <c r="W9" s="2187"/>
      <c r="X9" s="2188"/>
      <c r="Y9" s="2187"/>
      <c r="Z9" s="981"/>
      <c r="AA9" s="2187"/>
      <c r="AB9" s="981"/>
      <c r="AC9" s="2179"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9"/>
      <c r="AT9" s="2178"/>
      <c r="AU9" s="2178" t="s">
        <v>1898</v>
      </c>
      <c r="AV9" s="1292"/>
      <c r="AW9" s="2161"/>
      <c r="AX9" s="1292"/>
      <c r="AY9" s="28"/>
      <c r="AZ9" s="28" t="s">
        <v>1888</v>
      </c>
      <c r="BA9" s="2190" t="s">
        <v>1899</v>
      </c>
      <c r="BB9" s="2191"/>
      <c r="BC9" s="1338"/>
      <c r="BD9" s="1338"/>
      <c r="BE9" s="1338"/>
      <c r="BF9" s="1338"/>
      <c r="BG9" s="1338"/>
      <c r="BH9" s="1338"/>
      <c r="BI9" s="1338"/>
      <c r="BJ9" s="1338"/>
      <c r="BK9" s="2192"/>
      <c r="BL9" s="15" t="s">
        <v>1900</v>
      </c>
      <c r="BM9" s="1818"/>
      <c r="BN9" s="2181"/>
      <c r="BO9" s="1818"/>
      <c r="BP9" s="1818"/>
      <c r="BQ9" s="1818"/>
      <c r="BR9" s="1818"/>
      <c r="BS9" s="1818"/>
      <c r="BT9" s="26"/>
    </row>
    <row r="10" spans="1:72" s="2185" customFormat="1" ht="12.75">
      <c r="A10" s="2178"/>
      <c r="B10" s="2178"/>
      <c r="C10" s="2178"/>
      <c r="D10" s="2178"/>
      <c r="E10" s="2178"/>
      <c r="F10" s="2178"/>
      <c r="G10" s="1292"/>
      <c r="H10" s="28"/>
      <c r="I10" s="2187" t="s">
        <v>27</v>
      </c>
      <c r="J10" s="981"/>
      <c r="K10" s="2193"/>
      <c r="L10" s="981"/>
      <c r="M10" s="2193"/>
      <c r="N10" s="981"/>
      <c r="O10" s="2193"/>
      <c r="P10" s="981"/>
      <c r="Q10" s="2193"/>
      <c r="R10" s="981"/>
      <c r="S10" s="2193"/>
      <c r="T10" s="981"/>
      <c r="U10" s="2193"/>
      <c r="V10" s="981"/>
      <c r="W10" s="2193"/>
      <c r="X10" s="981"/>
      <c r="Y10" s="2193"/>
      <c r="Z10" s="981"/>
      <c r="AA10" s="2193"/>
      <c r="AB10" s="981"/>
      <c r="AC10" s="1292"/>
      <c r="AD10" s="15" t="s">
        <v>1901</v>
      </c>
      <c r="AE10" s="2194"/>
      <c r="AF10" s="15" t="s">
        <v>1901</v>
      </c>
      <c r="AG10" s="2194"/>
      <c r="AH10" s="15" t="s">
        <v>1902</v>
      </c>
      <c r="AI10" s="2194"/>
      <c r="AJ10" s="15" t="s">
        <v>1902</v>
      </c>
      <c r="AK10" s="2194"/>
      <c r="AL10" s="15" t="s">
        <v>1903</v>
      </c>
      <c r="AM10" s="1298"/>
      <c r="AN10" s="15" t="s">
        <v>1903</v>
      </c>
      <c r="AO10" s="1298"/>
      <c r="AP10" s="15" t="s">
        <v>1904</v>
      </c>
      <c r="AQ10" s="1298"/>
      <c r="AR10" s="15" t="s">
        <v>1904</v>
      </c>
      <c r="AS10" s="1298"/>
      <c r="AT10" s="2178"/>
      <c r="AU10" s="2178"/>
      <c r="AV10" s="1292"/>
      <c r="AW10" s="2161"/>
      <c r="AX10" s="1292"/>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1905</v>
      </c>
      <c r="AE11" s="1819"/>
      <c r="AF11" s="2200" t="s">
        <v>1905</v>
      </c>
      <c r="AG11" s="1819"/>
      <c r="AH11" s="2200" t="s">
        <v>1906</v>
      </c>
      <c r="AI11" s="2201"/>
      <c r="AJ11" s="2200" t="s">
        <v>1906</v>
      </c>
      <c r="AK11" s="1819"/>
      <c r="AL11" s="1817"/>
      <c r="AM11" s="1819"/>
      <c r="AN11" s="1817"/>
      <c r="AO11" s="1819"/>
      <c r="AP11" s="1817"/>
      <c r="AQ11" s="1819"/>
      <c r="AR11" s="1817"/>
      <c r="AS11" s="1819"/>
      <c r="AT11" s="2161"/>
      <c r="AU11" s="2178"/>
      <c r="AV11" s="1292"/>
      <c r="AW11" s="2161"/>
      <c r="AX11" s="1292"/>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5"/>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6" t="s">
        <v>3063</v>
      </c>
      <c r="D13" s="2209" t="s">
        <v>3062</v>
      </c>
      <c r="E13" s="16">
        <f>IF($C$3="是",ROUND($A$3*G13/$B$3,2),ROUND($A$3*(G13-AT13)/$B$3,2))</f>
        <v>0</v>
      </c>
      <c r="F13" s="32"/>
      <c r="G13" s="33">
        <f>H13+AC13+AT13</f>
        <v>1010.65</v>
      </c>
      <c r="H13" s="20">
        <f>SUMIF(I$12:AB$12,"总值",I13:AB13)</f>
        <v>1010.65</v>
      </c>
      <c r="I13" s="2210">
        <v>1010.65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办公</v>
      </c>
      <c r="AY13" s="1806">
        <f>ROUND($AY$6*AZ13/$AZ$5,2)</f>
        <v>0</v>
      </c>
      <c r="AZ13" s="16">
        <f>BA13+BL13</f>
        <v>1010.65</v>
      </c>
      <c r="BA13" s="16">
        <f>SUM(BB13:BK13)</f>
        <v>1010.65</v>
      </c>
      <c r="BB13" s="16">
        <f>IF($D13="是",I13-J13,0)</f>
        <v>1010.65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7" sqref="I2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92"/>
      <c r="C1" s="1392"/>
      <c r="D1" s="1392"/>
      <c r="E1" s="1392"/>
      <c r="F1" s="1392"/>
      <c r="G1" s="1392"/>
      <c r="H1" s="1392"/>
      <c r="I1" s="1392"/>
      <c r="J1" s="1392"/>
      <c r="K1" s="1392"/>
      <c r="L1" s="1392"/>
      <c r="M1" s="1392"/>
      <c r="N1" s="1392"/>
      <c r="O1" s="1392"/>
      <c r="P1" s="1392"/>
    </row>
    <row r="2" spans="1:16" ht="15">
      <c r="A2" s="3047" t="s">
        <v>1935</v>
      </c>
      <c r="B2" s="3047"/>
      <c r="C2" s="3047"/>
      <c r="D2" s="967" t="s">
        <v>1911</v>
      </c>
      <c r="E2" s="2223" t="s">
        <v>1912</v>
      </c>
      <c r="F2" s="1392"/>
      <c r="G2" s="2224"/>
      <c r="H2" s="2225"/>
      <c r="I2" s="2226" t="s">
        <v>1936</v>
      </c>
      <c r="J2" s="1392"/>
      <c r="K2" s="1392"/>
      <c r="L2" s="1392"/>
      <c r="M2" s="1392"/>
      <c r="N2" s="1427"/>
      <c r="O2" s="1392"/>
      <c r="P2" s="1392"/>
    </row>
    <row r="3" spans="1:16" ht="15.75" thickBot="1">
      <c r="A3" s="3048" t="s">
        <v>1909</v>
      </c>
      <c r="B3" s="3048"/>
      <c r="C3" s="3048"/>
      <c r="D3" s="46">
        <f>'数据-基础表'!AY6</f>
        <v>0</v>
      </c>
      <c r="E3" s="46">
        <f>'数据-基础表'!AZ5</f>
        <v>1010.65</v>
      </c>
      <c r="F3" s="1392"/>
      <c r="G3" s="1399"/>
      <c r="H3" s="1247" t="s">
        <v>1910</v>
      </c>
      <c r="I3" s="55" t="e">
        <f>ROUND('数据-基础表'!B3/'数据-基础表'!A3,2)</f>
        <v>#DIV/0!</v>
      </c>
      <c r="J3" s="1392"/>
      <c r="K3" s="1392"/>
      <c r="L3" s="1392"/>
      <c r="M3" s="1392"/>
      <c r="N3" s="1427"/>
      <c r="O3" s="1392"/>
      <c r="P3" s="1392"/>
    </row>
    <row r="4" spans="1:16" ht="15">
      <c r="A4" s="3049"/>
      <c r="B4" s="3050"/>
      <c r="C4" s="3051"/>
      <c r="D4" s="2227" t="s">
        <v>1911</v>
      </c>
      <c r="E4" s="2228" t="s">
        <v>1912</v>
      </c>
      <c r="F4" s="1392"/>
      <c r="G4" s="2229" t="s">
        <v>1937</v>
      </c>
      <c r="H4" s="1247" t="s">
        <v>1917</v>
      </c>
      <c r="I4" s="55" t="e">
        <f>ROUND(SUMIF('数据-基础表'!I9:AS9,"地上",'数据-基础表'!I5:AS5)/'数据-基础表'!A3,2)</f>
        <v>#DIV/0!</v>
      </c>
      <c r="J4" s="1392"/>
      <c r="K4" s="1392"/>
      <c r="L4" s="1392"/>
      <c r="M4" s="1392"/>
      <c r="N4" s="1427"/>
      <c r="O4" s="1392"/>
      <c r="P4" s="1392"/>
    </row>
    <row r="5" spans="1:16">
      <c r="A5" s="47" t="s">
        <v>1913</v>
      </c>
      <c r="B5" s="3052" t="s">
        <v>1914</v>
      </c>
      <c r="C5" s="3052"/>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0"/>
      <c r="B6" s="3052" t="s">
        <v>1915</v>
      </c>
      <c r="C6" s="3052"/>
      <c r="D6" s="48">
        <f>ROUND($D$3*E6/$E$3,2)</f>
        <v>0</v>
      </c>
      <c r="E6" s="49">
        <f>E3-E5</f>
        <v>1010.65</v>
      </c>
      <c r="F6" s="1392"/>
      <c r="G6" s="2231" t="s">
        <v>1916</v>
      </c>
      <c r="H6" s="1399" t="s">
        <v>1917</v>
      </c>
      <c r="I6" s="939" t="e">
        <f>ROUND(F31/D31,2)</f>
        <v>#DIV/0!</v>
      </c>
      <c r="J6" s="1392"/>
      <c r="K6" s="1392"/>
      <c r="L6" s="1392"/>
      <c r="M6" s="1392"/>
      <c r="N6" s="1392"/>
      <c r="O6" s="1392"/>
      <c r="P6" s="1392"/>
    </row>
    <row r="7" spans="1:16" ht="15">
      <c r="A7" s="3044"/>
      <c r="B7" s="3045"/>
      <c r="C7" s="3046"/>
      <c r="D7" s="2227" t="s">
        <v>1911</v>
      </c>
      <c r="E7" s="2232" t="s">
        <v>1918</v>
      </c>
      <c r="F7" s="1392"/>
      <c r="G7" s="2224"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1010.65</v>
      </c>
      <c r="F8" s="1392"/>
      <c r="G8" s="2233"/>
      <c r="H8" s="2233"/>
      <c r="I8" s="1392"/>
      <c r="J8" s="1392"/>
      <c r="K8" s="1392"/>
      <c r="L8" s="1392"/>
      <c r="M8" s="1392"/>
      <c r="N8" s="1392"/>
      <c r="O8" s="1392"/>
      <c r="P8" s="1392"/>
    </row>
    <row r="9" spans="1:16">
      <c r="A9" s="2234"/>
      <c r="B9" s="2235"/>
      <c r="C9" s="48" t="s">
        <v>1923</v>
      </c>
      <c r="D9" s="48">
        <f t="shared" si="0"/>
        <v>0</v>
      </c>
      <c r="E9" s="52">
        <v>0</v>
      </c>
      <c r="F9" s="1392"/>
      <c r="G9" s="2233"/>
      <c r="H9" s="2233"/>
      <c r="I9" s="1392"/>
      <c r="J9" s="1392"/>
      <c r="K9" s="1392"/>
      <c r="L9" s="1392"/>
      <c r="M9" s="1392"/>
      <c r="N9" s="1392"/>
      <c r="O9" s="1392"/>
      <c r="P9" s="1392"/>
    </row>
    <row r="10" spans="1:16">
      <c r="A10" s="2234"/>
      <c r="B10" s="2235"/>
      <c r="C10" s="48" t="s">
        <v>1932</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1924</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1925</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1926</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1938</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1933</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1927</v>
      </c>
      <c r="D16" s="50">
        <f>SUM(D8:D15)</f>
        <v>0</v>
      </c>
      <c r="E16" s="53">
        <f>SUM(E8:E15)</f>
        <v>1010.65</v>
      </c>
      <c r="F16" s="1392"/>
      <c r="G16" s="2233"/>
      <c r="H16" s="2236" t="s">
        <v>1939</v>
      </c>
      <c r="I16" s="2237"/>
      <c r="J16" s="1392"/>
      <c r="K16" s="3041" t="s">
        <v>1939</v>
      </c>
      <c r="L16" s="3042"/>
      <c r="M16" s="3042"/>
      <c r="N16" s="3042"/>
      <c r="O16" s="3042"/>
      <c r="P16" s="3043"/>
    </row>
    <row r="17" spans="1:19" ht="15">
      <c r="A17" s="2238" t="s">
        <v>1940</v>
      </c>
      <c r="B17" s="2239" t="s">
        <v>1941</v>
      </c>
      <c r="C17" s="2240" t="s">
        <v>1942</v>
      </c>
      <c r="D17" s="2241" t="s">
        <v>1930</v>
      </c>
      <c r="E17" s="2242" t="s">
        <v>1931</v>
      </c>
      <c r="F17" s="2243"/>
      <c r="G17" s="2244"/>
      <c r="H17" s="2245" t="s">
        <v>1943</v>
      </c>
      <c r="I17" s="2246" t="s">
        <v>1928</v>
      </c>
      <c r="J17" s="1392"/>
      <c r="K17" s="3038" t="s">
        <v>1944</v>
      </c>
      <c r="L17" s="3039"/>
      <c r="M17" s="3040"/>
      <c r="N17" s="3038" t="s">
        <v>1945</v>
      </c>
      <c r="O17" s="3039"/>
      <c r="P17" s="3040"/>
      <c r="R17" s="2224" t="s">
        <v>1946</v>
      </c>
      <c r="S17" s="64"/>
    </row>
    <row r="18" spans="1:19" ht="15">
      <c r="A18" s="2234"/>
      <c r="B18" s="2247"/>
      <c r="C18" s="2248"/>
      <c r="D18" s="2249"/>
      <c r="E18" s="2250" t="s">
        <v>1947</v>
      </c>
      <c r="F18" s="2251" t="s">
        <v>1948</v>
      </c>
      <c r="G18" s="2252" t="s">
        <v>1949</v>
      </c>
      <c r="H18" s="1262" t="s">
        <v>1950</v>
      </c>
      <c r="I18" s="2253" t="s">
        <v>1951</v>
      </c>
      <c r="J18" s="1392"/>
      <c r="K18" s="1262" t="s">
        <v>1952</v>
      </c>
      <c r="L18" s="2254" t="s">
        <v>1953</v>
      </c>
      <c r="M18" s="1046" t="s">
        <v>1954</v>
      </c>
      <c r="N18" s="1262" t="s">
        <v>1952</v>
      </c>
      <c r="O18" s="2254" t="s">
        <v>1953</v>
      </c>
      <c r="P18" s="1046" t="s">
        <v>1954</v>
      </c>
      <c r="R18" s="1247" t="s">
        <v>1955</v>
      </c>
      <c r="S18" s="1247" t="s">
        <v>1956</v>
      </c>
    </row>
    <row r="19" spans="1:19">
      <c r="A19" s="2255"/>
      <c r="B19" s="50" t="s">
        <v>1929</v>
      </c>
      <c r="C19" s="2256" t="str">
        <f>'数据-基础表'!C13</f>
        <v>办公</v>
      </c>
      <c r="D19" s="48">
        <f>ROUND($D$3*E19/$E$3,2)</f>
        <v>0</v>
      </c>
      <c r="E19" s="56">
        <f t="shared" ref="E19:E26" si="1">SUM(F19:G19)</f>
        <v>1010.65</v>
      </c>
      <c r="F19" s="57">
        <f>'数据-基础表'!I13</f>
        <v>1010.65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1010.65</v>
      </c>
    </row>
    <row r="20" spans="1:19">
      <c r="A20" s="2259"/>
      <c r="B20" s="50" t="s">
        <v>1957</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1957</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1958</v>
      </c>
      <c r="D27" s="1393">
        <f>SUM(D19:D26)</f>
        <v>0</v>
      </c>
      <c r="E27" s="1394">
        <f>IF(SUM(E19:E26)='数据-基础表'!BA5,SUM(E19:E26),IF(F27="地上面积有误","面积有误","地下面积有误"))</f>
        <v>1010.65</v>
      </c>
      <c r="F27" s="1393">
        <f>IF(SUM(F19:F26)=E8,SUM(F19:F26),"地上面积有误")</f>
        <v>1010.65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1010.65</v>
      </c>
    </row>
    <row r="28" spans="1:19">
      <c r="A28" s="2259"/>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1959</v>
      </c>
      <c r="C29" s="2263"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1962</v>
      </c>
      <c r="D31" s="729">
        <f>D27+D30</f>
        <v>0</v>
      </c>
      <c r="E31" s="729">
        <f>E27+E30</f>
        <v>1010.65</v>
      </c>
      <c r="F31" s="730">
        <f>F27+F30</f>
        <v>1010.65</v>
      </c>
      <c r="G31" s="731">
        <f>G27+G30</f>
        <v>0</v>
      </c>
      <c r="H31" s="1392"/>
      <c r="I31" s="1392"/>
      <c r="J31" s="1392"/>
      <c r="K31" s="1392"/>
      <c r="L31" s="1392"/>
      <c r="M31" s="1392"/>
      <c r="N31" s="1392"/>
      <c r="O31" s="1392"/>
      <c r="P31" s="1392"/>
    </row>
    <row r="32" spans="1:19">
      <c r="A32" s="2229"/>
      <c r="B32" s="2229" t="s">
        <v>1963</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1965</v>
      </c>
      <c r="B2" s="1266">
        <f>项目基本情况!D3</f>
        <v>43693</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0" t="s">
        <v>1970</v>
      </c>
      <c r="AA4" s="2240"/>
      <c r="AB4" s="2240"/>
      <c r="AC4" s="2240"/>
      <c r="AD4" s="2240"/>
      <c r="AE4" s="2238" t="s">
        <v>1971</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1972</v>
      </c>
      <c r="B5" s="2286" t="s">
        <v>1973</v>
      </c>
      <c r="C5" s="2287" t="s">
        <v>1974</v>
      </c>
      <c r="D5" s="2288" t="s">
        <v>1975</v>
      </c>
      <c r="E5" s="1268" t="s">
        <v>1976</v>
      </c>
      <c r="F5" s="2289" t="s">
        <v>1977</v>
      </c>
      <c r="G5" s="1268" t="s">
        <v>1978</v>
      </c>
      <c r="H5" s="1268" t="s">
        <v>1979</v>
      </c>
      <c r="I5" s="1268" t="s">
        <v>1980</v>
      </c>
      <c r="J5" s="2290" t="s">
        <v>1981</v>
      </c>
      <c r="K5" s="2291" t="s">
        <v>1982</v>
      </c>
      <c r="L5" s="2292" t="s">
        <v>1983</v>
      </c>
      <c r="M5" s="2293" t="s">
        <v>1984</v>
      </c>
      <c r="N5" s="2294" t="s">
        <v>3065</v>
      </c>
      <c r="O5" s="2292" t="s">
        <v>1985</v>
      </c>
      <c r="P5" s="2295" t="s">
        <v>1986</v>
      </c>
      <c r="Q5" s="69" t="s">
        <v>1987</v>
      </c>
      <c r="R5" s="2296" t="s">
        <v>1988</v>
      </c>
      <c r="S5" s="2297" t="s">
        <v>1989</v>
      </c>
      <c r="T5" s="2298" t="s">
        <v>1990</v>
      </c>
      <c r="U5" s="1267" t="s">
        <v>1991</v>
      </c>
      <c r="V5" s="1268" t="s">
        <v>1992</v>
      </c>
      <c r="W5" s="1268" t="s">
        <v>1993</v>
      </c>
      <c r="X5" s="71"/>
      <c r="Y5" s="70" t="s">
        <v>1994</v>
      </c>
      <c r="Z5" s="2299" t="s">
        <v>1991</v>
      </c>
      <c r="AA5" s="1268" t="s">
        <v>1992</v>
      </c>
      <c r="AB5" s="1268" t="s">
        <v>1993</v>
      </c>
      <c r="AC5" s="71"/>
      <c r="AD5" s="71" t="s">
        <v>1994</v>
      </c>
      <c r="AE5" s="1267" t="s">
        <v>1995</v>
      </c>
      <c r="AF5" s="1268" t="s">
        <v>1996</v>
      </c>
      <c r="AG5" s="70" t="s">
        <v>1997</v>
      </c>
      <c r="AH5" s="1267" t="s">
        <v>1998</v>
      </c>
      <c r="AI5" s="2299" t="s">
        <v>1999</v>
      </c>
      <c r="AJ5" s="2299" t="s">
        <v>2000</v>
      </c>
      <c r="AK5" s="1268" t="s">
        <v>2001</v>
      </c>
      <c r="AL5" s="1268" t="s">
        <v>2002</v>
      </c>
      <c r="AM5" s="70" t="s">
        <v>2003</v>
      </c>
      <c r="AN5" s="2300" t="s">
        <v>2004</v>
      </c>
      <c r="AO5" s="2070" t="s">
        <v>2005</v>
      </c>
      <c r="AP5" s="1249"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办公</v>
      </c>
      <c r="B6" s="2303" t="str">
        <f>IF(A6=0,"","经营性")</f>
        <v>经营性</v>
      </c>
      <c r="C6" s="2304" t="s">
        <v>27</v>
      </c>
      <c r="D6" s="1051">
        <f>SUMIF(项目基本情况!D$12:I$12,C6,项目基本情况!D$14:I$14)</f>
        <v>50</v>
      </c>
      <c r="E6" s="1048">
        <f>IF(B6="","",SUMIF(项目基本情况!D$12:I$12,C6,项目基本情况!D$13:I$13))</f>
        <v>57930</v>
      </c>
      <c r="F6" s="72">
        <f>SUMIF(项目基本情况!D$12:I$12,C6,项目基本情况!D$15:I$15)</f>
        <v>39</v>
      </c>
      <c r="G6" s="73">
        <f>IF(ISERROR(ROUND(POWER(1+H6,D6-F6)*(POWER(1+H6,F6)-1)/(POWER(1+H6,D6)-1),3)),0,ROUND(POWER(1+H6,D6-F6)*(POWER(1+H6,F6)-1)/(POWER(1+H6,D6)-1),3))</f>
        <v>0.92200000000000004</v>
      </c>
      <c r="H6" s="802">
        <v>4.4999999999999998E-2</v>
      </c>
      <c r="I6" s="802">
        <v>0.05</v>
      </c>
      <c r="J6" s="74">
        <v>0.08</v>
      </c>
      <c r="K6" s="1251">
        <f>SUMIF('数据-汇总表'!C$19:C$33,A6,'数据-汇总表'!E$19:E$33)</f>
        <v>1010.65</v>
      </c>
      <c r="L6" s="803">
        <v>2500</v>
      </c>
      <c r="M6" s="75">
        <f t="shared" ref="M6:M14" si="0">ROUND(K6*L6/10000,0)</f>
        <v>253</v>
      </c>
      <c r="N6" s="801">
        <f>N20</f>
        <v>0.85</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1</v>
      </c>
      <c r="V6" s="79">
        <v>0.02</v>
      </c>
      <c r="W6" s="79">
        <v>0.1</v>
      </c>
      <c r="X6" s="1261"/>
      <c r="Y6" s="80">
        <f>N6</f>
        <v>0.85</v>
      </c>
      <c r="Z6" s="81"/>
      <c r="AA6" s="74"/>
      <c r="AB6" s="74"/>
      <c r="AC6" s="1261"/>
      <c r="AD6" s="82"/>
      <c r="AE6" s="1262">
        <f ca="1">IF(AN6="",0,SUMIF(INDIRECT("'"&amp;AN6&amp;"'"&amp;"!E:E"),$AE$5,INDIRECT("'"&amp;AN6&amp;"'"&amp;"!F:F")))</f>
        <v>39</v>
      </c>
      <c r="AF6" s="1804"/>
      <c r="AG6" s="147">
        <f>IF(AF6="",0,AE6-AF6)</f>
        <v>0</v>
      </c>
      <c r="AH6" s="83"/>
      <c r="AI6" s="85">
        <v>365</v>
      </c>
      <c r="AJ6" s="86"/>
      <c r="AK6" s="87">
        <v>1.4999999999999999E-2</v>
      </c>
      <c r="AL6" s="88">
        <v>1.5E-3</v>
      </c>
      <c r="AM6" s="89">
        <v>0.01</v>
      </c>
      <c r="AN6" s="2305" t="s">
        <v>3066</v>
      </c>
      <c r="AO6" s="55">
        <f ca="1">SUMIF(INDIRECT("'"&amp;AN6&amp;"'"&amp;"!A:A"),"总价",INDIRECT("'"&amp;AN6&amp;"'"&amp;"!B:B"))</f>
        <v>474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2009</v>
      </c>
      <c r="B14" s="2303" t="s">
        <v>2010</v>
      </c>
      <c r="C14" s="2308"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2011</v>
      </c>
      <c r="B15" s="2303" t="s">
        <v>2010</v>
      </c>
      <c r="C15" s="2308"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2013</v>
      </c>
      <c r="B16" s="97"/>
      <c r="C16" s="1005"/>
      <c r="D16" s="2310"/>
      <c r="E16" s="97"/>
      <c r="F16" s="97"/>
      <c r="G16" s="98">
        <f>ROUND(SUMPRODUCT(G6:G13,K6:K13)/SUMPRODUCT((G6:G13&gt;0)*(K6:K13)),3)</f>
        <v>0.92200000000000004</v>
      </c>
      <c r="H16" s="99">
        <f>ROUND(SUMPRODUCT(H6:H13,K6:K13)/SUMPRODUCT((H6:H13&gt;0)*(K6:K13)),3)</f>
        <v>4.4999999999999998E-2</v>
      </c>
      <c r="I16" s="100"/>
      <c r="J16" s="100"/>
      <c r="K16" s="101">
        <f>SUM(K6:K15)</f>
        <v>1010.65</v>
      </c>
      <c r="L16" s="102">
        <f>ROUND(M16*10000/SUM(K6:K14),0)</f>
        <v>2503</v>
      </c>
      <c r="M16" s="102">
        <f>SUM(M6:M14)</f>
        <v>253</v>
      </c>
      <c r="N16" s="103">
        <f>ROUND(SUMPRODUCT(M6:M14,N6:N14)/M16,3)</f>
        <v>0.85</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2015</v>
      </c>
      <c r="B19" s="112">
        <v>0</v>
      </c>
      <c r="C19" s="2273" t="s">
        <v>2016</v>
      </c>
      <c r="D19" s="2274"/>
      <c r="E19" s="2273"/>
      <c r="F19" s="2273"/>
      <c r="G19" s="2273"/>
      <c r="H19" s="2273"/>
      <c r="I19" s="2273"/>
      <c r="J19" s="2273"/>
      <c r="K19" s="168"/>
      <c r="L19" s="168"/>
      <c r="M19" s="1581"/>
      <c r="N19" s="1581">
        <v>2010</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2017</v>
      </c>
      <c r="B20" s="113">
        <v>2</v>
      </c>
      <c r="C20" s="2273" t="s">
        <v>2018</v>
      </c>
      <c r="D20" s="2274"/>
      <c r="E20" s="2273"/>
      <c r="F20" s="2273"/>
      <c r="G20" s="2273"/>
      <c r="H20" s="2273"/>
      <c r="I20" s="2273"/>
      <c r="J20" s="2273"/>
      <c r="K20" s="168"/>
      <c r="L20" s="168"/>
      <c r="M20" s="1581"/>
      <c r="N20" s="1581">
        <f>1-(2019-2010)/60</f>
        <v>0.85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2019</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2020</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2021</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2022</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2023</v>
      </c>
      <c r="B26" s="2316" t="s">
        <v>2024</v>
      </c>
      <c r="C26" s="2317" t="s">
        <v>2025</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2026</v>
      </c>
      <c r="B27" s="116">
        <v>70</v>
      </c>
      <c r="C27" s="1764" t="s">
        <v>2027</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2028</v>
      </c>
      <c r="B28" s="119">
        <v>50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2029</v>
      </c>
      <c r="B29" s="121"/>
      <c r="C29" s="1764" t="s">
        <v>2030</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2031</v>
      </c>
      <c r="B30" s="724">
        <v>70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2032</v>
      </c>
      <c r="B31" s="120">
        <f>B30-B32</f>
        <v>70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2033</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2034</v>
      </c>
      <c r="B33" s="726">
        <v>0.03</v>
      </c>
      <c r="C33" s="1763" t="s">
        <v>2035</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2036</v>
      </c>
      <c r="B34" s="122"/>
      <c r="C34" s="1763" t="s">
        <v>2037</v>
      </c>
      <c r="D34" s="2274" t="s">
        <v>2038</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2039</v>
      </c>
      <c r="B35" s="119">
        <v>70</v>
      </c>
      <c r="C35" s="1763" t="s">
        <v>2040</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2041</v>
      </c>
      <c r="B36" s="123">
        <v>1.4999999999999999E-2</v>
      </c>
      <c r="C36" s="1763" t="s">
        <v>2042</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2043</v>
      </c>
      <c r="B37" s="124">
        <v>0.02</v>
      </c>
      <c r="C37" s="1763" t="s">
        <v>2044</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2045</v>
      </c>
      <c r="B38" s="122">
        <v>0.02</v>
      </c>
      <c r="C38" s="1763" t="s">
        <v>2044</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2046</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2047</v>
      </c>
      <c r="B40" s="1300">
        <f ca="1">存贷款利率!G1</f>
        <v>4.7500000000000001E-2</v>
      </c>
      <c r="C40" s="1763" t="s">
        <v>2048</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2049</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2050</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2051</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2052</v>
      </c>
      <c r="B44" s="128">
        <v>0.05</v>
      </c>
      <c r="C44" s="1763" t="s">
        <v>2053</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2054</v>
      </c>
      <c r="B45" s="126">
        <v>0.03</v>
      </c>
      <c r="C45" s="1764" t="s">
        <v>2055</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2056</v>
      </c>
      <c r="B46" s="126">
        <v>0.02</v>
      </c>
      <c r="C46" s="1764" t="s">
        <v>2057</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2058</v>
      </c>
      <c r="B47" s="129"/>
      <c r="C47" s="1764" t="s">
        <v>2059</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2060</v>
      </c>
      <c r="B48" s="130">
        <v>0.03</v>
      </c>
      <c r="C48" s="1771" t="s">
        <v>2061</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2062</v>
      </c>
      <c r="B49" s="126">
        <v>5.0000000000000001E-4</v>
      </c>
      <c r="C49" s="1771" t="s">
        <v>2063</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2064</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2065</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2066</v>
      </c>
      <c r="B52" s="133">
        <f>SUMIF(A54:A63,B53,B54:B63)</f>
        <v>12</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2067</v>
      </c>
      <c r="B53" s="2332" t="s">
        <v>212</v>
      </c>
      <c r="C53" s="1427" t="s">
        <v>2068</v>
      </c>
      <c r="D53" s="2333" t="s">
        <v>2069</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2070</v>
      </c>
      <c r="B54" s="84">
        <v>12</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2071</v>
      </c>
      <c r="B55" s="8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2072</v>
      </c>
      <c r="B56" s="8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2073</v>
      </c>
      <c r="B57" s="8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2074</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2075</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2076</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2077</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2078</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2079</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3" t="s">
        <v>2080</v>
      </c>
      <c r="B1" s="3054"/>
      <c r="C1" s="3054"/>
      <c r="D1" s="3054"/>
      <c r="E1" s="3054"/>
      <c r="F1" s="3054"/>
      <c r="G1" s="305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5" t="s">
        <v>2087</v>
      </c>
      <c r="C4" s="2370"/>
      <c r="D4" s="2367"/>
      <c r="E4" s="2371"/>
      <c r="F4" s="42" t="s">
        <v>2088</v>
      </c>
      <c r="G4" s="2372" t="s">
        <v>2089</v>
      </c>
      <c r="H4" s="2364"/>
      <c r="I4" s="2364"/>
      <c r="J4" s="2364"/>
      <c r="K4" s="2364"/>
      <c r="L4" s="2364"/>
      <c r="M4" s="2364"/>
      <c r="N4" s="2364"/>
      <c r="O4" s="2364"/>
      <c r="P4" s="2364"/>
      <c r="Q4" s="2364"/>
      <c r="R4" s="2364"/>
    </row>
    <row r="5" spans="1:29" ht="27">
      <c r="A5" s="431"/>
      <c r="B5" s="1795" t="s">
        <v>2090</v>
      </c>
      <c r="C5" s="2957" t="s">
        <v>3068</v>
      </c>
      <c r="D5" s="2367"/>
      <c r="E5" s="2371"/>
      <c r="F5" s="1795" t="s">
        <v>2091</v>
      </c>
      <c r="G5" s="2372" t="s">
        <v>2092</v>
      </c>
      <c r="H5" s="2364"/>
      <c r="I5" s="2364"/>
      <c r="J5" s="2364"/>
      <c r="K5" s="2364"/>
      <c r="L5" s="2364"/>
      <c r="M5" s="2364"/>
      <c r="N5" s="2364"/>
      <c r="O5" s="2364"/>
      <c r="P5" s="2364"/>
      <c r="Q5" s="2364"/>
      <c r="R5" s="2364"/>
    </row>
    <row r="6" spans="1:29" ht="15">
      <c r="A6" s="431"/>
      <c r="B6" s="1795" t="s">
        <v>2093</v>
      </c>
      <c r="C6" s="2958" t="s">
        <v>3069</v>
      </c>
      <c r="D6" s="2367"/>
      <c r="E6" s="2371"/>
      <c r="F6" s="1795" t="s">
        <v>2094</v>
      </c>
      <c r="G6" s="2372" t="s">
        <v>2095</v>
      </c>
      <c r="H6" s="2364"/>
      <c r="I6" s="2364"/>
      <c r="J6" s="2364"/>
      <c r="K6" s="2364"/>
      <c r="L6" s="2364"/>
      <c r="M6" s="2364"/>
      <c r="N6" s="2364"/>
      <c r="O6" s="2364"/>
      <c r="P6" s="2364"/>
      <c r="Q6" s="2364"/>
      <c r="R6" s="2364"/>
    </row>
    <row r="7" spans="1:29" ht="41.25" thickBot="1">
      <c r="A7" s="431"/>
      <c r="B7" s="1795" t="s">
        <v>2091</v>
      </c>
      <c r="C7" s="2958" t="s">
        <v>3069</v>
      </c>
      <c r="D7" s="2373"/>
      <c r="E7" s="2374"/>
      <c r="F7" s="2375" t="s">
        <v>2096</v>
      </c>
      <c r="G7" s="2376" t="s">
        <v>2097</v>
      </c>
      <c r="H7" s="2364"/>
      <c r="I7" s="2364"/>
      <c r="J7" s="2364"/>
      <c r="K7" s="2364"/>
      <c r="L7" s="2364"/>
      <c r="M7" s="2364"/>
      <c r="N7" s="2364"/>
      <c r="O7" s="2364"/>
      <c r="P7" s="2364"/>
      <c r="Q7" s="2364"/>
      <c r="R7" s="2364"/>
    </row>
    <row r="8" spans="1:29" ht="15">
      <c r="A8" s="431"/>
      <c r="B8" s="1795" t="s">
        <v>2094</v>
      </c>
      <c r="C8" s="2958" t="s">
        <v>3071</v>
      </c>
      <c r="D8" s="2373"/>
      <c r="E8" s="2373"/>
      <c r="F8" s="1133"/>
      <c r="G8" s="1133"/>
      <c r="H8" s="2364"/>
      <c r="I8" s="2364"/>
      <c r="J8" s="2364"/>
      <c r="K8" s="2364"/>
      <c r="L8" s="2364"/>
      <c r="M8" s="2364"/>
      <c r="N8" s="2364"/>
      <c r="O8" s="2364"/>
      <c r="P8" s="2364"/>
      <c r="Q8" s="2364"/>
      <c r="R8" s="2364"/>
    </row>
    <row r="9" spans="1:29" ht="15">
      <c r="A9" s="431"/>
      <c r="B9" s="1795" t="s">
        <v>2098</v>
      </c>
      <c r="C9" s="2957" t="s">
        <v>3069</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f>C4</f>
        <v>0</v>
      </c>
      <c r="D16" s="2367"/>
      <c r="E16" s="2403"/>
      <c r="F16" s="2404" t="s">
        <v>2088</v>
      </c>
      <c r="G16" s="136" t="str">
        <f>G4</f>
        <v>估价对象周边道路状况、公共交通通达情况、停车便捷程度，综合评价交通便捷度较好</v>
      </c>
    </row>
    <row r="17" spans="1:18" ht="15">
      <c r="A17" s="645"/>
      <c r="B17" s="2401" t="s">
        <v>2090</v>
      </c>
      <c r="C17" s="2402" t="str">
        <f>C5</f>
        <v>较好</v>
      </c>
      <c r="D17" s="2373"/>
      <c r="E17" s="2403"/>
      <c r="F17" s="2404" t="s">
        <v>2106</v>
      </c>
      <c r="G17" s="1569"/>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9"/>
      <c r="D19" s="2367"/>
      <c r="E19" s="2403"/>
      <c r="F19" s="1795" t="s">
        <v>2091</v>
      </c>
      <c r="G19" s="136" t="str">
        <f>G5</f>
        <v>估价对象所在区域公共配套设施齐备情况</v>
      </c>
    </row>
    <row r="20" spans="1:18" ht="15">
      <c r="A20" s="645"/>
      <c r="B20" s="2404" t="s">
        <v>2108</v>
      </c>
      <c r="C20" s="2402" t="str">
        <f>C9</f>
        <v>较好</v>
      </c>
      <c r="D20" s="2373"/>
      <c r="E20" s="2403"/>
      <c r="F20" s="1795" t="s">
        <v>2109</v>
      </c>
      <c r="G20" s="136" t="str">
        <f>G6</f>
        <v>估价对象所在区域基础设施水平</v>
      </c>
    </row>
    <row r="21" spans="1:18" ht="15">
      <c r="A21" s="645"/>
      <c r="B21" s="1795" t="s">
        <v>2091</v>
      </c>
      <c r="C21" s="136" t="str">
        <f>C7</f>
        <v>较好</v>
      </c>
      <c r="D21" s="2367"/>
      <c r="E21" s="2403"/>
      <c r="F21" s="2404" t="s">
        <v>2110</v>
      </c>
      <c r="G21" s="2405"/>
    </row>
    <row r="22" spans="1:18" ht="13.5" customHeight="1">
      <c r="A22" s="645"/>
      <c r="B22" s="1795" t="s">
        <v>2094</v>
      </c>
      <c r="C22" s="136" t="str">
        <f>C8</f>
        <v>六通</v>
      </c>
      <c r="D22" s="2367"/>
      <c r="E22" s="2403"/>
      <c r="F22" s="2404" t="s">
        <v>2099</v>
      </c>
      <c r="G22" s="1569"/>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109638.29</v>
      </c>
      <c r="C1" s="1742"/>
      <c r="D1" s="1742"/>
      <c r="E1" s="1742"/>
      <c r="F1" s="1742"/>
      <c r="G1" s="1740"/>
    </row>
    <row r="2" spans="1:10" ht="16.5">
      <c r="A2" s="1743" t="s">
        <v>1349</v>
      </c>
      <c r="B2" s="1743">
        <f>SUM(C14:C23)</f>
        <v>34987</v>
      </c>
      <c r="C2" s="1742"/>
      <c r="D2" s="1742"/>
      <c r="E2" s="1742"/>
      <c r="F2" s="1742"/>
      <c r="G2" s="1740"/>
    </row>
    <row r="3" spans="1:10" ht="16.5">
      <c r="A3" s="1743" t="s">
        <v>1358</v>
      </c>
      <c r="B3" s="1744">
        <f>项目基本情况!D3</f>
        <v>43693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31421</v>
      </c>
      <c r="C5" s="1743">
        <f ca="1">ROUND(B5*10000/$B$1,0)</f>
        <v>2866</v>
      </c>
      <c r="D5" s="1743">
        <f ca="1">ROUND(B5*10000/$B$2,0)</f>
        <v>8981</v>
      </c>
      <c r="E5" s="1742"/>
      <c r="F5" s="1740"/>
      <c r="G5" s="1740"/>
    </row>
    <row r="6" spans="1:10" ht="16.5">
      <c r="A6" s="1743" t="s">
        <v>1352</v>
      </c>
      <c r="B6" s="1743">
        <f ca="1">SUM(G14:G23)</f>
        <v>31421</v>
      </c>
      <c r="C6" s="1743">
        <f ca="1">ROUND(B6*10000/$B$1,0)</f>
        <v>2866</v>
      </c>
      <c r="D6" s="1743">
        <f ca="1">ROUND(B6*10000/$B$2,0)</f>
        <v>8981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1010.65</v>
      </c>
      <c r="C14" s="1741">
        <f>结果表!C118</f>
        <v>0</v>
      </c>
      <c r="D14" s="1741">
        <f ca="1">结果表!H118</f>
        <v>569</v>
      </c>
      <c r="E14" s="1741">
        <f ca="1">ROUND(D14*10000/B14,0)</f>
        <v>5630</v>
      </c>
      <c r="F14" s="1741" t="e">
        <f ca="1">ROUND(D14*10000/C14,0)</f>
        <v>#DIV/0!</v>
      </c>
      <c r="G14" s="1741">
        <f ca="1">结果表!D122</f>
        <v>569</v>
      </c>
      <c r="H14" s="1741" t="str">
        <f>结果表!D124</f>
        <v>——</v>
      </c>
      <c r="I14" s="1741" t="str">
        <f>结果表!D126</f>
        <v>——</v>
      </c>
      <c r="J14" s="1740"/>
    </row>
    <row r="15" spans="1:10" ht="16.5">
      <c r="A15" s="1739" t="s">
        <v>1345</v>
      </c>
      <c r="B15" s="3294">
        <f>[1]典型户型修正!$B$22</f>
        <v>11883.109999999997</v>
      </c>
      <c r="C15" s="3294" t="s">
        <v>3103</v>
      </c>
      <c r="D15" s="3294">
        <f ca="1">[1]典型户型修正!$S$22</f>
        <v>20561</v>
      </c>
      <c r="E15" s="1741">
        <f t="shared" ref="E15:E23" ca="1" si="0">ROUND(D15*10000/B15,0)</f>
        <v>17303</v>
      </c>
      <c r="F15" s="1741" t="e">
        <f t="shared" ref="F15:F23" ca="1" si="1">ROUND(D15*10000/C15,0)</f>
        <v>#VALUE!</v>
      </c>
      <c r="G15" s="3293">
        <f ca="1">D15</f>
        <v>20561</v>
      </c>
      <c r="H15" s="1747"/>
      <c r="I15" s="1746"/>
      <c r="J15" s="1740"/>
    </row>
    <row r="16" spans="1:10" ht="16.5">
      <c r="A16" s="1739" t="s">
        <v>1344</v>
      </c>
      <c r="B16" s="3294">
        <f>[2]系统读取表!$B$14</f>
        <v>96744.53</v>
      </c>
      <c r="C16" s="3294">
        <f>[2]系统读取表!$C$14</f>
        <v>34987</v>
      </c>
      <c r="D16" s="3294">
        <f ca="1">[2]系统读取表!$B$5</f>
        <v>10291</v>
      </c>
      <c r="E16" s="1741">
        <f t="shared" ca="1" si="0"/>
        <v>1064</v>
      </c>
      <c r="F16" s="1741">
        <f t="shared" ca="1" si="1"/>
        <v>2941</v>
      </c>
      <c r="G16" s="1747">
        <f ca="1">D16</f>
        <v>10291</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2113</v>
      </c>
      <c r="B1" s="2415"/>
      <c r="C1" s="2416" t="s">
        <v>27</v>
      </c>
      <c r="D1" s="2415"/>
      <c r="E1" s="2415"/>
      <c r="F1" s="2417" t="s">
        <v>2114</v>
      </c>
      <c r="G1" s="2067" t="s">
        <v>3072</v>
      </c>
      <c r="H1" s="2418" t="str">
        <f>IF(G1="现房","——","估价对象范围")</f>
        <v>——</v>
      </c>
      <c r="I1" s="2419"/>
    </row>
    <row r="2" spans="1:12" ht="21.75" customHeight="1" thickBot="1">
      <c r="A2" s="3127" t="str">
        <f>项目基本情况!S2</f>
        <v>安徽省宿州市卞河西路南侧林泉苑A#楼0300室房地产</v>
      </c>
      <c r="B2" s="3128"/>
      <c r="C2" s="3128"/>
      <c r="D2" s="3128"/>
      <c r="E2" s="3128"/>
      <c r="F2" s="3128"/>
      <c r="G2" s="3128"/>
      <c r="H2" s="3128"/>
      <c r="I2" s="3129"/>
    </row>
    <row r="3" spans="1:12" ht="12.75">
      <c r="A3" s="3130" t="s">
        <v>2115</v>
      </c>
      <c r="B3" s="3131"/>
      <c r="C3" s="3131"/>
      <c r="D3" s="3131"/>
      <c r="E3" s="3131"/>
      <c r="F3" s="3131"/>
      <c r="G3" s="3131"/>
      <c r="H3" s="3131"/>
      <c r="I3" s="3131"/>
    </row>
    <row r="4" spans="1:12" ht="14.25">
      <c r="A4" s="2422" t="s">
        <v>2116</v>
      </c>
      <c r="B4" s="2423" t="s">
        <v>2117</v>
      </c>
      <c r="C4" s="2424" t="s">
        <v>3066</v>
      </c>
      <c r="D4" s="2424" t="s">
        <v>3073</v>
      </c>
      <c r="E4" s="3111" t="s">
        <v>2118</v>
      </c>
      <c r="F4" s="3124"/>
      <c r="G4" s="3124"/>
      <c r="H4" s="3124"/>
      <c r="I4" s="3112"/>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02" t="s">
        <v>2119</v>
      </c>
      <c r="B5" s="3028">
        <v>25</v>
      </c>
      <c r="C5" s="3132"/>
      <c r="D5" s="3120"/>
      <c r="E5" s="140" t="s">
        <v>2120</v>
      </c>
      <c r="F5" s="2426"/>
      <c r="G5" s="2426"/>
      <c r="H5" s="2426"/>
      <c r="I5" s="1831"/>
    </row>
    <row r="6" spans="1:12" ht="12.75">
      <c r="A6" s="3102"/>
      <c r="B6" s="3028"/>
      <c r="C6" s="3134"/>
      <c r="D6" s="3120"/>
      <c r="E6" s="140" t="s">
        <v>2121</v>
      </c>
      <c r="F6" s="2426"/>
      <c r="G6" s="2426"/>
      <c r="H6" s="2426"/>
      <c r="I6" s="1831"/>
    </row>
    <row r="7" spans="1:12" ht="12.75">
      <c r="A7" s="3102"/>
      <c r="B7" s="3028"/>
      <c r="C7" s="3133"/>
      <c r="D7" s="3120"/>
      <c r="E7" s="140" t="s">
        <v>2122</v>
      </c>
      <c r="F7" s="2426"/>
      <c r="G7" s="2426"/>
      <c r="H7" s="2426"/>
      <c r="I7" s="1831"/>
    </row>
    <row r="8" spans="1:12" ht="12.75">
      <c r="A8" s="3102" t="s">
        <v>2123</v>
      </c>
      <c r="B8" s="3028">
        <v>15</v>
      </c>
      <c r="C8" s="3132"/>
      <c r="D8" s="3120"/>
      <c r="E8" s="140" t="s">
        <v>2124</v>
      </c>
      <c r="F8" s="2426"/>
      <c r="G8" s="2426"/>
      <c r="H8" s="2426"/>
      <c r="I8" s="1831"/>
    </row>
    <row r="9" spans="1:12" ht="12.75">
      <c r="A9" s="3102"/>
      <c r="B9" s="3028"/>
      <c r="C9" s="3133"/>
      <c r="D9" s="3120"/>
      <c r="E9" s="140" t="s">
        <v>2125</v>
      </c>
      <c r="F9" s="2426"/>
      <c r="G9" s="2426"/>
      <c r="H9" s="2426"/>
      <c r="I9" s="1831"/>
    </row>
    <row r="10" spans="1:12" ht="12.75">
      <c r="A10" s="3102" t="s">
        <v>2126</v>
      </c>
      <c r="B10" s="3028">
        <v>15</v>
      </c>
      <c r="C10" s="3132"/>
      <c r="D10" s="3120"/>
      <c r="E10" s="140" t="s">
        <v>2127</v>
      </c>
      <c r="F10" s="2426"/>
      <c r="G10" s="2426"/>
      <c r="H10" s="2426"/>
      <c r="I10" s="1831"/>
    </row>
    <row r="11" spans="1:12" ht="12.75">
      <c r="A11" s="3102"/>
      <c r="B11" s="3028"/>
      <c r="C11" s="3133"/>
      <c r="D11" s="3120"/>
      <c r="E11" s="140" t="s">
        <v>2128</v>
      </c>
      <c r="F11" s="2426"/>
      <c r="G11" s="2426"/>
      <c r="H11" s="2426"/>
      <c r="I11" s="1831"/>
    </row>
    <row r="12" spans="1:12" ht="12.75">
      <c r="A12" s="3102" t="s">
        <v>2129</v>
      </c>
      <c r="B12" s="3028">
        <v>15</v>
      </c>
      <c r="C12" s="3132"/>
      <c r="D12" s="3120"/>
      <c r="E12" s="140" t="s">
        <v>2130</v>
      </c>
      <c r="F12" s="2426"/>
      <c r="G12" s="2426"/>
      <c r="H12" s="2426"/>
      <c r="I12" s="1831"/>
    </row>
    <row r="13" spans="1:12" ht="12.75">
      <c r="A13" s="3102"/>
      <c r="B13" s="3028"/>
      <c r="C13" s="3133"/>
      <c r="D13" s="3120"/>
      <c r="E13" s="140" t="s">
        <v>2131</v>
      </c>
      <c r="F13" s="2426"/>
      <c r="G13" s="2426"/>
      <c r="H13" s="2426"/>
      <c r="I13" s="1831"/>
    </row>
    <row r="14" spans="1:12" ht="12.75">
      <c r="A14" s="3102" t="s">
        <v>2132</v>
      </c>
      <c r="B14" s="3028">
        <v>30</v>
      </c>
      <c r="C14" s="3132">
        <v>55</v>
      </c>
      <c r="D14" s="3120">
        <v>45</v>
      </c>
      <c r="E14" s="140" t="s">
        <v>2133</v>
      </c>
      <c r="F14" s="2426"/>
      <c r="G14" s="2426"/>
      <c r="H14" s="2426"/>
      <c r="I14" s="1831"/>
    </row>
    <row r="15" spans="1:12" ht="12.75">
      <c r="A15" s="3102"/>
      <c r="B15" s="3028"/>
      <c r="C15" s="3134"/>
      <c r="D15" s="3120"/>
      <c r="E15" s="140" t="s">
        <v>2134</v>
      </c>
      <c r="F15" s="2426"/>
      <c r="G15" s="2426"/>
      <c r="H15" s="2426"/>
      <c r="I15" s="1831"/>
    </row>
    <row r="16" spans="1:12" ht="12.75">
      <c r="A16" s="3102"/>
      <c r="B16" s="3028"/>
      <c r="C16" s="3133"/>
      <c r="D16" s="3120"/>
      <c r="E16" s="140" t="s">
        <v>2135</v>
      </c>
      <c r="F16" s="2426"/>
      <c r="G16" s="2426"/>
      <c r="H16" s="2426"/>
      <c r="I16" s="1831"/>
    </row>
    <row r="17" spans="1:35" ht="15">
      <c r="A17" s="2427" t="s">
        <v>2136</v>
      </c>
      <c r="B17" s="64"/>
      <c r="C17" s="141">
        <f>SUM(C5:C16)</f>
        <v>55</v>
      </c>
      <c r="D17" s="141">
        <f>SUM(D5:D16)</f>
        <v>45</v>
      </c>
      <c r="E17" s="138"/>
      <c r="F17" s="138"/>
      <c r="G17" s="138"/>
      <c r="H17" s="138"/>
      <c r="I17" s="138"/>
      <c r="K17" s="2425"/>
      <c r="L17" s="2428" t="s">
        <v>2137</v>
      </c>
      <c r="M17" s="2428" t="s">
        <v>2138</v>
      </c>
    </row>
    <row r="18" spans="1:35" ht="15.75" thickBot="1">
      <c r="A18" s="2429" t="s">
        <v>2139</v>
      </c>
      <c r="B18" s="2430"/>
      <c r="C18" s="142">
        <f>ROUND(C17/SUM(C17:D17),2)</f>
        <v>0.55000000000000004</v>
      </c>
      <c r="D18" s="142">
        <f>1-C18</f>
        <v>0.44999999999999996</v>
      </c>
      <c r="E18" s="138"/>
      <c r="F18" s="138"/>
      <c r="G18" s="138"/>
      <c r="H18" s="138"/>
      <c r="I18" s="138"/>
      <c r="K18" s="2425" t="s">
        <v>2140</v>
      </c>
      <c r="L18" s="2425">
        <f>IF(C1="",'数据-汇总表'!E3,SUMIF(项目类型,C1,'数据-汇总表'!E17:E26)+SUMIF(项目类型,C1,'数据-汇总表'!I17:I26))</f>
        <v>1010.65</v>
      </c>
      <c r="M18" s="2425">
        <f>IF(C1="",'数据-汇总表'!E3,SUMIF(项目类型,C1,'数据-汇总表'!E17:E26))</f>
        <v>1010.65</v>
      </c>
    </row>
    <row r="19" spans="1:35" ht="15">
      <c r="A19" s="2431" t="s">
        <v>2141</v>
      </c>
      <c r="B19" s="2432" t="s">
        <v>2142</v>
      </c>
      <c r="C19" s="143">
        <f ca="1">SUMIF(INDIRECT("'"&amp;C4&amp;"'"&amp;"!A:A"),结果表!B19,INDIRECT("'"&amp;C4&amp;"'"&amp;"!B:B"))</f>
        <v>474</v>
      </c>
      <c r="D19" s="144">
        <f ca="1">SUMIF(INDIRECT("'"&amp;D4&amp;"'"&amp;"!A:A"),结果表!B19,INDIRECT("'"&amp;D4&amp;"'"&amp;"!B:B"))</f>
        <v>686</v>
      </c>
      <c r="E19" s="2431" t="s">
        <v>2143</v>
      </c>
      <c r="F19" s="2432" t="s">
        <v>2142</v>
      </c>
      <c r="G19" s="145">
        <f ca="1">ROUND(C19*$C$18+D19*$D$18,0)</f>
        <v>569</v>
      </c>
      <c r="H19" s="2433" t="s">
        <v>2144</v>
      </c>
      <c r="I19" s="138"/>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4690</v>
      </c>
      <c r="D20" s="147">
        <f ca="1">SUMIF(INDIRECT("'"&amp;D4&amp;"'"&amp;"!A:A"),结果表!B20,INDIRECT("'"&amp;D4&amp;"'"&amp;"!B:B"))</f>
        <v>6790</v>
      </c>
      <c r="E20" s="2434"/>
      <c r="F20" s="1247" t="s">
        <v>2146</v>
      </c>
      <c r="G20" s="148">
        <f ca="1">ROUND(C20*$C$18+D20*$D$18,0)</f>
        <v>5635</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row>
    <row r="22" spans="1:35" ht="15" thickBot="1">
      <c r="A22" s="2277" t="s">
        <v>2149</v>
      </c>
      <c r="B22" s="2437"/>
      <c r="C22" s="2438"/>
      <c r="D22" s="791">
        <f ca="1">IF(C19&lt;D19,D19/C19-1,C19/D19-1)</f>
        <v>0.44725738396624481</v>
      </c>
      <c r="E22" s="138"/>
      <c r="F22" s="138"/>
      <c r="G22" s="138"/>
      <c r="H22" s="138"/>
      <c r="I22" s="138"/>
    </row>
    <row r="23" spans="1:35" ht="13.5" thickBot="1">
      <c r="A23" s="2415"/>
      <c r="B23" s="2415"/>
      <c r="C23" s="2415"/>
      <c r="D23" s="2415"/>
      <c r="E23" s="138"/>
      <c r="F23" s="138"/>
      <c r="G23" s="138"/>
      <c r="H23" s="138"/>
      <c r="I23" s="138"/>
    </row>
    <row r="24" spans="1:35" ht="14.25">
      <c r="A24" s="3141" t="s">
        <v>2150</v>
      </c>
      <c r="B24" s="2432" t="s">
        <v>2142</v>
      </c>
      <c r="C24" s="145">
        <f>IF(B30=0,0,D30)</f>
        <v>0</v>
      </c>
      <c r="D24" s="2439"/>
      <c r="E24" s="138"/>
      <c r="F24" s="138"/>
      <c r="G24" s="138"/>
      <c r="H24" s="138"/>
      <c r="I24" s="138"/>
    </row>
    <row r="25" spans="1:35" ht="14.25">
      <c r="A25" s="3142"/>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569</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6"/>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121" t="s">
        <v>2164</v>
      </c>
      <c r="B36" s="2458" t="s">
        <v>2165</v>
      </c>
      <c r="C36" s="154"/>
      <c r="D36" s="2459"/>
      <c r="E36" s="2460"/>
      <c r="F36" s="2461"/>
      <c r="G36" s="138"/>
      <c r="H36" s="138"/>
      <c r="I36" s="138"/>
    </row>
    <row r="37" spans="1:15" ht="15.75" thickBot="1">
      <c r="A37" s="3122"/>
      <c r="B37" s="2263" t="s">
        <v>2166</v>
      </c>
      <c r="C37" s="156"/>
      <c r="D37" s="1392"/>
      <c r="E37" s="1392"/>
      <c r="F37" s="2461"/>
      <c r="G37" s="138"/>
      <c r="H37" s="138"/>
      <c r="I37" s="138"/>
    </row>
    <row r="38" spans="1:15" ht="15.75" thickBot="1">
      <c r="A38" s="3123"/>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38" t="s">
        <v>2178</v>
      </c>
      <c r="B45" s="3139"/>
      <c r="C45" s="3140"/>
      <c r="D45" s="164">
        <f ca="1">ROUND(H101*F45,0)</f>
        <v>569</v>
      </c>
      <c r="E45" s="165" t="s">
        <v>2179</v>
      </c>
      <c r="F45" s="166">
        <v>1</v>
      </c>
      <c r="G45" s="167" t="s">
        <v>2180</v>
      </c>
      <c r="H45" s="138"/>
      <c r="I45" s="138"/>
      <c r="J45" s="3057" t="s">
        <v>2181</v>
      </c>
      <c r="K45" s="3057"/>
      <c r="L45" s="3057"/>
      <c r="M45" s="3057"/>
      <c r="N45" s="3057"/>
      <c r="O45" s="3057"/>
    </row>
    <row r="46" spans="1:15" ht="14.25" customHeight="1">
      <c r="A46" s="3135" t="s">
        <v>2182</v>
      </c>
      <c r="B46" s="3136"/>
      <c r="C46" s="3136"/>
      <c r="D46" s="3136"/>
      <c r="E46" s="3136"/>
      <c r="F46" s="3136"/>
      <c r="G46" s="3137"/>
      <c r="H46" s="2477"/>
      <c r="I46" s="168"/>
      <c r="J46" s="1809">
        <v>1</v>
      </c>
      <c r="K46" s="3057" t="s">
        <v>2183</v>
      </c>
      <c r="L46" s="3057"/>
      <c r="M46" s="3058"/>
      <c r="N46" s="3058"/>
      <c r="O46" s="3058"/>
    </row>
    <row r="47" spans="1:15" ht="12" customHeight="1">
      <c r="A47" s="169" t="s">
        <v>2184</v>
      </c>
      <c r="B47" s="170"/>
      <c r="C47" s="171"/>
      <c r="D47" s="172" t="s">
        <v>2185</v>
      </c>
      <c r="E47" s="24" t="s">
        <v>2186</v>
      </c>
      <c r="F47" s="173" t="s">
        <v>2187</v>
      </c>
      <c r="G47" s="174" t="s">
        <v>2188</v>
      </c>
      <c r="H47" s="2477"/>
      <c r="I47" s="168"/>
      <c r="J47" s="1809">
        <v>2</v>
      </c>
      <c r="K47" s="3057" t="s">
        <v>2189</v>
      </c>
      <c r="L47" s="3057"/>
      <c r="M47" s="3059">
        <f>'数据-取费表'!B2</f>
        <v>43693</v>
      </c>
      <c r="N47" s="3059"/>
      <c r="O47" s="3059"/>
    </row>
    <row r="48" spans="1:15" ht="25.5">
      <c r="A48" s="3125" t="s">
        <v>2190</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78" t="s">
        <v>2191</v>
      </c>
      <c r="H48" s="2479" t="s">
        <v>2192</v>
      </c>
      <c r="I48" s="2477"/>
      <c r="J48" s="1809">
        <v>3</v>
      </c>
      <c r="K48" s="3057" t="s">
        <v>2193</v>
      </c>
      <c r="L48" s="3057"/>
      <c r="M48" s="3060">
        <f ca="1">H101</f>
        <v>569</v>
      </c>
      <c r="N48" s="3060"/>
      <c r="O48" s="3060"/>
    </row>
    <row r="49" spans="1:35" ht="25.5" customHeight="1">
      <c r="A49" s="176" t="s">
        <v>2194</v>
      </c>
      <c r="B49" s="3105" t="s">
        <v>2195</v>
      </c>
      <c r="C49" s="3105"/>
      <c r="D49" s="177">
        <v>0</v>
      </c>
      <c r="E49" s="23" t="s">
        <v>2196</v>
      </c>
      <c r="F49" s="28" t="s">
        <v>34</v>
      </c>
      <c r="G49" s="3086"/>
      <c r="H49" s="138"/>
      <c r="I49" s="2480"/>
      <c r="J49" s="1809">
        <v>4</v>
      </c>
      <c r="K49" s="3057" t="str">
        <f>IF(项目基本情况!E8="房地产抵押价值","房地产抵押价值","抵押担保权已注销时的房地产抵押价值")</f>
        <v>房地产抵押价值</v>
      </c>
      <c r="L49" s="3057"/>
      <c r="M49" s="3060">
        <f ca="1">IF(项目基本情况!E8="房地产抵押价值",H107,H109)</f>
        <v>569</v>
      </c>
      <c r="N49" s="3060"/>
      <c r="O49" s="3060"/>
    </row>
    <row r="50" spans="1:35" ht="25.5" customHeight="1">
      <c r="A50" s="178"/>
      <c r="B50" s="3105" t="s">
        <v>2197</v>
      </c>
      <c r="C50" s="3105"/>
      <c r="D50" s="179"/>
      <c r="E50" s="31"/>
      <c r="F50" s="180"/>
      <c r="G50" s="3087"/>
      <c r="H50" s="138"/>
      <c r="I50" s="2480"/>
      <c r="J50" s="3057" t="s">
        <v>2198</v>
      </c>
      <c r="K50" s="3057"/>
      <c r="L50" s="3057"/>
      <c r="M50" s="3057"/>
      <c r="N50" s="3057"/>
      <c r="O50" s="3057"/>
    </row>
    <row r="51" spans="1:35" ht="12" customHeight="1">
      <c r="A51" s="181"/>
      <c r="B51" s="3105" t="s">
        <v>2199</v>
      </c>
      <c r="C51" s="3105"/>
      <c r="D51" s="182"/>
      <c r="E51" s="30"/>
      <c r="F51" s="180"/>
      <c r="G51" s="3088"/>
      <c r="H51" s="138"/>
      <c r="I51" s="2480"/>
      <c r="J51" s="2481" t="s">
        <v>2200</v>
      </c>
      <c r="K51" s="3057" t="s">
        <v>2201</v>
      </c>
      <c r="L51" s="3057"/>
      <c r="M51" s="2481" t="s">
        <v>2202</v>
      </c>
      <c r="N51" s="2481" t="s">
        <v>2203</v>
      </c>
      <c r="O51" s="2481" t="s">
        <v>2204</v>
      </c>
    </row>
    <row r="52" spans="1:35" ht="24" customHeight="1">
      <c r="A52" s="183" t="s">
        <v>2205</v>
      </c>
      <c r="B52" s="3105" t="s">
        <v>2206</v>
      </c>
      <c r="C52" s="3105"/>
      <c r="D52" s="182">
        <f ca="1">ROUND(D45*'数据-取费表'!B41/(1+'数据-取费表'!C42),0)</f>
        <v>30</v>
      </c>
      <c r="E52" s="11" t="s">
        <v>2207</v>
      </c>
      <c r="F52" s="184">
        <f>'数据-取费表'!B41</f>
        <v>5.5000000000000007E-2</v>
      </c>
      <c r="G52" s="2482"/>
      <c r="H52" s="138"/>
      <c r="I52" s="2480"/>
      <c r="J52" s="1809">
        <v>1</v>
      </c>
      <c r="K52" s="3080" t="s">
        <v>2208</v>
      </c>
      <c r="L52" s="3080"/>
      <c r="M52" s="1751">
        <f>D48</f>
        <v>0</v>
      </c>
      <c r="N52" s="1809" t="str">
        <f>E48</f>
        <v>销售额×税（费）率</v>
      </c>
      <c r="O52" s="1752" t="str">
        <f>F48</f>
        <v>免征</v>
      </c>
    </row>
    <row r="53" spans="1:35" ht="12" customHeight="1">
      <c r="A53" s="183" t="s">
        <v>2209</v>
      </c>
      <c r="B53" s="3106" t="s">
        <v>2210</v>
      </c>
      <c r="C53" s="3107"/>
      <c r="D53" s="182">
        <f ca="1">ROUND(D45*'数据-取费表'!B41/(1+'数据-取费表'!C42),0)</f>
        <v>30</v>
      </c>
      <c r="E53" s="11" t="s">
        <v>2207</v>
      </c>
      <c r="F53" s="184">
        <f>'数据-取费表'!B41</f>
        <v>5.5000000000000007E-2</v>
      </c>
      <c r="G53" s="2482"/>
      <c r="H53" s="138"/>
      <c r="I53" s="2480"/>
      <c r="J53" s="1809">
        <v>2</v>
      </c>
      <c r="K53" s="3080" t="s">
        <v>2211</v>
      </c>
      <c r="L53" s="3080"/>
      <c r="M53" s="1751">
        <f t="shared" ref="M53:O54" ca="1" si="0">D55</f>
        <v>0</v>
      </c>
      <c r="N53" s="1809" t="str">
        <f t="shared" si="0"/>
        <v>销售额×税（费）率</v>
      </c>
      <c r="O53" s="1752">
        <f t="shared" si="0"/>
        <v>5.0000000000000001E-4</v>
      </c>
    </row>
    <row r="54" spans="1:35" ht="12" customHeight="1">
      <c r="A54" s="183" t="s">
        <v>2212</v>
      </c>
      <c r="B54" s="3106" t="s">
        <v>2213</v>
      </c>
      <c r="C54" s="3107"/>
      <c r="D54" s="182">
        <f ca="1">C68</f>
        <v>30</v>
      </c>
      <c r="E54" s="30" t="s">
        <v>2214</v>
      </c>
      <c r="F54" s="184">
        <f>'数据-取费表'!B41</f>
        <v>5.5000000000000007E-2</v>
      </c>
      <c r="G54" s="2482"/>
      <c r="H54" s="2483"/>
      <c r="I54" s="2480"/>
      <c r="J54" s="1809">
        <v>3</v>
      </c>
      <c r="K54" s="3080" t="s">
        <v>2215</v>
      </c>
      <c r="L54" s="3080"/>
      <c r="M54" s="1751">
        <f t="shared" ca="1" si="0"/>
        <v>322</v>
      </c>
      <c r="N54" s="1809" t="str">
        <f t="shared" si="0"/>
        <v>增值额×税（费）率</v>
      </c>
      <c r="O54" s="1753" t="str">
        <f t="shared" si="0"/>
        <v>——</v>
      </c>
    </row>
    <row r="55" spans="1:35" ht="24" customHeight="1">
      <c r="A55" s="3144" t="s">
        <v>2216</v>
      </c>
      <c r="B55" s="3126"/>
      <c r="C55" s="3126"/>
      <c r="D55" s="185">
        <f ca="1">IF(H55="个人住宅",0,ROUND(D45*I55,0))</f>
        <v>0</v>
      </c>
      <c r="E55" s="11" t="s">
        <v>2217</v>
      </c>
      <c r="F55" s="184">
        <f>IF(H55="正常",I55,"免征")</f>
        <v>5.0000000000000001E-4</v>
      </c>
      <c r="G55" s="2482"/>
      <c r="H55" s="2479" t="s">
        <v>2218</v>
      </c>
      <c r="I55" s="186">
        <f>'数据-取费表'!B49</f>
        <v>5.0000000000000001E-4</v>
      </c>
      <c r="J55" s="1809" t="str">
        <f>IF(H59="非个人房产","",4)</f>
        <v/>
      </c>
      <c r="K55" s="3080" t="str">
        <f>IF(H59="非个人房产","——","个人所得税")</f>
        <v>——</v>
      </c>
      <c r="L55" s="3080"/>
      <c r="M55" s="1754" t="str">
        <f>D59</f>
        <v>——</v>
      </c>
      <c r="N55" s="1807" t="str">
        <f>E59</f>
        <v>——</v>
      </c>
      <c r="O55" s="1755" t="str">
        <f>F59</f>
        <v>——</v>
      </c>
    </row>
    <row r="56" spans="1:35" ht="24.75">
      <c r="A56" s="3144" t="s">
        <v>2219</v>
      </c>
      <c r="B56" s="3126"/>
      <c r="C56" s="3126"/>
      <c r="D56" s="185">
        <f ca="1">IF(H56="个人住宅",D57,D58)</f>
        <v>322</v>
      </c>
      <c r="E56" s="11" t="s">
        <v>2220</v>
      </c>
      <c r="F56" s="184" t="str">
        <f>IF(H56="正常",F58,"免征")</f>
        <v>——</v>
      </c>
      <c r="G56" s="2484" t="s">
        <v>2221</v>
      </c>
      <c r="H56" s="2485" t="s">
        <v>2218</v>
      </c>
      <c r="I56" s="2486"/>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c r="A57" s="183" t="s">
        <v>2194</v>
      </c>
      <c r="B57" s="3111" t="s">
        <v>2222</v>
      </c>
      <c r="C57" s="3112"/>
      <c r="D57" s="187">
        <v>0</v>
      </c>
      <c r="E57" s="23" t="s">
        <v>2196</v>
      </c>
      <c r="F57" s="155"/>
      <c r="G57" s="2482"/>
      <c r="H57" s="2486"/>
      <c r="I57" s="2486"/>
      <c r="J57" s="3080">
        <f>IF(AND(J55="",J56=""),4,IF(项目基本情况!K6="上海银行",结果表!J56+1,结果表!J55+1))</f>
        <v>4</v>
      </c>
      <c r="K57" s="3080" t="s">
        <v>2223</v>
      </c>
      <c r="L57" s="2487" t="s">
        <v>2224</v>
      </c>
      <c r="M57" s="1756"/>
      <c r="N57" s="1757">
        <f ca="1">SUMIF(M52:M56,"&lt;9e307")</f>
        <v>322</v>
      </c>
      <c r="O57" s="2488"/>
      <c r="P57" s="1750">
        <f ca="1">N57/M49</f>
        <v>0.56590509666080846</v>
      </c>
    </row>
    <row r="58" spans="1:35" ht="24.75">
      <c r="A58" s="183" t="s">
        <v>2205</v>
      </c>
      <c r="B58" s="3111" t="s">
        <v>2225</v>
      </c>
      <c r="C58" s="3124"/>
      <c r="D58" s="185">
        <f ca="1">IF(H58="转让取得",C81,C97)</f>
        <v>322</v>
      </c>
      <c r="E58" s="11" t="s">
        <v>2220</v>
      </c>
      <c r="F58" s="24" t="s">
        <v>34</v>
      </c>
      <c r="G58" s="2482"/>
      <c r="H58" s="2485" t="s">
        <v>2226</v>
      </c>
      <c r="I58" s="2486"/>
      <c r="J58" s="3080"/>
      <c r="K58" s="3080"/>
      <c r="L58" s="2487" t="s">
        <v>2227</v>
      </c>
      <c r="M58" s="1758"/>
      <c r="N58" s="2489" t="str">
        <f ca="1">NUMBERSTRING(INT(N57*10000),2)&amp;"元整"</f>
        <v>叁佰贰拾贰万元整</v>
      </c>
      <c r="O58" s="2490"/>
    </row>
    <row r="59" spans="1:35" ht="24.75" thickBot="1">
      <c r="A59" s="3084" t="s">
        <v>2228</v>
      </c>
      <c r="B59" s="3085"/>
      <c r="C59" s="3085"/>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82">
        <f>J57+1</f>
        <v>5</v>
      </c>
      <c r="K59" s="3080" t="s">
        <v>2230</v>
      </c>
      <c r="L59" s="1809" t="s">
        <v>2224</v>
      </c>
      <c r="M59" s="1759"/>
      <c r="N59" s="1760">
        <f ca="1">M49-N57</f>
        <v>247</v>
      </c>
      <c r="O59" s="2492"/>
    </row>
    <row r="60" spans="1:35" ht="12" customHeight="1">
      <c r="A60" s="2493"/>
      <c r="B60" s="2415"/>
      <c r="C60" s="2415"/>
      <c r="D60" s="2415"/>
      <c r="E60" s="2162"/>
      <c r="F60" s="2486"/>
      <c r="G60" s="2486"/>
      <c r="H60" s="2494"/>
      <c r="I60" s="138"/>
      <c r="J60" s="3083"/>
      <c r="K60" s="3080"/>
      <c r="L60" s="2487" t="s">
        <v>2227</v>
      </c>
      <c r="M60" s="1758"/>
      <c r="N60" s="2489" t="str">
        <f ca="1">NUMBERSTRING(INT(N59*10000),2)&amp;"元整"</f>
        <v>贰佰肆拾柒万元整</v>
      </c>
      <c r="O60" s="2490"/>
    </row>
    <row r="61" spans="1:35" ht="13.5" thickBot="1">
      <c r="A61" s="3143" t="s">
        <v>2231</v>
      </c>
      <c r="B61" s="3143"/>
      <c r="C61" s="3143"/>
      <c r="D61" s="3143"/>
      <c r="E61" s="3143"/>
      <c r="F61" s="2486"/>
      <c r="G61" s="2486"/>
      <c r="H61" s="2494"/>
      <c r="I61" s="138"/>
      <c r="J61" s="1809">
        <f>J59+1</f>
        <v>6</v>
      </c>
      <c r="K61" s="3080" t="s">
        <v>2232</v>
      </c>
      <c r="L61" s="3080"/>
      <c r="M61" s="1761"/>
      <c r="N61" s="1762">
        <f ca="1">ROUND(N59*10000/'数据-汇总表'!E3,0)</f>
        <v>2444</v>
      </c>
      <c r="O61" s="2495"/>
    </row>
    <row r="62" spans="1:35" ht="12.75">
      <c r="A62" s="3100" t="s">
        <v>2233</v>
      </c>
      <c r="B62" s="3101"/>
      <c r="C62" s="1801"/>
      <c r="D62" s="1801" t="s">
        <v>2234</v>
      </c>
      <c r="E62" s="192" t="s">
        <v>2235</v>
      </c>
      <c r="F62" s="2486"/>
      <c r="G62" s="2486"/>
      <c r="H62" s="2494"/>
      <c r="I62" s="138"/>
    </row>
    <row r="63" spans="1:35" ht="12.75">
      <c r="A63" s="203" t="s">
        <v>775</v>
      </c>
      <c r="B63" s="193" t="s">
        <v>2236</v>
      </c>
      <c r="C63" s="194">
        <f ca="1">ROUND((C64+C65)/(1+'数据-取费表'!C42),0)</f>
        <v>542</v>
      </c>
      <c r="D63" s="195"/>
      <c r="E63" s="196"/>
      <c r="F63" s="2486"/>
      <c r="G63" s="2486"/>
      <c r="H63" s="2494"/>
      <c r="I63" s="138"/>
      <c r="J63" s="3065" t="s">
        <v>2237</v>
      </c>
      <c r="K63" s="2496" t="s">
        <v>2238</v>
      </c>
      <c r="L63" s="1749">
        <f ca="1">IF(M49&gt;10000,M49*0.5%,IF(AND(M49&gt;1000,M49&lt;=10000),M49*1%,IF(AND(M49&gt;100,M49&lt;=1000),M49*3%,IF(AND(M49&gt;10,M49&lt;=100),M49*5%,M49*8%))))</f>
        <v>17.07</v>
      </c>
      <c r="M63" s="24">
        <f ca="1">ROUND(L63,1)</f>
        <v>17.100000000000001</v>
      </c>
      <c r="Z63" s="2420"/>
      <c r="AI63" s="2421"/>
    </row>
    <row r="64" spans="1:35" ht="14.25" customHeight="1">
      <c r="A64" s="197" t="s">
        <v>770</v>
      </c>
      <c r="B64" s="198" t="s">
        <v>2239</v>
      </c>
      <c r="C64" s="199">
        <f ca="1">D45</f>
        <v>569</v>
      </c>
      <c r="D64" s="200" t="s">
        <v>32</v>
      </c>
      <c r="E64" s="201"/>
      <c r="F64" s="2486"/>
      <c r="G64" s="2486"/>
      <c r="H64" s="2494"/>
      <c r="I64" s="138"/>
      <c r="J64" s="3065"/>
      <c r="K64" s="2496" t="s">
        <v>2240</v>
      </c>
      <c r="L64" s="1749">
        <f ca="1">IF(M49&gt;2000,M49*0.5%,IF(AND(M49&gt;1000,M49&lt;=2000),M49*0.6%,IF(AND(M49&gt;500,M49&lt;=1000),M49*0.7%,IF(AND(M49&gt;200,M49&lt;=500),M49*0.8%,IF(AND(M49&gt;100,M49&lt;=200),M49*0.9%,IF(AND(M49&gt;50,M49&lt;=100),M49*1%,IF(AND(M49&gt;20,M49&lt;=50),M49*1.5%,IF(AND(M49&gt;10,M49&lt;=20),M49*2%,IF(AND(M49&gt;1,M49&lt;=10),M49*2.5%)))))))))</f>
        <v>3.9829999999999997</v>
      </c>
      <c r="M64" s="24">
        <f t="shared" ref="M64:M65" ca="1" si="1">ROUND(L64,1)</f>
        <v>4</v>
      </c>
      <c r="N64" s="138" t="s">
        <v>2241</v>
      </c>
      <c r="Z64" s="2420"/>
      <c r="AI64" s="2421"/>
    </row>
    <row r="65" spans="1:35" ht="14.25" customHeight="1">
      <c r="A65" s="197" t="s">
        <v>771</v>
      </c>
      <c r="B65" s="198" t="s">
        <v>2242</v>
      </c>
      <c r="C65" s="202"/>
      <c r="D65" s="200"/>
      <c r="E65" s="201"/>
      <c r="F65" s="2486"/>
      <c r="G65" s="2486"/>
      <c r="H65" s="2494"/>
      <c r="I65" s="138"/>
      <c r="J65" s="3065"/>
      <c r="K65" s="2496" t="s">
        <v>2243</v>
      </c>
      <c r="L65" s="1749">
        <f ca="1">IF(M49&gt;1000,M49*0.1%,IF(AND(M49&gt;500,M49&lt;=1000),M49*0.5%,IF(AND(M49&gt;50,M49&lt;=500),M49*1%,IF(AND(M49&gt;1,M49&lt;=50),M49*1.5%))))</f>
        <v>2.8450000000000002</v>
      </c>
      <c r="M65" s="24">
        <f t="shared" ca="1" si="1"/>
        <v>2.8</v>
      </c>
      <c r="N65" s="138" t="s">
        <v>2241</v>
      </c>
      <c r="Z65" s="2420"/>
      <c r="AI65" s="2421"/>
    </row>
    <row r="66" spans="1:35" ht="14.25" customHeight="1">
      <c r="A66" s="203" t="s">
        <v>772</v>
      </c>
      <c r="B66" s="204" t="s">
        <v>2244</v>
      </c>
      <c r="C66" s="205"/>
      <c r="D66" s="206" t="s">
        <v>32</v>
      </c>
      <c r="E66" s="1773" t="s">
        <v>1367</v>
      </c>
      <c r="F66" s="2486"/>
      <c r="G66" s="2486"/>
      <c r="H66" s="2494"/>
      <c r="I66" s="138"/>
      <c r="J66" s="3065"/>
      <c r="K66" s="2496" t="s">
        <v>2245</v>
      </c>
      <c r="L66" s="1749">
        <f ca="1">M49*0.5%</f>
        <v>2.8450000000000002</v>
      </c>
      <c r="M66" s="24">
        <f ca="1">IF(L66&gt;0.5,0.5,ROUND(L66,0))</f>
        <v>0.5</v>
      </c>
      <c r="N66" s="138" t="s">
        <v>2246</v>
      </c>
      <c r="Z66" s="2420"/>
      <c r="AI66" s="2421"/>
    </row>
    <row r="67" spans="1:35" ht="14.25" customHeight="1">
      <c r="A67" s="203" t="s">
        <v>773</v>
      </c>
      <c r="B67" s="204" t="s">
        <v>2247</v>
      </c>
      <c r="C67" s="207">
        <f ca="1">C63-C66</f>
        <v>542</v>
      </c>
      <c r="D67" s="200" t="s">
        <v>32</v>
      </c>
      <c r="E67" s="201"/>
      <c r="F67" s="2486"/>
      <c r="G67" s="2486"/>
      <c r="H67" s="2494"/>
      <c r="I67" s="138"/>
      <c r="J67" s="3065"/>
      <c r="K67" s="2496" t="s">
        <v>2248</v>
      </c>
      <c r="L67" s="1749">
        <f ca="1">IF(M49&gt;=10000,(8.25+(M49-10000)*0.01%),IF(AND(M49&gt;=8000,M49&lt;10000),(7.85+(M49-8000)*0.02%),IF(AND(M49&gt;=5000,M49&lt;8000),(6.65+(M49-5000)*0.04%),IF(AND(M49&gt;=2000,M49&lt;5000),(4.25+(PM49-2000)*0.08%),IF(AND(M49&gt;=1000,M49&lt;2000),(2.75+(M49-1000)*0.15%),IF(AND(M49&gt;=100,M49&lt;1000),(0.5+(M49-100)*0.25%),IF(AND(M49&gt;0,M49&lt;100),M49*0.5%)))))))</f>
        <v>1.6725000000000001</v>
      </c>
      <c r="M67" s="24">
        <f ca="1">ROUND(L67*0.9,1)</f>
        <v>1.5</v>
      </c>
      <c r="Z67" s="2420"/>
      <c r="AI67" s="2421"/>
    </row>
    <row r="68" spans="1:35" ht="14.25" customHeight="1" thickBot="1">
      <c r="A68" s="208" t="s">
        <v>774</v>
      </c>
      <c r="B68" s="209" t="s">
        <v>2249</v>
      </c>
      <c r="C68" s="210">
        <f ca="1">IF(C67&lt;=0,0,ROUND(C67*D68,0))</f>
        <v>30</v>
      </c>
      <c r="D68" s="211">
        <f>'数据-取费表'!B41</f>
        <v>5.5000000000000007E-2</v>
      </c>
      <c r="E68" s="212"/>
      <c r="F68" s="2486"/>
      <c r="G68" s="2486"/>
      <c r="H68" s="2494"/>
      <c r="I68" s="138"/>
      <c r="J68" s="3065"/>
      <c r="K68" s="2496" t="s">
        <v>2250</v>
      </c>
      <c r="L68" s="1749">
        <f ca="1">IF(M49&gt;10000,M49*0.5%,IF(AND(M49&gt;5000,M49&lt;=10000),M49*1%,IF(AND(M49&gt;1000,M49&lt;=5000),M49*2%,IF(AND(M49&gt;200,M49&lt;=1000),M49*3%,M49*5%))))</f>
        <v>17.07</v>
      </c>
      <c r="M68" s="24">
        <f ca="1">ROUND(L68,1)</f>
        <v>17.100000000000001</v>
      </c>
      <c r="Z68" s="2420"/>
      <c r="AI68" s="2421"/>
    </row>
    <row r="69" spans="1:35" s="2443" customFormat="1" ht="16.5" customHeight="1">
      <c r="A69" s="2497"/>
      <c r="B69" s="2498"/>
      <c r="C69" s="2499"/>
      <c r="D69" s="2500"/>
      <c r="E69" s="2501"/>
      <c r="F69" s="2162"/>
      <c r="G69" s="2162"/>
      <c r="H69" s="2161"/>
      <c r="I69" s="2415"/>
      <c r="J69" s="3065"/>
      <c r="K69" s="2496" t="s">
        <v>2251</v>
      </c>
      <c r="L69" s="2502"/>
      <c r="M69" s="24">
        <f ca="1">ROUND(SUM(M63:M68),0)</f>
        <v>43</v>
      </c>
      <c r="N69" s="1750">
        <f ca="1">M69/M49</f>
        <v>7.5571177504393669E-2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9" t="s">
        <v>2252</v>
      </c>
      <c r="B70" s="3110"/>
      <c r="C70" s="3110"/>
      <c r="D70" s="3110"/>
      <c r="E70" s="3110"/>
      <c r="F70" s="3110"/>
      <c r="G70" s="3110"/>
      <c r="H70" s="311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0" t="s">
        <v>2233</v>
      </c>
      <c r="B71" s="3101"/>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542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06" t="s">
        <v>2261</v>
      </c>
      <c r="F76" s="3105"/>
      <c r="G76" s="3105"/>
      <c r="H76" s="310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0" t="s">
        <v>2264</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3</v>
      </c>
      <c r="D78" s="226">
        <f>'数据-取费表'!B43</f>
        <v>5.000000000000001E-3</v>
      </c>
      <c r="E78" s="3097" t="s">
        <v>2266</v>
      </c>
      <c r="F78" s="3098"/>
      <c r="G78" s="3098"/>
      <c r="H78" s="309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539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179.66666666666666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322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9" t="s">
        <v>2270</v>
      </c>
      <c r="B83" s="3110"/>
      <c r="C83" s="3110"/>
      <c r="D83" s="3110"/>
      <c r="E83" s="3110"/>
      <c r="F83" s="3110"/>
      <c r="G83" s="3110"/>
      <c r="H83" s="311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0" t="s">
        <v>2233</v>
      </c>
      <c r="B84" s="3101"/>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542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7"/>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3.0499999999999999E-2</v>
      </c>
      <c r="E89" s="237" t="s">
        <v>2275</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097" t="s">
        <v>2279</v>
      </c>
      <c r="F91" s="3098"/>
      <c r="G91" s="3098"/>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097" t="s">
        <v>2283</v>
      </c>
      <c r="F92" s="3098"/>
      <c r="G92" s="3098"/>
      <c r="H92" s="309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3</v>
      </c>
      <c r="D93" s="226">
        <f>'数据-取费表'!B43</f>
        <v>5.000000000000001E-3</v>
      </c>
      <c r="E93" s="3097" t="s">
        <v>2266</v>
      </c>
      <c r="F93" s="3098"/>
      <c r="G93" s="3098"/>
      <c r="H93" s="309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45" t="s">
        <v>2287</v>
      </c>
      <c r="F94" s="3146"/>
      <c r="G94" s="3146"/>
      <c r="H94" s="314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539</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179.66666666666666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322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2288</v>
      </c>
      <c r="B99" s="2415"/>
      <c r="C99" s="2415"/>
      <c r="D99" s="2415"/>
      <c r="E99" s="2162"/>
      <c r="F99" s="2162"/>
      <c r="G99" s="2162"/>
      <c r="H99" s="2161"/>
      <c r="I99" s="138"/>
    </row>
    <row r="100" spans="1:35" ht="18.75" customHeight="1">
      <c r="A100" s="3049" t="s">
        <v>2289</v>
      </c>
      <c r="B100" s="3050"/>
      <c r="C100" s="3050"/>
      <c r="D100" s="3081"/>
      <c r="E100" s="3050" t="s">
        <v>2290</v>
      </c>
      <c r="F100" s="3050"/>
      <c r="G100" s="3050"/>
      <c r="H100" s="3081"/>
      <c r="I100" s="138"/>
    </row>
    <row r="101" spans="1:35" ht="18.75" customHeight="1">
      <c r="A101" s="3089" t="s">
        <v>2291</v>
      </c>
      <c r="B101" s="3090"/>
      <c r="C101" s="736" t="str">
        <f>C4</f>
        <v>收益法</v>
      </c>
      <c r="D101" s="737" t="str">
        <f>D4</f>
        <v>比较法-办公</v>
      </c>
      <c r="E101" s="3061" t="s">
        <v>2292</v>
      </c>
      <c r="F101" s="3062"/>
      <c r="G101" s="2517" t="s">
        <v>2293</v>
      </c>
      <c r="H101" s="1045">
        <f ca="1">H118</f>
        <v>569</v>
      </c>
      <c r="I101" s="138"/>
    </row>
    <row r="102" spans="1:35" ht="18.75" customHeight="1">
      <c r="A102" s="3091" t="s">
        <v>2294</v>
      </c>
      <c r="B102" s="2517" t="s">
        <v>2293</v>
      </c>
      <c r="C102" s="736">
        <f ca="1">C19</f>
        <v>474</v>
      </c>
      <c r="D102" s="737">
        <f ca="1">D19</f>
        <v>686</v>
      </c>
      <c r="E102" s="3061"/>
      <c r="F102" s="3062"/>
      <c r="G102" s="2517" t="s">
        <v>2295</v>
      </c>
      <c r="H102" s="371">
        <f ca="1">I118</f>
        <v>5630</v>
      </c>
      <c r="I102" s="138"/>
    </row>
    <row r="103" spans="1:35" ht="42.75" customHeight="1">
      <c r="A103" s="3091"/>
      <c r="B103" s="2517" t="s">
        <v>2295</v>
      </c>
      <c r="C103" s="738">
        <f ca="1">C20</f>
        <v>4690</v>
      </c>
      <c r="D103" s="739">
        <f ca="1">D20</f>
        <v>6790</v>
      </c>
      <c r="E103" s="3055" t="s">
        <v>2296</v>
      </c>
      <c r="F103" s="3056"/>
      <c r="G103" s="2518" t="s">
        <v>2297</v>
      </c>
      <c r="H103" s="1045">
        <f>IF(D36="正常操作",H104+H105+H106,H105+H106)</f>
        <v>0</v>
      </c>
      <c r="I103" s="138"/>
    </row>
    <row r="104" spans="1:35" ht="18.75" customHeight="1">
      <c r="A104" s="3091" t="s">
        <v>2298</v>
      </c>
      <c r="B104" s="2519" t="s">
        <v>2293</v>
      </c>
      <c r="C104" s="740">
        <f ca="1">H118</f>
        <v>569</v>
      </c>
      <c r="D104" s="741"/>
      <c r="E104" s="2263" t="s">
        <v>2299</v>
      </c>
      <c r="F104" s="2254"/>
      <c r="G104" s="2518" t="s">
        <v>2297</v>
      </c>
      <c r="H104" s="1046">
        <f>IF(D36="同一抵押权人同一抵押物续贷",C36&amp;"（未扣减，详见特别提示）",C36)</f>
        <v>0</v>
      </c>
      <c r="I104" s="138"/>
    </row>
    <row r="105" spans="1:35" ht="18.75" customHeight="1" thickBot="1">
      <c r="A105" s="3103"/>
      <c r="B105" s="2520" t="s">
        <v>2295</v>
      </c>
      <c r="C105" s="742">
        <f ca="1">I118</f>
        <v>5630</v>
      </c>
      <c r="D105" s="743"/>
      <c r="E105" s="2263" t="s">
        <v>2300</v>
      </c>
      <c r="F105" s="2254"/>
      <c r="G105" s="2518" t="s">
        <v>2297</v>
      </c>
      <c r="H105" s="1046">
        <f>C37</f>
        <v>0</v>
      </c>
      <c r="I105" s="138"/>
    </row>
    <row r="106" spans="1:35" ht="18.75" customHeight="1">
      <c r="A106" s="2415" t="s">
        <v>2301</v>
      </c>
      <c r="B106" s="2415"/>
      <c r="C106" s="2415"/>
      <c r="D106" s="2415"/>
      <c r="E106" s="2521" t="s">
        <v>2302</v>
      </c>
      <c r="F106" s="2254"/>
      <c r="G106" s="2518" t="s">
        <v>2297</v>
      </c>
      <c r="H106" s="1046">
        <f>C38</f>
        <v>0</v>
      </c>
      <c r="I106" s="138"/>
    </row>
    <row r="107" spans="1:35" ht="18.75" customHeight="1">
      <c r="A107" s="138"/>
      <c r="B107" s="138"/>
      <c r="C107" s="138"/>
      <c r="D107" s="138"/>
      <c r="E107" s="3092" t="str">
        <f>IF(项目基本情况!E8="已注销","——","3.房地产抵押价值")</f>
        <v>3.房地产抵押价值</v>
      </c>
      <c r="F107" s="3062"/>
      <c r="G107" s="2517" t="s">
        <v>2293</v>
      </c>
      <c r="H107" s="1045">
        <f ca="1">IF(E107="——","——",H101-H103)</f>
        <v>569</v>
      </c>
      <c r="I107" s="138"/>
    </row>
    <row r="108" spans="1:35" ht="18.75" customHeight="1">
      <c r="A108" s="138"/>
      <c r="B108" s="138"/>
      <c r="C108" s="138"/>
      <c r="D108" s="138"/>
      <c r="E108" s="3092"/>
      <c r="F108" s="3062"/>
      <c r="G108" s="2517" t="s">
        <v>2295</v>
      </c>
      <c r="H108" s="371">
        <f ca="1">ROUND(H107*10000/'数据-汇总表'!E3,0)</f>
        <v>5630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7" t="s">
        <v>2293</v>
      </c>
      <c r="H109" s="348" t="str">
        <f>IF(E109="——","——",H101-H105-H106)</f>
        <v>——</v>
      </c>
      <c r="I109" s="138"/>
    </row>
    <row r="110" spans="1:35" ht="18.75" customHeight="1">
      <c r="A110" s="138"/>
      <c r="B110" s="138"/>
      <c r="C110" s="138"/>
      <c r="D110" s="138"/>
      <c r="E110" s="3092"/>
      <c r="F110" s="3062"/>
      <c r="G110" s="2517" t="s">
        <v>2295</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7" t="s">
        <v>2293</v>
      </c>
      <c r="H111" s="1045" t="str">
        <f>IF(E111="——","——",N59)</f>
        <v>——</v>
      </c>
      <c r="I111" s="138"/>
    </row>
    <row r="112" spans="1:35" ht="18.75" customHeight="1" thickBot="1">
      <c r="A112" s="138"/>
      <c r="B112" s="138"/>
      <c r="C112" s="138"/>
      <c r="D112" s="138"/>
      <c r="E112" s="3095"/>
      <c r="F112" s="3096"/>
      <c r="G112" s="2522" t="s">
        <v>2295</v>
      </c>
      <c r="H112" s="790" t="str">
        <f>IF(E111="——","——",N61)</f>
        <v>——</v>
      </c>
      <c r="I112" s="138"/>
    </row>
    <row r="113" spans="1:11" ht="18.75" customHeight="1">
      <c r="A113" s="138"/>
      <c r="B113" s="138"/>
      <c r="C113" s="138"/>
      <c r="D113" s="138"/>
      <c r="E113" s="3104" t="s">
        <v>2301</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2303</v>
      </c>
      <c r="B115" s="3118"/>
      <c r="C115" s="3118"/>
      <c r="D115" s="3118"/>
      <c r="E115" s="3118"/>
      <c r="F115" s="3118"/>
      <c r="G115" s="3118"/>
      <c r="H115" s="3118"/>
      <c r="I115" s="3119"/>
    </row>
    <row r="116" spans="1:11" ht="27" customHeight="1">
      <c r="A116" s="3028" t="s">
        <v>2304</v>
      </c>
      <c r="B116" s="3071" t="s">
        <v>2305</v>
      </c>
      <c r="C116" s="3071" t="s">
        <v>2306</v>
      </c>
      <c r="D116" s="3077" t="s">
        <v>2307</v>
      </c>
      <c r="E116" s="3078"/>
      <c r="F116" s="3113" t="s">
        <v>2308</v>
      </c>
      <c r="G116" s="3113"/>
      <c r="H116" s="3028" t="s">
        <v>2309</v>
      </c>
      <c r="I116" s="3028"/>
    </row>
    <row r="117" spans="1:11" ht="18.75" customHeight="1">
      <c r="A117" s="3028"/>
      <c r="B117" s="3072"/>
      <c r="C117" s="3072"/>
      <c r="D117" s="1795" t="s">
        <v>2310</v>
      </c>
      <c r="E117" s="1795" t="s">
        <v>2311</v>
      </c>
      <c r="F117" s="1795" t="s">
        <v>2310</v>
      </c>
      <c r="G117" s="1795" t="s">
        <v>2312</v>
      </c>
      <c r="H117" s="1795" t="s">
        <v>2310</v>
      </c>
      <c r="I117" s="1795" t="s">
        <v>2312</v>
      </c>
    </row>
    <row r="118" spans="1:11" ht="24.75" customHeight="1">
      <c r="A118" s="2523" t="str">
        <f>项目基本情况!S2</f>
        <v>安徽省宿州市卞河西路南侧林泉苑A#楼0300室房地产</v>
      </c>
      <c r="B118" s="1795">
        <f>M18</f>
        <v>1010.65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569</v>
      </c>
      <c r="I118" s="1795">
        <f ca="1">ROUND(IF(D32="楼面单价",C32,H118*10000/B118),0)</f>
        <v>5630</v>
      </c>
    </row>
    <row r="119" spans="1:11" ht="18.75" customHeight="1">
      <c r="A119" s="3028" t="s">
        <v>2313</v>
      </c>
      <c r="B119" s="3028"/>
      <c r="C119" s="3028"/>
      <c r="D119" s="3073" t="e">
        <f ca="1">NUMBERSTRING(INT(D118*10000),2)&amp;"元整"</f>
        <v>#REF!</v>
      </c>
      <c r="E119" s="3074"/>
      <c r="F119" s="3073" t="e">
        <f ca="1">NUMBERSTRING(INT(F118*10000),2)&amp;"元整"</f>
        <v>#REF!</v>
      </c>
      <c r="G119" s="3074"/>
      <c r="H119" s="3073" t="str">
        <f ca="1">NUMBERSTRING(INT(H118*10000),2)&amp;"元整"</f>
        <v>伍佰陆拾玖万元整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0" t="str">
        <f>IF(D120=0,"故，本次评估不存在"&amp;A120,"故，本次评估"&amp;A120&amp;"为人民币"&amp;D120&amp;"万元整。")</f>
        <v>故，本次评估不存在估价师知悉的法定优先受偿款</v>
      </c>
    </row>
    <row r="121" spans="1:11" ht="18.75" customHeight="1">
      <c r="A121" s="3114" t="s">
        <v>2313</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569</v>
      </c>
      <c r="E122" s="3069"/>
      <c r="F122" s="3069"/>
      <c r="G122" s="3069"/>
      <c r="H122" s="3069"/>
      <c r="I122" s="3070"/>
    </row>
    <row r="123" spans="1:11" ht="18.75" customHeight="1">
      <c r="A123" s="3028" t="s">
        <v>2313</v>
      </c>
      <c r="B123" s="3028"/>
      <c r="C123" s="3028"/>
      <c r="D123" s="3073" t="str">
        <f ca="1">NUMBERSTRING(INT(D122*10000),2)&amp;"元整"</f>
        <v>伍佰陆拾玖万元整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2313</v>
      </c>
      <c r="B127" s="3028"/>
      <c r="C127" s="3028"/>
      <c r="D127" s="3073" t="e">
        <f>NUMBERSTRING(INT(D126*10000),2)&amp;"元整"</f>
        <v>#VALUE!</v>
      </c>
      <c r="E127" s="3075"/>
      <c r="F127" s="3075"/>
      <c r="G127" s="3075"/>
      <c r="H127" s="3075"/>
      <c r="I127" s="3074"/>
    </row>
    <row r="128" spans="1:11" ht="21.75" customHeight="1">
      <c r="A128" s="3076" t="s">
        <v>2314</v>
      </c>
      <c r="B128" s="3076"/>
      <c r="C128" s="3076"/>
      <c r="D128" s="3076"/>
      <c r="E128" s="3076"/>
      <c r="F128" s="3076"/>
      <c r="G128" s="3076"/>
      <c r="H128" s="3076"/>
      <c r="I128" s="3076"/>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315</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3117</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49"/>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70</v>
      </c>
      <c r="F9" s="265"/>
      <c r="G9" s="2550"/>
      <c r="H9" s="1390"/>
      <c r="I9" s="2551" t="s">
        <v>2340</v>
      </c>
    </row>
    <row r="10" spans="1:9" s="258" customFormat="1" ht="13.5" customHeight="1">
      <c r="A10" s="950" t="s">
        <v>801</v>
      </c>
      <c r="B10" s="268" t="s">
        <v>2341</v>
      </c>
      <c r="C10" s="269">
        <f ca="1">ROUND(D10*E10/10000,0)</f>
        <v>5</v>
      </c>
      <c r="D10" s="1032">
        <f ca="1">IF(B1="",'数据-汇总表'!E6,IF(INDIRECT("'数据-取费表'!c"&amp;$G$1)="住宅",INDIRECT("'数据-取费表'!s"&amp;$G$1),INDIRECT("'数据-取费表'!k"&amp;$G$1)+INDIRECT("'数据-取费表'!s"&amp;$G$1)))</f>
        <v>1010.65</v>
      </c>
      <c r="E10" s="269">
        <f>'数据-取费表'!B28</f>
        <v>50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7</v>
      </c>
      <c r="D19" s="1036">
        <f ca="1">D9+D10</f>
        <v>1010.65</v>
      </c>
      <c r="E19" s="255">
        <f>'数据-取费表'!B31</f>
        <v>70</v>
      </c>
      <c r="F19" s="275"/>
      <c r="G19" s="2549"/>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1</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1</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272</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253</v>
      </c>
      <c r="D34" s="261"/>
      <c r="E34" s="264"/>
      <c r="F34" s="301">
        <f ca="1">IF('数据-取费表'!B24=0,1,IF(B1="",'数据-取费表'!N16,INDIRECT("'数据-取费表'!n"&amp;$G$1)))</f>
        <v>1</v>
      </c>
      <c r="G34" s="263" t="s">
        <v>2387</v>
      </c>
    </row>
    <row r="35" spans="1:7" ht="13.5" customHeight="1">
      <c r="A35" s="951" t="s">
        <v>796</v>
      </c>
      <c r="B35" s="259" t="s">
        <v>2388</v>
      </c>
      <c r="C35" s="264">
        <f ca="1">ROUND(C34*F35,0)</f>
        <v>8</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v>
      </c>
      <c r="D37" s="261">
        <f ca="1">D19</f>
        <v>1010.65</v>
      </c>
      <c r="E37" s="293">
        <f>'数据-取费表'!B35</f>
        <v>70</v>
      </c>
      <c r="F37" s="303"/>
      <c r="G37" s="305" t="s">
        <v>2393</v>
      </c>
    </row>
    <row r="38" spans="1:7" ht="13.5" customHeight="1">
      <c r="A38" s="951" t="s">
        <v>799</v>
      </c>
      <c r="B38" s="259" t="s">
        <v>2394</v>
      </c>
      <c r="C38" s="264">
        <f ca="1">ROUND(C34*F38,0)</f>
        <v>4</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13</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13</v>
      </c>
      <c r="D42" s="282"/>
      <c r="E42" s="282"/>
      <c r="F42" s="283"/>
      <c r="G42" s="3148" t="s">
        <v>2405</v>
      </c>
    </row>
    <row r="43" spans="1:7" ht="13.5" customHeight="1">
      <c r="A43" s="951" t="s">
        <v>792</v>
      </c>
      <c r="B43" s="259" t="s">
        <v>2406</v>
      </c>
      <c r="C43" s="282">
        <f ca="1">ROUND(IF('数据-取费表'!B22&lt;=1,C39*F22*'数据-取费表'!B21/2,C39*(POWER((1+F22),'数据-取费表'!B21/2)-1)),0)</f>
        <v>0</v>
      </c>
      <c r="D43" s="282"/>
      <c r="E43" s="282"/>
      <c r="F43" s="283"/>
      <c r="G43" s="3149"/>
    </row>
    <row r="44" spans="1:7" ht="13.5" customHeight="1">
      <c r="A44" s="951" t="s">
        <v>793</v>
      </c>
      <c r="B44" s="259" t="s">
        <v>2407</v>
      </c>
      <c r="C44" s="282">
        <f ca="1">ROUND(IF('数据-取费表'!B22&lt;=1,C40*F22*'数据-取费表'!B21/2,C40*(POWER((1+F22),'数据-取费表'!B21/2)-1)),4)</f>
        <v>1E-3</v>
      </c>
      <c r="D44" s="282"/>
      <c r="E44" s="282"/>
      <c r="F44" s="283"/>
      <c r="G44" s="3150"/>
    </row>
    <row r="45" spans="1:7" s="258" customFormat="1" ht="13.5" customHeight="1">
      <c r="A45" s="299" t="s">
        <v>2408</v>
      </c>
      <c r="B45" s="288" t="s">
        <v>2374</v>
      </c>
      <c r="C45" s="289">
        <f ca="1">C46</f>
        <v>42</v>
      </c>
      <c r="D45" s="279">
        <f ca="1">C47</f>
        <v>3.0000000000000001E-3</v>
      </c>
      <c r="E45" s="280" t="s">
        <v>2400</v>
      </c>
      <c r="F45" s="290"/>
      <c r="G45" s="291" t="s">
        <v>2409</v>
      </c>
    </row>
    <row r="46" spans="1:7" s="258" customFormat="1" ht="13.5" customHeight="1">
      <c r="A46" s="951" t="s">
        <v>791</v>
      </c>
      <c r="B46" s="292" t="s">
        <v>2410</v>
      </c>
      <c r="C46" s="293">
        <f ca="1">ROUND((C33+C39)*F27,0)</f>
        <v>42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359</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305</v>
      </c>
      <c r="D51" s="276"/>
      <c r="E51" s="276"/>
      <c r="F51" s="308"/>
      <c r="G51" s="278" t="s">
        <v>2421</v>
      </c>
    </row>
    <row r="52" spans="1:7" s="252" customFormat="1" ht="16.5" thickBot="1">
      <c r="A52" s="309" t="s">
        <v>2422</v>
      </c>
      <c r="B52" s="310"/>
      <c r="C52" s="311">
        <f ca="1">C31+C51</f>
        <v>315</v>
      </c>
      <c r="D52" s="310"/>
      <c r="E52" s="310"/>
      <c r="F52" s="310"/>
      <c r="G52" s="312"/>
    </row>
    <row r="55" spans="1:7" ht="15">
      <c r="B55" s="314" t="s">
        <v>2423</v>
      </c>
      <c r="C55" s="315"/>
    </row>
    <row r="56" spans="1:7">
      <c r="B56" s="317" t="s">
        <v>1508</v>
      </c>
      <c r="C56" s="319">
        <f ca="1">1-C57</f>
        <v>3.2000000000000028E-2</v>
      </c>
    </row>
    <row r="57" spans="1:7">
      <c r="B57" s="317" t="s">
        <v>1509</v>
      </c>
      <c r="C57" s="318">
        <f ca="1">ROUND(C51/C52,3)</f>
        <v>0.96799999999999997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安徽省宿州市卞河西路南侧林泉苑A#楼0300室房地产抵押价值预评估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t="str">
        <f>项目基本情况!B5</f>
        <v>宿州市东城建设投资有限责任公司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321</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3176</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50533</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50533</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70</v>
      </c>
      <c r="F9" s="265"/>
      <c r="G9" s="270"/>
    </row>
    <row r="10" spans="1:8" s="258" customFormat="1" ht="13.5" customHeight="1">
      <c r="A10" s="950" t="s">
        <v>801</v>
      </c>
      <c r="B10" s="268" t="s">
        <v>2341</v>
      </c>
      <c r="C10" s="269">
        <f ca="1">ROUND(D10*E10,0)</f>
        <v>50533</v>
      </c>
      <c r="D10" s="1032">
        <f ca="1">IF(B1="",'数据-汇总表'!E6,IF(INDIRECT("'数据-取费表'!c"&amp;$G$1)="住宅",INDIRECT("'数据-取费表'!s"&amp;$G$1),INDIRECT("'数据-取费表'!k"&amp;$G$1)+INDIRECT("'数据-取费表'!s"&amp;$G$1)))</f>
        <v>1010.65</v>
      </c>
      <c r="E10" s="269">
        <f>'数据-取费表'!B28</f>
        <v>50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70746</v>
      </c>
      <c r="D19" s="1036">
        <f ca="1">D9+D10</f>
        <v>1010.65</v>
      </c>
      <c r="E19" s="255">
        <f>'数据-取费表'!B31</f>
        <v>70</v>
      </c>
      <c r="F19" s="275"/>
      <c r="G19" s="2549"/>
    </row>
    <row r="20" spans="1:7" s="258" customFormat="1" ht="13.5" customHeight="1">
      <c r="A20" s="299" t="s">
        <v>2435</v>
      </c>
      <c r="B20" s="254" t="s">
        <v>2436</v>
      </c>
      <c r="C20" s="276">
        <f ca="1">ROUND((C5+C19)*F20,0)</f>
        <v>2426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11910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4915</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6880</v>
      </c>
      <c r="D24" s="282"/>
      <c r="E24" s="282"/>
      <c r="F24" s="283"/>
      <c r="G24" s="284" t="s">
        <v>2447</v>
      </c>
    </row>
    <row r="25" spans="1:7" s="258" customFormat="1" ht="24">
      <c r="A25" s="951" t="s">
        <v>2337</v>
      </c>
      <c r="B25" s="259" t="s">
        <v>2448</v>
      </c>
      <c r="C25" s="1381">
        <f ca="1">ROUND(IF('数据-取费表'!B22&lt;=1,C20*F22*'数据-取费表'!B22/2,C20*(POWER((1+F22),'数据-取费表'!B22/2)-1)),0)</f>
        <v>115</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18556</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18556</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166924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2711069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2526625</v>
      </c>
      <c r="D34" s="261"/>
      <c r="E34" s="264"/>
      <c r="F34" s="301"/>
      <c r="G34" s="263"/>
    </row>
    <row r="35" spans="1:7" ht="13.5" customHeight="1">
      <c r="A35" s="951" t="s">
        <v>796</v>
      </c>
      <c r="B35" s="259" t="s">
        <v>2388</v>
      </c>
      <c r="C35" s="264">
        <f ca="1">ROUND(C34*F35,0)</f>
        <v>75799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70746</v>
      </c>
      <c r="D37" s="261">
        <f ca="1">D19</f>
        <v>1010.65</v>
      </c>
      <c r="E37" s="293">
        <f>'数据-取费表'!B35</f>
        <v>70</v>
      </c>
      <c r="F37" s="303"/>
      <c r="G37" s="305"/>
    </row>
    <row r="38" spans="1:7" ht="13.5" customHeight="1">
      <c r="A38" s="951" t="s">
        <v>799</v>
      </c>
      <c r="B38" s="259" t="s">
        <v>2394</v>
      </c>
      <c r="C38" s="264">
        <f ca="1">ROUND(C34*F38,0)</f>
        <v>37899</v>
      </c>
      <c r="D38" s="264"/>
      <c r="E38" s="264"/>
      <c r="F38" s="303">
        <f>'数据-取费表'!B36</f>
        <v>1.4999999999999999E-2</v>
      </c>
      <c r="G38" s="263" t="s">
        <v>2389</v>
      </c>
    </row>
    <row r="39" spans="1:7" s="258" customFormat="1" ht="13.5" customHeight="1">
      <c r="A39" s="299" t="s">
        <v>2395</v>
      </c>
      <c r="B39" s="254" t="s">
        <v>2396</v>
      </c>
      <c r="C39" s="276">
        <f ca="1">ROUND(C33*F20,0)</f>
        <v>54221</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131351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128776</v>
      </c>
      <c r="D42" s="282"/>
      <c r="E42" s="282"/>
      <c r="F42" s="283"/>
      <c r="G42" s="3148" t="s">
        <v>2452</v>
      </c>
    </row>
    <row r="43" spans="1:7" ht="13.5" customHeight="1">
      <c r="A43" s="951" t="s">
        <v>792</v>
      </c>
      <c r="B43" s="259" t="s">
        <v>2406</v>
      </c>
      <c r="C43" s="282">
        <f ca="1">ROUND(IF('数据-取费表'!B22&lt;=1,C39*F22*'数据-取费表'!B20/2,C39*(POWER((1+F22),'数据-取费表'!B20/2)-1)),0)</f>
        <v>2575</v>
      </c>
      <c r="D43" s="282"/>
      <c r="E43" s="282"/>
      <c r="F43" s="283"/>
      <c r="G43" s="3149"/>
    </row>
    <row r="44" spans="1:7" ht="13.5" customHeight="1">
      <c r="A44" s="951" t="s">
        <v>793</v>
      </c>
      <c r="B44" s="259" t="s">
        <v>2407</v>
      </c>
      <c r="C44" s="282">
        <f ca="1">ROUND(IF('数据-取费表'!B22&lt;=1,C40*F22*'数据-取费表'!B20/2,C40*(POWER((1+F22),'数据-取费表'!B20/2)-1)),4)</f>
        <v>1E-3</v>
      </c>
      <c r="D44" s="282"/>
      <c r="E44" s="282"/>
      <c r="F44" s="283"/>
      <c r="G44" s="3150"/>
    </row>
    <row r="45" spans="1:7" s="258" customFormat="1" ht="13.5" customHeight="1">
      <c r="A45" s="299" t="s">
        <v>2408</v>
      </c>
      <c r="B45" s="288" t="s">
        <v>2374</v>
      </c>
      <c r="C45" s="289">
        <f ca="1">C46</f>
        <v>414794</v>
      </c>
      <c r="D45" s="279">
        <f ca="1">C47</f>
        <v>3.0000000000000001E-3</v>
      </c>
      <c r="E45" s="280" t="s">
        <v>2400</v>
      </c>
      <c r="F45" s="290"/>
      <c r="G45" s="291" t="s">
        <v>2409</v>
      </c>
    </row>
    <row r="46" spans="1:7" s="258" customFormat="1" ht="13.5" customHeight="1">
      <c r="A46" s="951" t="s">
        <v>791</v>
      </c>
      <c r="B46" s="292" t="s">
        <v>2410</v>
      </c>
      <c r="C46" s="293">
        <f ca="1">ROUND((C33+C39)*F27,0)</f>
        <v>414794</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3585356</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3047553</v>
      </c>
      <c r="D51" s="276"/>
      <c r="E51" s="276"/>
      <c r="F51" s="308"/>
      <c r="G51" s="278" t="s">
        <v>2421</v>
      </c>
    </row>
    <row r="52" spans="1:7" s="252" customFormat="1" ht="16.5" thickBot="1">
      <c r="A52" s="309" t="s">
        <v>2422</v>
      </c>
      <c r="B52" s="310"/>
      <c r="C52" s="311">
        <f ca="1">C31+C51</f>
        <v>3214477</v>
      </c>
      <c r="D52" s="310"/>
      <c r="E52" s="310"/>
      <c r="F52" s="310"/>
      <c r="G52" s="312"/>
    </row>
    <row r="55" spans="1:7" ht="15">
      <c r="B55" s="314" t="s">
        <v>2423</v>
      </c>
      <c r="C55" s="315"/>
    </row>
    <row r="56" spans="1:7">
      <c r="B56" s="317" t="s">
        <v>1508</v>
      </c>
      <c r="C56" s="319">
        <f ca="1">1-C57</f>
        <v>5.2000000000000046E-2</v>
      </c>
    </row>
    <row r="57" spans="1:7">
      <c r="B57" s="317" t="s">
        <v>1509</v>
      </c>
      <c r="C57" s="318">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-6</v>
      </c>
      <c r="C2" s="320" t="s">
        <v>2456</v>
      </c>
      <c r="D2" s="320"/>
      <c r="E2" s="320"/>
      <c r="F2" s="320"/>
      <c r="G2" s="320"/>
      <c r="H2" s="320"/>
      <c r="I2" s="320"/>
      <c r="J2" s="320"/>
      <c r="K2" s="320"/>
    </row>
    <row r="3" spans="1:33" ht="18" customHeight="1" thickBot="1">
      <c r="A3" s="247" t="s">
        <v>2325</v>
      </c>
      <c r="B3" s="248">
        <f ca="1">ROUND(B2*10000/IF(C1="",'数据-汇总表'!E3,INDIRECT("'数据-取费表'!K"&amp;$K$1)),0)</f>
        <v>-59</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1010.65</v>
      </c>
      <c r="E14" s="24">
        <f>'数据-取费表'!B35</f>
        <v>70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1010.65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5</v>
      </c>
      <c r="D18" s="1033"/>
      <c r="E18" s="24"/>
      <c r="F18" s="976"/>
      <c r="G18" s="2555"/>
      <c r="H18" s="1577"/>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70</v>
      </c>
      <c r="F19" s="976"/>
      <c r="G19" s="15"/>
      <c r="H19" s="1579"/>
      <c r="I19" s="981"/>
      <c r="J19" s="981"/>
      <c r="K19" s="982"/>
    </row>
    <row r="20" spans="1:33" s="975" customFormat="1" ht="13.5" customHeight="1">
      <c r="A20" s="971" t="s">
        <v>806</v>
      </c>
      <c r="B20" s="972" t="s">
        <v>2491</v>
      </c>
      <c r="C20" s="24">
        <f ca="1">ROUND(D20*E20/10000,0)</f>
        <v>5</v>
      </c>
      <c r="D20" s="1033">
        <f ca="1">IF(C1="",'数据-汇总表'!E6,IF(INDIRECT("'数据-取费表'!c"&amp;$K$1)="住宅",INDIRECT("'数据-取费表'!s"&amp;$K$1),INDIRECT("'数据-取费表'!k"&amp;$K$1)+INDIRECT("'数据-取费表'!s"&amp;$K$1)))</f>
        <v>1010.65</v>
      </c>
      <c r="E20" s="24">
        <f>'数据-取费表'!B28</f>
        <v>50</v>
      </c>
      <c r="F20" s="976"/>
      <c r="G20" s="15"/>
      <c r="H20" s="981"/>
      <c r="I20" s="981"/>
      <c r="J20" s="981"/>
      <c r="K20" s="982"/>
    </row>
    <row r="21" spans="1:33" s="975" customFormat="1" ht="13.5" customHeight="1">
      <c r="A21" s="961" t="s">
        <v>802</v>
      </c>
      <c r="B21" s="985" t="s">
        <v>2492</v>
      </c>
      <c r="C21" s="986">
        <f ca="1">C16+C17+C18</f>
        <v>5</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1</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-6</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G22" sqref="G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c r="E1" s="1821" t="s">
        <v>1382</v>
      </c>
      <c r="F1" s="1283">
        <f ca="1">J53</f>
        <v>39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474</v>
      </c>
      <c r="C2" s="1845" t="s">
        <v>1511</v>
      </c>
      <c r="D2" s="1845"/>
      <c r="E2" s="1846"/>
      <c r="F2" s="1847"/>
      <c r="G2" s="1848"/>
      <c r="H2" s="1840"/>
      <c r="I2" s="1840"/>
      <c r="J2" s="1840"/>
      <c r="K2" s="1841"/>
      <c r="L2" s="1840"/>
      <c r="M2" s="1840"/>
    </row>
    <row r="3" spans="1:37" ht="18" customHeight="1" thickBot="1">
      <c r="A3" s="1849" t="s">
        <v>1512</v>
      </c>
      <c r="B3" s="1850">
        <f ca="1">IF(ISERROR(B2*10000/F43),0,ROUND(B2*10000/F43,0))</f>
        <v>4690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33</v>
      </c>
      <c r="D5" s="1822" t="s">
        <v>1397</v>
      </c>
      <c r="E5" s="1293"/>
      <c r="F5" s="1294"/>
      <c r="G5" s="1851"/>
      <c r="H5" s="344">
        <v>1</v>
      </c>
      <c r="I5" s="345" t="s">
        <v>1396</v>
      </c>
      <c r="J5" s="1292">
        <f ca="1">J6+J10+J12</f>
        <v>0</v>
      </c>
      <c r="K5" s="1822" t="s">
        <v>1397</v>
      </c>
      <c r="L5" s="1293"/>
      <c r="M5" s="1294"/>
    </row>
    <row r="6" spans="1:37" ht="18" customHeight="1">
      <c r="A6" s="1291" t="s">
        <v>1032</v>
      </c>
      <c r="B6" s="3153" t="s">
        <v>1398</v>
      </c>
      <c r="C6" s="1296">
        <f ca="1">ROUND(F6*F8*F7*(1-F9)/10000,0)</f>
        <v>33</v>
      </c>
      <c r="D6" s="164" t="s">
        <v>3028</v>
      </c>
      <c r="E6" s="347" t="s">
        <v>1400</v>
      </c>
      <c r="F6" s="348">
        <f ca="1">INDIRECT("'数据-取费表'!u"&amp;$G$1)</f>
        <v>1</v>
      </c>
      <c r="G6" s="1851"/>
      <c r="H6" s="1291" t="s">
        <v>1032</v>
      </c>
      <c r="I6" s="3153" t="s">
        <v>1398</v>
      </c>
      <c r="J6" s="346">
        <f ca="1">ROUND(M6*M8*M7*(1-M9)/10000,0)</f>
        <v>0</v>
      </c>
      <c r="K6" s="164" t="s">
        <v>3027</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1010.65</v>
      </c>
      <c r="G7" s="1851"/>
      <c r="H7" s="349"/>
      <c r="I7" s="3154"/>
      <c r="J7" s="351"/>
      <c r="K7" s="352"/>
      <c r="L7" s="347" t="s">
        <v>1401</v>
      </c>
      <c r="M7" s="348">
        <f ca="1">F7</f>
        <v>1010.65</v>
      </c>
    </row>
    <row r="8" spans="1:37" ht="18" customHeight="1">
      <c r="A8" s="349"/>
      <c r="B8" s="3154"/>
      <c r="C8" s="351"/>
      <c r="D8" s="352"/>
      <c r="E8" s="347" t="s">
        <v>1402</v>
      </c>
      <c r="F8" s="348">
        <f ca="1">INDIRECT("'数据-取费表'!ai"&amp;$G$1)</f>
        <v>365</v>
      </c>
      <c r="G8" s="1851"/>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3074</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305</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253</v>
      </c>
      <c r="D14" s="1800" t="s">
        <v>1413</v>
      </c>
      <c r="E14" s="1794"/>
      <c r="F14" s="364"/>
      <c r="G14" s="1851"/>
      <c r="H14" s="1201" t="s">
        <v>1032</v>
      </c>
      <c r="I14" s="347" t="s">
        <v>1414</v>
      </c>
      <c r="J14" s="24">
        <f ca="1">C29</f>
        <v>359</v>
      </c>
      <c r="K14" s="15"/>
      <c r="L14" s="979"/>
      <c r="M14" s="980"/>
    </row>
    <row r="15" spans="1:37" s="1858" customFormat="1" ht="18" customHeight="1" thickBot="1">
      <c r="A15" s="1201" t="s">
        <v>1033</v>
      </c>
      <c r="B15" s="347" t="s">
        <v>1415</v>
      </c>
      <c r="C15" s="24">
        <f ca="1">ROUND(C14*F15,0)</f>
        <v>8</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8</v>
      </c>
      <c r="K16" s="1337" t="s">
        <v>1420</v>
      </c>
      <c r="L16" s="1338"/>
      <c r="M16" s="1294"/>
    </row>
    <row r="17" spans="1:37" s="1858" customFormat="1" ht="18" customHeight="1">
      <c r="A17" s="1201" t="s">
        <v>1385</v>
      </c>
      <c r="B17" s="347" t="s">
        <v>1421</v>
      </c>
      <c r="C17" s="24">
        <f ca="1">ROUND(F17*(F43+INDIRECT("'数据-取费表'!S"&amp;$G$1))/10000,0)</f>
        <v>7</v>
      </c>
      <c r="D17" s="347" t="s">
        <v>1422</v>
      </c>
      <c r="E17" s="347" t="s">
        <v>1423</v>
      </c>
      <c r="F17" s="26">
        <f>'数据-取费表'!B35</f>
        <v>70</v>
      </c>
      <c r="G17" s="1854"/>
      <c r="H17" s="1201" t="s">
        <v>1032</v>
      </c>
      <c r="I17" s="347" t="s">
        <v>1424</v>
      </c>
      <c r="J17" s="24">
        <f ca="1">ROUND(IF(项目基本情况!B11="自然人",J6*M17/(1+'数据-取费表'!C42),J18+J19+J20),1)</f>
        <v>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272</v>
      </c>
      <c r="D19" s="140" t="s">
        <v>1431</v>
      </c>
      <c r="E19" s="1818"/>
      <c r="F19" s="26"/>
      <c r="G19" s="1851"/>
      <c r="H19" s="1201" t="s">
        <v>1033</v>
      </c>
      <c r="I19" s="347" t="s">
        <v>1432</v>
      </c>
      <c r="J19" s="24">
        <f ca="1">IF(K19="按租金收入计税",ROUND(J6*M19/(1+'数据-取费表'!C42),2),ROUND(C29*M19*0.7,2))</f>
        <v>3.02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v>
      </c>
      <c r="D20" s="369" t="s">
        <v>1435</v>
      </c>
      <c r="E20" s="347" t="s">
        <v>1417</v>
      </c>
      <c r="F20" s="367">
        <f>'数据-取费表'!B37</f>
        <v>0.02</v>
      </c>
      <c r="G20" s="1854"/>
      <c r="H20" s="1201" t="s">
        <v>1384</v>
      </c>
      <c r="I20" s="164" t="s">
        <v>1436</v>
      </c>
      <c r="J20" s="25">
        <f ca="1">ROUND(M20*M21/10000,2)</f>
        <v>0</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5.4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-8</v>
      </c>
      <c r="K25" s="1345" t="s">
        <v>1459</v>
      </c>
      <c r="L25" s="1346"/>
      <c r="M25" s="1347"/>
    </row>
    <row r="26" spans="1:37">
      <c r="A26" s="1201" t="s">
        <v>1031</v>
      </c>
      <c r="B26" s="347" t="s">
        <v>1460</v>
      </c>
      <c r="C26" s="24">
        <f ca="1">ROUND((C19+C20)*F26,0)</f>
        <v>42</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359</v>
      </c>
      <c r="D29" s="1342"/>
      <c r="E29" s="1340"/>
      <c r="F29" s="1343"/>
      <c r="G29" s="1854"/>
      <c r="H29" s="380" t="s">
        <v>1030</v>
      </c>
      <c r="I29" s="381" t="s">
        <v>1474</v>
      </c>
      <c r="J29" s="382">
        <f ca="1">ROUND(J26/(1+F40)^F41,0)</f>
        <v>0</v>
      </c>
      <c r="K29" s="383" t="s">
        <v>1475</v>
      </c>
      <c r="L29" s="384"/>
      <c r="M29" s="385">
        <f ca="1">INDIRECT("'数据-取费表'!k"&amp;$G$1)</f>
        <v>1010.65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1.73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3.77</v>
      </c>
      <c r="D33" s="1828" t="s">
        <v>3101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5.4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0.3</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474</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4690</v>
      </c>
      <c r="D43" s="383" t="s">
        <v>1483</v>
      </c>
      <c r="E43" s="384" t="s">
        <v>1484</v>
      </c>
      <c r="F43" s="385">
        <f ca="1">INDIRECT("'数据-取费表'!k"&amp;$G$1)</f>
        <v>1010.65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-1087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3075</v>
      </c>
      <c r="K47" s="1882" t="s">
        <v>1522</v>
      </c>
      <c r="L47" s="1883">
        <f ca="1">INDIRECT("'数据-取费表'!d"&amp;$G$1)</f>
        <v>50</v>
      </c>
      <c r="M47" s="1838" t="str">
        <f>IF(ISNUMBER(FIND("住宅",C1)),"住宅","非住宅")</f>
        <v>非住宅</v>
      </c>
      <c r="O47" s="1884" t="s">
        <v>1037</v>
      </c>
      <c r="P47" s="1885" t="s">
        <v>1523</v>
      </c>
      <c r="Q47" s="1886">
        <f ca="1">C40+J29</f>
        <v>474</v>
      </c>
      <c r="R47" s="1886" t="s">
        <v>1524</v>
      </c>
    </row>
    <row r="48" spans="1:18" s="1842" customFormat="1" ht="28.5" thickBot="1">
      <c r="A48" s="1360" t="s">
        <v>1132</v>
      </c>
      <c r="B48" s="345" t="s">
        <v>1396</v>
      </c>
      <c r="C48" s="1817">
        <f ca="1">C49+C53+C55</f>
        <v>0</v>
      </c>
      <c r="D48" s="1362"/>
      <c r="E48" s="1363"/>
      <c r="F48" s="1181"/>
      <c r="G48" s="792"/>
      <c r="H48" s="793"/>
      <c r="I48" s="1887" t="s">
        <v>1525</v>
      </c>
      <c r="J48" s="1888" t="s">
        <v>3076</v>
      </c>
      <c r="K48" s="1889" t="s">
        <v>1526</v>
      </c>
      <c r="L48" s="1890">
        <f ca="1">INDIRECT("'数据-取费表'!f"&amp;$G$1)</f>
        <v>39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2010</v>
      </c>
      <c r="K49" s="1889" t="s">
        <v>1530</v>
      </c>
      <c r="L49" s="1893"/>
      <c r="O49" s="1894" t="s">
        <v>1039</v>
      </c>
      <c r="P49" s="1885" t="s">
        <v>1531</v>
      </c>
      <c r="Q49" s="1886">
        <f ca="1">C29</f>
        <v>359</v>
      </c>
      <c r="R49" s="1886" t="s">
        <v>1524</v>
      </c>
    </row>
    <row r="50" spans="1:18" s="1842" customFormat="1" ht="13.5" thickBot="1">
      <c r="A50" s="1195"/>
      <c r="B50" s="1198"/>
      <c r="C50" s="1368"/>
      <c r="D50" s="1172"/>
      <c r="E50" s="1277" t="s">
        <v>1401</v>
      </c>
      <c r="F50" s="1278">
        <f ca="1">F7</f>
        <v>1010.65</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51</v>
      </c>
      <c r="K51" s="1900" t="s">
        <v>1536</v>
      </c>
      <c r="L51" s="1901">
        <f ca="1">ROUND(-PV(INDIRECT("'数据-取费表'!h"&amp;$G$1),L48,(C39-C13*C76),0),0)</f>
        <v>-62</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39</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9">
        <f ca="1">IF(M47="住宅",IF(D1="——",MAX(J51,L48),MAX(J51,L48-'数据-取费表'!B24)),IF(D1="——",MIN(J51,L48),MIN(J51,L48-'数据-取费表'!B24)))</f>
        <v>39</v>
      </c>
      <c r="K53" s="3151" t="s">
        <v>1543</v>
      </c>
      <c r="L53" s="3152"/>
      <c r="O53" s="1884" t="s">
        <v>1043</v>
      </c>
      <c r="P53" s="1885" t="s">
        <v>1544</v>
      </c>
      <c r="Q53" s="1886">
        <f ca="1">Q47+Q48</f>
        <v>474</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305</v>
      </c>
      <c r="D56" s="1913"/>
      <c r="E56" s="1914"/>
      <c r="F56" s="1906"/>
      <c r="I56" s="1915" t="s">
        <v>1549</v>
      </c>
      <c r="J56" s="1916" t="s">
        <v>3062</v>
      </c>
      <c r="K56" s="1887" t="s">
        <v>1550</v>
      </c>
      <c r="L56" s="1890" t="str">
        <f ca="1">IF(L48&lt;J51,"——",L48-J53)</f>
        <v>——</v>
      </c>
      <c r="O56" s="1884" t="s">
        <v>1037</v>
      </c>
      <c r="P56" s="1885" t="s">
        <v>1523</v>
      </c>
      <c r="Q56" s="1886">
        <f ca="1">C40+J29</f>
        <v>474</v>
      </c>
      <c r="R56" s="1886" t="s">
        <v>1524</v>
      </c>
    </row>
    <row r="57" spans="1:18" s="1842" customFormat="1" ht="24.75" thickBot="1">
      <c r="A57" s="1917"/>
      <c r="B57" s="1169" t="s">
        <v>1473</v>
      </c>
      <c r="C57" s="282">
        <f ca="1">C29</f>
        <v>359</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30.2</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30.16</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12</v>
      </c>
      <c r="I62" s="1928" t="s">
        <v>1565</v>
      </c>
      <c r="J62" s="1929" t="s">
        <v>1566</v>
      </c>
      <c r="K62" s="1929" t="s">
        <v>1567</v>
      </c>
      <c r="L62" s="1929" t="s">
        <v>1568</v>
      </c>
      <c r="M62" s="1930" t="s">
        <v>1569</v>
      </c>
      <c r="O62" s="1884" t="s">
        <v>1043</v>
      </c>
      <c r="P62" s="1885" t="s">
        <v>1570</v>
      </c>
      <c r="Q62" s="1886">
        <f ca="1">Q56+Q57</f>
        <v>474</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5.4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0.5</v>
      </c>
      <c r="D65" s="1183" t="s">
        <v>1449</v>
      </c>
      <c r="E65" s="1169" t="s">
        <v>1450</v>
      </c>
      <c r="F65" s="376">
        <f t="shared" ca="1" si="0"/>
        <v>1.5E-3</v>
      </c>
      <c r="I65" s="1928" t="s">
        <v>1574</v>
      </c>
      <c r="J65" s="1929">
        <v>40</v>
      </c>
      <c r="K65" s="1929">
        <v>30</v>
      </c>
      <c r="L65" s="1929">
        <v>50</v>
      </c>
      <c r="M65" s="1931">
        <v>0.02</v>
      </c>
      <c r="O65" s="1884" t="s">
        <v>1037</v>
      </c>
      <c r="P65" s="1885" t="s">
        <v>1575</v>
      </c>
      <c r="Q65" s="1886">
        <f ca="1">C40+J29</f>
        <v>474</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-36</v>
      </c>
      <c r="D67" s="1182" t="s">
        <v>1459</v>
      </c>
      <c r="E67" s="1187"/>
      <c r="F67" s="1188"/>
      <c r="O67" s="1894" t="s">
        <v>1039</v>
      </c>
      <c r="P67" s="1885" t="s">
        <v>1557</v>
      </c>
      <c r="Q67" s="1932">
        <f ca="1">L51</f>
        <v>-62</v>
      </c>
      <c r="R67" s="1886" t="s">
        <v>1577</v>
      </c>
    </row>
    <row r="68" spans="1:18" s="1842" customFormat="1" ht="16.5" thickBot="1">
      <c r="A68" s="1166" t="s">
        <v>1029</v>
      </c>
      <c r="B68" s="1167" t="s">
        <v>1480</v>
      </c>
      <c r="C68" s="346">
        <f ca="1">ROUND(C67*(1-((1+F70)/(1+F68))^F69)/(F68-F70),0)</f>
        <v>-613</v>
      </c>
      <c r="D68" s="1184" t="s">
        <v>1464</v>
      </c>
      <c r="E68" s="1169" t="s">
        <v>1465</v>
      </c>
      <c r="F68" s="357">
        <f ca="1">F40</f>
        <v>0.05</v>
      </c>
      <c r="O68" s="1894" t="s">
        <v>1040</v>
      </c>
      <c r="P68" s="1933" t="s">
        <v>1578</v>
      </c>
      <c r="Q68" s="1886">
        <f ca="1">ROUND(Q69-Q70*Q71,0)</f>
        <v>-3</v>
      </c>
      <c r="R68" s="1886" t="s">
        <v>1048</v>
      </c>
    </row>
    <row r="69" spans="1:18" s="1842" customFormat="1" ht="13.5" thickBot="1">
      <c r="A69" s="1170"/>
      <c r="B69" s="1171"/>
      <c r="C69" s="351"/>
      <c r="D69" s="1189" t="s">
        <v>1468</v>
      </c>
      <c r="E69" s="1169" t="s">
        <v>1469</v>
      </c>
      <c r="F69" s="379">
        <f ca="1">F41</f>
        <v>39</v>
      </c>
      <c r="O69" s="1894" t="s">
        <v>1045</v>
      </c>
      <c r="P69" s="1933" t="s">
        <v>1579</v>
      </c>
      <c r="Q69" s="1886">
        <f ca="1">C39</f>
        <v>21</v>
      </c>
      <c r="R69" s="1886" t="s">
        <v>1524</v>
      </c>
    </row>
    <row r="70" spans="1:18" s="1842" customFormat="1" ht="13.5" thickBot="1">
      <c r="A70" s="1173"/>
      <c r="B70" s="1174"/>
      <c r="C70" s="355"/>
      <c r="D70" s="1185"/>
      <c r="E70" s="1169" t="s">
        <v>1472</v>
      </c>
      <c r="F70" s="1275"/>
      <c r="O70" s="1894" t="s">
        <v>1046</v>
      </c>
      <c r="P70" s="1933" t="s">
        <v>1580</v>
      </c>
      <c r="Q70" s="1886">
        <f ca="1">C13</f>
        <v>305</v>
      </c>
      <c r="R70" s="1886" t="s">
        <v>1524</v>
      </c>
    </row>
    <row r="71" spans="1:18" s="1842" customFormat="1" ht="13.5" thickBot="1">
      <c r="A71" s="1190" t="s">
        <v>1030</v>
      </c>
      <c r="B71" s="1191" t="s">
        <v>1482</v>
      </c>
      <c r="C71" s="382">
        <f ca="1">ROUND(C68*10000/F71,0)</f>
        <v>-6065</v>
      </c>
      <c r="D71" s="1192" t="s">
        <v>1483</v>
      </c>
      <c r="E71" s="1193" t="s">
        <v>1484</v>
      </c>
      <c r="F71" s="385">
        <f ca="1">F43</f>
        <v>1010.65</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24</v>
      </c>
      <c r="D75" s="1842"/>
      <c r="E75" s="1842"/>
      <c r="F75" s="1842"/>
      <c r="K75" s="1868"/>
      <c r="L75" s="1842"/>
      <c r="O75" s="1884" t="s">
        <v>1043</v>
      </c>
      <c r="P75" s="1885" t="s">
        <v>1544</v>
      </c>
      <c r="Q75" s="1886">
        <f ca="1">Q65+Q66</f>
        <v>474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-0.14300000000000002</v>
      </c>
    </row>
    <row r="80" spans="1:18">
      <c r="B80" s="386" t="s">
        <v>1506</v>
      </c>
      <c r="C80" s="318">
        <f ca="1">ROUND(C75/C39,3)</f>
        <v>1.143</v>
      </c>
    </row>
    <row r="81" spans="2:3">
      <c r="B81" s="314" t="s">
        <v>1507</v>
      </c>
      <c r="C81" s="282"/>
    </row>
    <row r="82" spans="2:3">
      <c r="B82" s="317" t="s">
        <v>1508</v>
      </c>
      <c r="C82" s="319">
        <f ca="1">1-C83</f>
        <v>0.35699999999999998</v>
      </c>
    </row>
    <row r="83" spans="2:3">
      <c r="B83" s="317" t="s">
        <v>1509</v>
      </c>
      <c r="C83" s="318">
        <f ca="1">ROUND(C13/C40,3)</f>
        <v>0.64300000000000002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3" t="s">
        <v>1398</v>
      </c>
      <c r="C6" s="1296">
        <f ca="1">ROUND(F6*F8*F7*(1-F9),0)</f>
        <v>0</v>
      </c>
      <c r="D6" s="164" t="s">
        <v>3025</v>
      </c>
      <c r="E6" s="347" t="s">
        <v>1400</v>
      </c>
      <c r="F6" s="348">
        <f ca="1">INDIRECT("'数据-取费表'!u"&amp;$G$1)</f>
        <v>0</v>
      </c>
      <c r="G6" s="1851"/>
      <c r="H6" s="1291" t="s">
        <v>1032</v>
      </c>
      <c r="I6" s="3153" t="s">
        <v>1398</v>
      </c>
      <c r="J6" s="346">
        <f ca="1">ROUND(M6*M8*M7*(1-M9),0)</f>
        <v>0</v>
      </c>
      <c r="K6" s="1834" t="s">
        <v>3026</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0</v>
      </c>
      <c r="G7" s="1851"/>
      <c r="H7" s="349"/>
      <c r="I7" s="3154"/>
      <c r="J7" s="351"/>
      <c r="K7" s="352"/>
      <c r="L7" s="347" t="s">
        <v>1401</v>
      </c>
      <c r="M7" s="348">
        <f ca="1">F7</f>
        <v>0</v>
      </c>
    </row>
    <row r="8" spans="1:37" ht="18" customHeight="1">
      <c r="A8" s="349"/>
      <c r="B8" s="3154"/>
      <c r="C8" s="351"/>
      <c r="D8" s="352"/>
      <c r="E8" s="347" t="s">
        <v>1402</v>
      </c>
      <c r="F8" s="348">
        <f ca="1">INDIRECT("'数据-取费表'!ai"&amp;$G$1)</f>
        <v>0</v>
      </c>
      <c r="G8" s="1851"/>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70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9">
        <f ca="1">IF(M47="住宅",IF(D1="——",MAX(J51,L48),MAX(J51,L48-'数据-取费表'!B24)),IF(D1="——",MIN(J51,L48),MIN(J51,L48-'数据-取费表'!B24)))</f>
        <v>0</v>
      </c>
      <c r="K53" s="3151" t="s">
        <v>1543</v>
      </c>
      <c r="L53" s="315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12</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2522</v>
      </c>
      <c r="B1" s="2561"/>
      <c r="C1" s="2561"/>
      <c r="D1" s="2561"/>
      <c r="E1" s="2562"/>
    </row>
    <row r="2" spans="1:6" ht="15.75">
      <c r="A2" s="2563" t="s">
        <v>2323</v>
      </c>
      <c r="B2" s="2564">
        <f ca="1">SUMIF(B6:B13,"&lt;&gt;#ref!",B6:B13)</f>
        <v>474</v>
      </c>
      <c r="C2" s="2565" t="s">
        <v>2515</v>
      </c>
      <c r="D2" s="2566" t="s">
        <v>2516</v>
      </c>
      <c r="E2" s="2567">
        <f>SUM(E6:E13)</f>
        <v>1010.65</v>
      </c>
    </row>
    <row r="3" spans="1:6" ht="15.75">
      <c r="A3" s="2563" t="s">
        <v>1390</v>
      </c>
      <c r="B3" s="2564">
        <f ca="1">ROUND(B2*10000/E2,0)</f>
        <v>4690</v>
      </c>
      <c r="C3" s="2565" t="s">
        <v>2523</v>
      </c>
      <c r="D3" s="2568"/>
      <c r="E3" s="2569"/>
    </row>
    <row r="4" spans="1:6" ht="15.75">
      <c r="A4" s="2570"/>
      <c r="B4" s="2568"/>
      <c r="C4" s="2568"/>
      <c r="D4" s="2568"/>
      <c r="E4" s="2569"/>
    </row>
    <row r="5" spans="1:6" ht="15">
      <c r="A5" s="2571" t="s">
        <v>2517</v>
      </c>
      <c r="B5" s="3156" t="s">
        <v>2518</v>
      </c>
      <c r="C5" s="3156"/>
      <c r="D5" s="2572"/>
      <c r="E5" s="2573" t="s">
        <v>2519</v>
      </c>
      <c r="F5" s="2574" t="s">
        <v>2520</v>
      </c>
    </row>
    <row r="6" spans="1:6">
      <c r="A6" s="2575" t="str">
        <f>'数据-取费表'!AN6</f>
        <v>收益法</v>
      </c>
      <c r="B6" s="2574">
        <f ca="1">IF(F6="是",'数据-取费表'!AO6,0)</f>
        <v>474</v>
      </c>
      <c r="C6" s="2565" t="s">
        <v>2515</v>
      </c>
      <c r="D6" s="2568"/>
      <c r="E6" s="2576">
        <f>IF(OR(A6=0,F6="否"),0,'数据-取费表'!K6+'数据-取费表'!S6)</f>
        <v>1010.65</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t="e">
        <f ca="1">IF(F8="是",'数据-取费表'!AO8,0)</f>
        <v>#REF!</v>
      </c>
      <c r="C8" s="2565" t="s">
        <v>2515</v>
      </c>
      <c r="D8" s="2568"/>
      <c r="E8" s="2576">
        <f>IF(OR(A8=0,F8="否"),0,'数据-取费表'!K8+'数据-取费表'!S8)</f>
        <v>0</v>
      </c>
      <c r="F8" s="2577" t="s">
        <v>2521</v>
      </c>
    </row>
    <row r="9" spans="1:6">
      <c r="A9" s="2575">
        <f>'数据-取费表'!AN9</f>
        <v>0</v>
      </c>
      <c r="B9" s="2574" t="e">
        <f ca="1">IF(F9="是",'数据-取费表'!AO9,0)</f>
        <v>#REF!</v>
      </c>
      <c r="C9" s="2565" t="s">
        <v>2515</v>
      </c>
      <c r="D9" s="2568"/>
      <c r="E9" s="2576">
        <f>IF(OR(A9=0,F9="否"),0,'数据-取费表'!K9+'数据-取费表'!S9)</f>
        <v>0</v>
      </c>
      <c r="F9" s="2577" t="s">
        <v>2521</v>
      </c>
    </row>
    <row r="10" spans="1:6">
      <c r="A10" s="2575">
        <f>'数据-取费表'!AN10</f>
        <v>0</v>
      </c>
      <c r="B10" s="2574" t="e">
        <f ca="1">IF(F10="是",'数据-取费表'!AO10,0)</f>
        <v>#REF!</v>
      </c>
      <c r="C10" s="2565" t="s">
        <v>2515</v>
      </c>
      <c r="D10" s="2568"/>
      <c r="E10" s="2576">
        <f>IF(OR(A10=0,F10="否"),0,'数据-取费表'!K10+'数据-取费表'!S10)</f>
        <v>0</v>
      </c>
      <c r="F10" s="2577" t="s">
        <v>2521</v>
      </c>
    </row>
    <row r="11" spans="1:6">
      <c r="A11" s="2575">
        <f>'数据-取费表'!AN11</f>
        <v>0</v>
      </c>
      <c r="B11" s="2574" t="e">
        <f ca="1">IF(F11="是",'数据-取费表'!AO11,0)</f>
        <v>#REF!</v>
      </c>
      <c r="C11" s="2565" t="s">
        <v>2515</v>
      </c>
      <c r="D11" s="2568"/>
      <c r="E11" s="2576">
        <f>IF(OR(A11=0,F11="否"),0,'数据-取费表'!K11+'数据-取费表'!S11)</f>
        <v>0</v>
      </c>
      <c r="F11" s="2577" t="s">
        <v>2521</v>
      </c>
    </row>
    <row r="12" spans="1:6">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62" t="s">
        <v>1074</v>
      </c>
      <c r="B2" s="3163" t="s">
        <v>1075</v>
      </c>
      <c r="C2" s="3163"/>
      <c r="D2" s="1301" t="s">
        <v>1076</v>
      </c>
      <c r="E2" s="1301" t="s">
        <v>1077</v>
      </c>
      <c r="F2" s="1301" t="s">
        <v>1078</v>
      </c>
      <c r="G2" s="1301" t="s">
        <v>1079</v>
      </c>
      <c r="H2" s="1301" t="s">
        <v>1080</v>
      </c>
      <c r="I2" s="1302" t="s">
        <v>1081</v>
      </c>
    </row>
    <row r="3" spans="1:9">
      <c r="A3" s="3162"/>
      <c r="B3" s="3163" t="s">
        <v>1082</v>
      </c>
      <c r="C3" s="3163"/>
      <c r="D3" s="1303"/>
      <c r="E3" s="1301"/>
      <c r="F3" s="1304"/>
      <c r="G3" s="1304"/>
      <c r="H3" s="1305"/>
      <c r="I3" s="1306">
        <f>ROUND(D3*E3*F3*G3*H3/10000,0)</f>
        <v>0</v>
      </c>
    </row>
    <row r="4" spans="1:9">
      <c r="A4" s="3162"/>
      <c r="B4" s="3163" t="s">
        <v>1083</v>
      </c>
      <c r="C4" s="3163"/>
      <c r="D4" s="1303"/>
      <c r="E4" s="1301"/>
      <c r="F4" s="1304"/>
      <c r="G4" s="1304"/>
      <c r="H4" s="1305"/>
      <c r="I4" s="1306">
        <f t="shared" ref="I4:I9" si="0">ROUND(D4*E4*F4*G4*H4/10000,0)</f>
        <v>0</v>
      </c>
    </row>
    <row r="5" spans="1:9">
      <c r="A5" s="3162"/>
      <c r="B5" s="3163" t="s">
        <v>1084</v>
      </c>
      <c r="C5" s="3163"/>
      <c r="D5" s="1303"/>
      <c r="E5" s="1301"/>
      <c r="F5" s="1304"/>
      <c r="G5" s="1304"/>
      <c r="H5" s="1305"/>
      <c r="I5" s="1306">
        <f t="shared" si="0"/>
        <v>0</v>
      </c>
    </row>
    <row r="6" spans="1:9">
      <c r="A6" s="3162"/>
      <c r="B6" s="3163" t="s">
        <v>1085</v>
      </c>
      <c r="C6" s="3163"/>
      <c r="D6" s="1303"/>
      <c r="E6" s="1301"/>
      <c r="F6" s="1304"/>
      <c r="G6" s="1304"/>
      <c r="H6" s="1305"/>
      <c r="I6" s="1306">
        <f t="shared" si="0"/>
        <v>0</v>
      </c>
    </row>
    <row r="7" spans="1:9">
      <c r="A7" s="3162"/>
      <c r="B7" s="3163" t="s">
        <v>1086</v>
      </c>
      <c r="C7" s="3163"/>
      <c r="D7" s="1303"/>
      <c r="E7" s="1301"/>
      <c r="F7" s="1304"/>
      <c r="G7" s="1304"/>
      <c r="H7" s="1305"/>
      <c r="I7" s="1306">
        <f t="shared" si="0"/>
        <v>0</v>
      </c>
    </row>
    <row r="8" spans="1:9">
      <c r="A8" s="3162"/>
      <c r="B8" s="3163" t="s">
        <v>1087</v>
      </c>
      <c r="C8" s="3163"/>
      <c r="D8" s="1303"/>
      <c r="E8" s="1301"/>
      <c r="F8" s="1304"/>
      <c r="G8" s="1304"/>
      <c r="H8" s="1305"/>
      <c r="I8" s="1306">
        <f t="shared" si="0"/>
        <v>0</v>
      </c>
    </row>
    <row r="9" spans="1:9">
      <c r="A9" s="3162"/>
      <c r="B9" s="3163" t="s">
        <v>1088</v>
      </c>
      <c r="C9" s="3163"/>
      <c r="D9" s="1303"/>
      <c r="E9" s="1301"/>
      <c r="F9" s="1304"/>
      <c r="G9" s="1304"/>
      <c r="H9" s="1305"/>
      <c r="I9" s="1306">
        <f t="shared" si="0"/>
        <v>0</v>
      </c>
    </row>
    <row r="10" spans="1:9">
      <c r="A10" s="3162"/>
      <c r="B10" s="3164" t="s">
        <v>1089</v>
      </c>
      <c r="C10" s="3164"/>
      <c r="D10" s="1307"/>
      <c r="E10" s="1307" t="e">
        <f>ROUND(D1*10000/D10/H9,0)</f>
        <v>#DIV/0!</v>
      </c>
      <c r="F10" s="1308"/>
      <c r="G10" s="1308"/>
      <c r="H10" s="1309"/>
      <c r="I10" s="1310">
        <f>SUM(I3:I9)</f>
        <v>0</v>
      </c>
    </row>
    <row r="11" spans="1:9" ht="14.25">
      <c r="A11" s="3162" t="s">
        <v>1090</v>
      </c>
      <c r="B11" s="3163" t="s">
        <v>1091</v>
      </c>
      <c r="C11" s="3163"/>
      <c r="D11" s="1303" t="s">
        <v>1092</v>
      </c>
      <c r="E11" s="1303" t="s">
        <v>1093</v>
      </c>
      <c r="F11" s="1304" t="s">
        <v>1094</v>
      </c>
      <c r="G11" s="1304" t="s">
        <v>1080</v>
      </c>
      <c r="H11" s="1311" t="s">
        <v>1095</v>
      </c>
      <c r="I11" s="1302" t="s">
        <v>1081</v>
      </c>
    </row>
    <row r="12" spans="1:9">
      <c r="A12" s="3162"/>
      <c r="B12" s="3163" t="s">
        <v>1096</v>
      </c>
      <c r="C12" s="3163"/>
      <c r="D12" s="1303"/>
      <c r="E12" s="1303"/>
      <c r="F12" s="1304"/>
      <c r="G12" s="1305"/>
      <c r="H12" s="1312"/>
      <c r="I12" s="1302">
        <f>ROUND(D12*E12*F12*G12/10000,0)</f>
        <v>0</v>
      </c>
    </row>
    <row r="13" spans="1:9">
      <c r="A13" s="3162"/>
      <c r="B13" s="3163" t="s">
        <v>1097</v>
      </c>
      <c r="C13" s="3163"/>
      <c r="D13" s="1303"/>
      <c r="E13" s="1303"/>
      <c r="F13" s="1304"/>
      <c r="G13" s="1305"/>
      <c r="H13" s="1312"/>
      <c r="I13" s="1302">
        <f>ROUND(D13*E13*F13*G13/10000,0)</f>
        <v>0</v>
      </c>
    </row>
    <row r="14" spans="1:9">
      <c r="A14" s="3162"/>
      <c r="B14" s="3163" t="s">
        <v>1098</v>
      </c>
      <c r="C14" s="3163"/>
      <c r="D14" s="1303"/>
      <c r="E14" s="1303"/>
      <c r="F14" s="1304"/>
      <c r="G14" s="1305"/>
      <c r="H14" s="1312"/>
      <c r="I14" s="1302">
        <f>ROUND(D14*E14*F14*G14/10000,0)</f>
        <v>0</v>
      </c>
    </row>
    <row r="15" spans="1:9">
      <c r="A15" s="3162"/>
      <c r="B15" s="3164" t="s">
        <v>1089</v>
      </c>
      <c r="C15" s="3164"/>
      <c r="D15" s="1307"/>
      <c r="E15" s="1307">
        <f>SUM(E12:E14)</f>
        <v>0</v>
      </c>
      <c r="F15" s="1308"/>
      <c r="G15" s="1305"/>
      <c r="H15" s="1312"/>
      <c r="I15" s="1313">
        <f>SUM(I12:I14)</f>
        <v>0</v>
      </c>
    </row>
    <row r="16" spans="1:9" ht="24">
      <c r="A16" s="3162" t="s">
        <v>1099</v>
      </c>
      <c r="B16" s="3163" t="s">
        <v>1100</v>
      </c>
      <c r="C16" s="3163"/>
      <c r="D16" s="1303" t="s">
        <v>1076</v>
      </c>
      <c r="E16" s="1314" t="s">
        <v>1101</v>
      </c>
      <c r="F16" s="1304" t="s">
        <v>1102</v>
      </c>
      <c r="G16" s="1305" t="s">
        <v>1080</v>
      </c>
      <c r="H16" s="1311" t="s">
        <v>1095</v>
      </c>
      <c r="I16" s="1302" t="s">
        <v>1081</v>
      </c>
    </row>
    <row r="17" spans="1:9" ht="14.25">
      <c r="A17" s="3162"/>
      <c r="B17" s="3163" t="s">
        <v>1103</v>
      </c>
      <c r="C17" s="3163"/>
      <c r="D17" s="1303"/>
      <c r="E17" s="1303"/>
      <c r="F17" s="1304"/>
      <c r="G17" s="1305"/>
      <c r="H17" s="1315"/>
      <c r="I17" s="1316">
        <f>ROUND(D17*E17*F17*G17/10000,0)</f>
        <v>0</v>
      </c>
    </row>
    <row r="18" spans="1:9" ht="14.25">
      <c r="A18" s="3162"/>
      <c r="B18" s="3163" t="s">
        <v>1104</v>
      </c>
      <c r="C18" s="3163"/>
      <c r="D18" s="1303"/>
      <c r="E18" s="1303"/>
      <c r="F18" s="1304"/>
      <c r="G18" s="1305"/>
      <c r="H18" s="1315"/>
      <c r="I18" s="1316">
        <f>ROUND(D18*E18*F18*G18/10000,0)</f>
        <v>0</v>
      </c>
    </row>
    <row r="19" spans="1:9" ht="14.25">
      <c r="A19" s="3162"/>
      <c r="B19" s="3163" t="s">
        <v>1105</v>
      </c>
      <c r="C19" s="3163"/>
      <c r="D19" s="1303"/>
      <c r="E19" s="1303"/>
      <c r="F19" s="1304"/>
      <c r="G19" s="1305"/>
      <c r="H19" s="1315"/>
      <c r="I19" s="1316">
        <f>ROUND(D19*E19*F19*G19/10000,0)</f>
        <v>0</v>
      </c>
    </row>
    <row r="20" spans="1:9">
      <c r="A20" s="3162"/>
      <c r="B20" s="3164" t="s">
        <v>1089</v>
      </c>
      <c r="C20" s="3164"/>
      <c r="D20" s="1307">
        <f>SUM(D17:D19)</f>
        <v>0</v>
      </c>
      <c r="E20" s="1307"/>
      <c r="F20" s="1308"/>
      <c r="G20" s="1305"/>
      <c r="H20" s="1312"/>
      <c r="I20" s="1313">
        <f>SUM(I17:I19)</f>
        <v>0</v>
      </c>
    </row>
    <row r="21" spans="1:9">
      <c r="A21" s="3162" t="s">
        <v>1106</v>
      </c>
      <c r="B21" s="3166"/>
      <c r="C21" s="3166"/>
      <c r="D21" s="3166"/>
      <c r="E21" s="3166"/>
      <c r="F21" s="3166"/>
      <c r="G21" s="3166"/>
      <c r="H21" s="1765">
        <v>0.1</v>
      </c>
      <c r="I21" s="1310">
        <f>ROUND(I10*H21,0)</f>
        <v>0</v>
      </c>
    </row>
    <row r="22" spans="1:9" ht="14.25">
      <c r="A22" s="3167" t="s">
        <v>1107</v>
      </c>
      <c r="B22" s="3168"/>
      <c r="C22" s="3169"/>
      <c r="D22" s="1317" t="s">
        <v>1108</v>
      </c>
      <c r="E22" s="1317" t="s">
        <v>1109</v>
      </c>
      <c r="F22" s="1318" t="s">
        <v>1110</v>
      </c>
      <c r="G22" s="1318" t="s">
        <v>1111</v>
      </c>
      <c r="H22" s="1311" t="s">
        <v>1112</v>
      </c>
      <c r="I22" s="1302" t="s">
        <v>1113</v>
      </c>
    </row>
    <row r="23" spans="1:9" ht="14.25" thickBot="1">
      <c r="A23" s="3170"/>
      <c r="B23" s="3171"/>
      <c r="C23" s="3172"/>
      <c r="D23" s="1319"/>
      <c r="E23" s="1319"/>
      <c r="F23" s="1319"/>
      <c r="G23" s="1320"/>
      <c r="H23" s="1321"/>
      <c r="I23" s="1322">
        <f>ROUND(E23*D23*F23*(1-G23)/10000,0)</f>
        <v>0</v>
      </c>
    </row>
    <row r="26" spans="1:9">
      <c r="A26" s="1323" t="s">
        <v>1114</v>
      </c>
      <c r="B26" s="1323"/>
      <c r="C26" s="1323"/>
      <c r="D26" s="1323"/>
      <c r="E26" s="3173">
        <f>C27-C30-C31-C32</f>
        <v>0</v>
      </c>
      <c r="F26" s="3173"/>
      <c r="G26" s="3173"/>
      <c r="H26" s="1737" t="s">
        <v>1336</v>
      </c>
    </row>
    <row r="27" spans="1:9">
      <c r="A27" s="1324">
        <v>1</v>
      </c>
      <c r="B27" s="1325" t="s">
        <v>1115</v>
      </c>
      <c r="C27" s="1325">
        <f>C28+C29</f>
        <v>0</v>
      </c>
      <c r="D27" s="1325"/>
      <c r="E27" s="3174"/>
      <c r="F27" s="3174"/>
      <c r="G27" s="3174"/>
    </row>
    <row r="28" spans="1:9">
      <c r="A28" s="1326" t="s">
        <v>1116</v>
      </c>
      <c r="B28" s="1325" t="s">
        <v>1117</v>
      </c>
      <c r="C28" s="1325"/>
      <c r="D28" s="1325"/>
      <c r="E28" s="3174"/>
      <c r="F28" s="3174"/>
      <c r="G28" s="317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5"/>
      <c r="F32" s="3165"/>
      <c r="G32" s="3165"/>
    </row>
    <row r="33" spans="1:7" hidden="1">
      <c r="A33" s="3175" t="s">
        <v>1126</v>
      </c>
      <c r="B33" s="3176"/>
      <c r="C33" s="3176"/>
      <c r="D33" s="3177"/>
      <c r="E33" s="3173"/>
      <c r="F33" s="3173"/>
      <c r="G33" s="3173"/>
    </row>
    <row r="34" spans="1:7" hidden="1">
      <c r="A34" s="1328">
        <v>1</v>
      </c>
      <c r="B34" s="1325" t="s">
        <v>1127</v>
      </c>
      <c r="C34" s="1325"/>
      <c r="D34" s="1325"/>
      <c r="E34" s="3174"/>
      <c r="F34" s="3174"/>
      <c r="G34" s="3174"/>
    </row>
    <row r="35" spans="1:7" hidden="1">
      <c r="A35" s="1328">
        <v>2</v>
      </c>
      <c r="B35" s="1325" t="s">
        <v>1128</v>
      </c>
      <c r="C35" s="1325"/>
      <c r="D35" s="1325"/>
      <c r="E35" s="3174"/>
      <c r="F35" s="3174"/>
      <c r="G35" s="3174"/>
    </row>
    <row r="36" spans="1:7" hidden="1">
      <c r="A36" s="1328">
        <v>3</v>
      </c>
      <c r="B36" s="1325" t="s">
        <v>1129</v>
      </c>
      <c r="C36" s="1325"/>
      <c r="D36" s="1325"/>
      <c r="E36" s="3174"/>
      <c r="F36" s="3174"/>
      <c r="G36" s="3174"/>
    </row>
    <row r="37" spans="1:7" hidden="1">
      <c r="A37" s="1328">
        <v>4</v>
      </c>
      <c r="B37" s="1325" t="s">
        <v>1130</v>
      </c>
      <c r="C37" s="1325"/>
      <c r="D37" s="1325"/>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2525</v>
      </c>
      <c r="C1" s="1634" t="s">
        <v>2526</v>
      </c>
      <c r="D1" s="1621"/>
      <c r="E1" s="2582"/>
      <c r="F1" s="2583" t="s">
        <v>2527</v>
      </c>
      <c r="G1" s="1631" t="s">
        <v>2528</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1010.65</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96" t="s">
        <v>2532</v>
      </c>
      <c r="D4" s="3197"/>
      <c r="E4" s="3198" t="s">
        <v>2533</v>
      </c>
      <c r="F4" s="3199"/>
      <c r="G4" s="3196" t="s">
        <v>2534</v>
      </c>
      <c r="H4" s="3197"/>
      <c r="I4" s="3196" t="s">
        <v>2535</v>
      </c>
      <c r="J4" s="3197"/>
      <c r="K4" s="2595" t="s">
        <v>2536</v>
      </c>
      <c r="L4" s="1130"/>
      <c r="M4" s="1131"/>
      <c r="N4" s="1131"/>
      <c r="O4" s="1131"/>
      <c r="P4" s="3200" t="s">
        <v>2537</v>
      </c>
      <c r="Q4" s="3201"/>
      <c r="R4" s="3183" t="s">
        <v>2533</v>
      </c>
      <c r="S4" s="3184"/>
      <c r="T4" s="3183" t="s">
        <v>2534</v>
      </c>
      <c r="U4" s="3184"/>
      <c r="V4" s="3208" t="s">
        <v>2535</v>
      </c>
      <c r="W4" s="3208"/>
      <c r="X4" s="1813"/>
      <c r="Y4" s="3183" t="s">
        <v>2537</v>
      </c>
      <c r="Z4" s="3184"/>
      <c r="AA4" s="3178" t="s">
        <v>2533</v>
      </c>
      <c r="AB4" s="3178" t="s">
        <v>2534</v>
      </c>
      <c r="AC4" s="3178" t="s">
        <v>2535</v>
      </c>
    </row>
    <row r="5" spans="1:29" ht="15">
      <c r="A5" s="404"/>
      <c r="B5" s="405"/>
      <c r="C5" s="3189" t="s">
        <v>2538</v>
      </c>
      <c r="D5" s="3190"/>
      <c r="E5" s="3187" t="s">
        <v>2539</v>
      </c>
      <c r="F5" s="3188"/>
      <c r="G5" s="3189" t="s">
        <v>2540</v>
      </c>
      <c r="H5" s="3190"/>
      <c r="I5" s="3189" t="s">
        <v>2541</v>
      </c>
      <c r="J5" s="3190"/>
      <c r="K5" s="2596"/>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2596"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43693</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1" t="s">
        <v>2545</v>
      </c>
      <c r="Q7" s="3209"/>
      <c r="R7" s="770" t="s">
        <v>23</v>
      </c>
      <c r="S7" s="771">
        <f t="shared" ref="S7:S15" si="0">F7</f>
        <v>0</v>
      </c>
      <c r="T7" s="770" t="s">
        <v>23</v>
      </c>
      <c r="U7" s="771">
        <f t="shared" ref="U7:U15" si="1">H7</f>
        <v>0</v>
      </c>
      <c r="V7" s="770" t="s">
        <v>23</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1" t="s">
        <v>2548</v>
      </c>
      <c r="Q8" s="3182"/>
      <c r="R8" s="770" t="s">
        <v>23</v>
      </c>
      <c r="S8" s="771">
        <f t="shared" si="0"/>
        <v>0</v>
      </c>
      <c r="T8" s="770" t="s">
        <v>23</v>
      </c>
      <c r="U8" s="771">
        <f t="shared" si="1"/>
        <v>0</v>
      </c>
      <c r="V8" s="770" t="s">
        <v>23</v>
      </c>
      <c r="W8" s="771">
        <f t="shared" si="2"/>
        <v>0</v>
      </c>
      <c r="X8" s="772"/>
      <c r="Y8" s="3181" t="s">
        <v>2548</v>
      </c>
      <c r="Z8" s="318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2556</v>
      </c>
      <c r="Q15" s="1810" t="str">
        <f t="shared" si="6"/>
        <v>居住社区成熟度</v>
      </c>
      <c r="R15" s="774" t="s">
        <v>21</v>
      </c>
      <c r="S15" s="775">
        <f t="shared" si="0"/>
        <v>100</v>
      </c>
      <c r="T15" s="774" t="s">
        <v>21</v>
      </c>
      <c r="U15" s="775">
        <f t="shared" si="1"/>
        <v>100</v>
      </c>
      <c r="V15" s="774" t="s">
        <v>21</v>
      </c>
      <c r="W15" s="775">
        <f t="shared" si="2"/>
        <v>100</v>
      </c>
      <c r="X15" s="1813"/>
      <c r="Y15" s="3215" t="s">
        <v>2556</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3"/>
      <c r="Q16" s="1810"/>
      <c r="R16" s="774"/>
      <c r="S16" s="775"/>
      <c r="T16" s="774"/>
      <c r="U16" s="775"/>
      <c r="V16" s="774"/>
      <c r="W16" s="775"/>
      <c r="X16" s="1813"/>
      <c r="Y16" s="3216"/>
      <c r="Z16" s="1814"/>
      <c r="AA16" s="1811">
        <v>1</v>
      </c>
      <c r="AB16" s="1811">
        <v>1</v>
      </c>
      <c r="AC16" s="1811">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10" t="str">
        <f>B17</f>
        <v>交通便捷度</v>
      </c>
      <c r="R17" s="774" t="s">
        <v>21</v>
      </c>
      <c r="S17" s="775">
        <f>F17</f>
        <v>100</v>
      </c>
      <c r="T17" s="774" t="s">
        <v>21</v>
      </c>
      <c r="U17" s="775">
        <f>H17</f>
        <v>100</v>
      </c>
      <c r="V17" s="774" t="s">
        <v>21</v>
      </c>
      <c r="W17" s="775">
        <f>J17</f>
        <v>100</v>
      </c>
      <c r="X17" s="1813"/>
      <c r="Y17" s="3216"/>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3"/>
      <c r="Q18" s="1810"/>
      <c r="R18" s="774"/>
      <c r="S18" s="775"/>
      <c r="T18" s="774"/>
      <c r="U18" s="775"/>
      <c r="V18" s="774"/>
      <c r="W18" s="775"/>
      <c r="X18" s="1813"/>
      <c r="Y18" s="3216"/>
      <c r="Z18" s="1814"/>
      <c r="AA18" s="1811">
        <v>1</v>
      </c>
      <c r="AB18" s="1811">
        <v>1</v>
      </c>
      <c r="AC18" s="1811">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10" t="str">
        <f>B19</f>
        <v>公共配套设施</v>
      </c>
      <c r="R19" s="774" t="s">
        <v>21</v>
      </c>
      <c r="S19" s="775">
        <f>F19</f>
        <v>100</v>
      </c>
      <c r="T19" s="774" t="s">
        <v>21</v>
      </c>
      <c r="U19" s="775">
        <f>H19</f>
        <v>100</v>
      </c>
      <c r="V19" s="774" t="s">
        <v>21</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3"/>
      <c r="Q20" s="1810"/>
      <c r="R20" s="774"/>
      <c r="S20" s="775"/>
      <c r="T20" s="774"/>
      <c r="U20" s="775"/>
      <c r="V20" s="774"/>
      <c r="W20" s="775"/>
      <c r="X20" s="1813"/>
      <c r="Y20" s="3216"/>
      <c r="Z20" s="1814"/>
      <c r="AA20" s="1811">
        <v>1</v>
      </c>
      <c r="AB20" s="1811">
        <v>1</v>
      </c>
      <c r="AC20" s="1811">
        <v>1</v>
      </c>
    </row>
    <row r="21" spans="1:29" ht="15">
      <c r="A21" s="428"/>
      <c r="B21" s="1384"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3"/>
      <c r="Q22" s="1810"/>
      <c r="R22" s="774"/>
      <c r="S22" s="775"/>
      <c r="T22" s="774"/>
      <c r="U22" s="775"/>
      <c r="V22" s="774"/>
      <c r="W22" s="775"/>
      <c r="X22" s="1813"/>
      <c r="Y22" s="3216"/>
      <c r="Z22" s="1814"/>
      <c r="AA22" s="1811">
        <v>1</v>
      </c>
      <c r="AB22" s="1811">
        <v>1</v>
      </c>
      <c r="AC22" s="1811">
        <v>1</v>
      </c>
    </row>
    <row r="23" spans="1:29" ht="15">
      <c r="A23" s="428"/>
      <c r="B23" s="451" t="s">
        <v>2098</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10" t="str">
        <f>B23</f>
        <v>自然及人文环境</v>
      </c>
      <c r="R23" s="774" t="s">
        <v>21</v>
      </c>
      <c r="S23" s="775">
        <f>F23</f>
        <v>100</v>
      </c>
      <c r="T23" s="774" t="s">
        <v>21</v>
      </c>
      <c r="U23" s="775">
        <f>H23</f>
        <v>100</v>
      </c>
      <c r="V23" s="774" t="s">
        <v>21</v>
      </c>
      <c r="W23" s="775">
        <f>J23</f>
        <v>100</v>
      </c>
      <c r="X23" s="1813"/>
      <c r="Y23" s="3216"/>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3"/>
      <c r="Q26" s="1810" t="str">
        <f t="shared" si="11"/>
        <v>朝向</v>
      </c>
      <c r="R26" s="774" t="s">
        <v>21</v>
      </c>
      <c r="S26" s="775">
        <f t="shared" si="12"/>
        <v>100</v>
      </c>
      <c r="T26" s="774" t="s">
        <v>21</v>
      </c>
      <c r="U26" s="775">
        <f t="shared" si="13"/>
        <v>100</v>
      </c>
      <c r="V26" s="774" t="s">
        <v>21</v>
      </c>
      <c r="W26" s="775">
        <f t="shared" si="14"/>
        <v>100</v>
      </c>
      <c r="X26" s="1813"/>
      <c r="Y26" s="321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3"/>
      <c r="Q27" s="1795">
        <f t="shared" si="11"/>
        <v>111</v>
      </c>
      <c r="R27" s="770" t="s">
        <v>21</v>
      </c>
      <c r="S27" s="771">
        <f t="shared" si="12"/>
        <v>100</v>
      </c>
      <c r="T27" s="770" t="s">
        <v>21</v>
      </c>
      <c r="U27" s="771">
        <f t="shared" si="13"/>
        <v>100</v>
      </c>
      <c r="V27" s="770" t="s">
        <v>21</v>
      </c>
      <c r="W27" s="771">
        <f t="shared" si="14"/>
        <v>100</v>
      </c>
      <c r="X27" s="772"/>
      <c r="Y27" s="321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3"/>
      <c r="Q28" s="1810">
        <f t="shared" si="11"/>
        <v>111</v>
      </c>
      <c r="R28" s="774" t="s">
        <v>21</v>
      </c>
      <c r="S28" s="775">
        <f t="shared" si="12"/>
        <v>100</v>
      </c>
      <c r="T28" s="774" t="s">
        <v>21</v>
      </c>
      <c r="U28" s="775">
        <f t="shared" si="13"/>
        <v>100</v>
      </c>
      <c r="V28" s="774" t="s">
        <v>21</v>
      </c>
      <c r="W28" s="775">
        <f t="shared" si="14"/>
        <v>100</v>
      </c>
      <c r="X28" s="1813"/>
      <c r="Y28" s="321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3"/>
      <c r="Q29" s="1810">
        <f t="shared" si="11"/>
        <v>111</v>
      </c>
      <c r="R29" s="774" t="s">
        <v>21</v>
      </c>
      <c r="S29" s="775">
        <f t="shared" si="12"/>
        <v>100</v>
      </c>
      <c r="T29" s="774" t="s">
        <v>21</v>
      </c>
      <c r="U29" s="775">
        <f t="shared" si="13"/>
        <v>100</v>
      </c>
      <c r="V29" s="774" t="s">
        <v>21</v>
      </c>
      <c r="W29" s="775">
        <f t="shared" si="14"/>
        <v>100</v>
      </c>
      <c r="X29" s="1813"/>
      <c r="Y29" s="321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3"/>
      <c r="Q30" s="1810">
        <f t="shared" si="11"/>
        <v>111</v>
      </c>
      <c r="R30" s="774" t="s">
        <v>21</v>
      </c>
      <c r="S30" s="775">
        <f t="shared" si="12"/>
        <v>100</v>
      </c>
      <c r="T30" s="774" t="s">
        <v>21</v>
      </c>
      <c r="U30" s="775">
        <f t="shared" si="13"/>
        <v>100</v>
      </c>
      <c r="V30" s="774" t="s">
        <v>21</v>
      </c>
      <c r="W30" s="775">
        <f t="shared" si="14"/>
        <v>100</v>
      </c>
      <c r="X30" s="1813"/>
      <c r="Y30" s="321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3"/>
      <c r="Q31" s="1810">
        <f t="shared" si="11"/>
        <v>111</v>
      </c>
      <c r="R31" s="774" t="s">
        <v>21</v>
      </c>
      <c r="S31" s="775">
        <f t="shared" si="12"/>
        <v>100</v>
      </c>
      <c r="T31" s="774" t="s">
        <v>21</v>
      </c>
      <c r="U31" s="775">
        <f t="shared" si="13"/>
        <v>100</v>
      </c>
      <c r="V31" s="774" t="s">
        <v>21</v>
      </c>
      <c r="W31" s="775">
        <f t="shared" si="14"/>
        <v>100</v>
      </c>
      <c r="X31" s="1813"/>
      <c r="Y31" s="3216"/>
      <c r="Z31" s="1814">
        <f t="shared" si="18"/>
        <v>111</v>
      </c>
      <c r="AA31" s="1811">
        <f t="shared" si="15"/>
        <v>1</v>
      </c>
      <c r="AB31" s="1811">
        <f t="shared" si="16"/>
        <v>1</v>
      </c>
      <c r="AC31" s="1811">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7" t="s">
        <v>2561</v>
      </c>
      <c r="Q32" s="1810" t="str">
        <f t="shared" si="11"/>
        <v>建筑类型</v>
      </c>
      <c r="R32" s="774" t="s">
        <v>21</v>
      </c>
      <c r="S32" s="775">
        <f t="shared" si="12"/>
        <v>100</v>
      </c>
      <c r="T32" s="774" t="s">
        <v>21</v>
      </c>
      <c r="U32" s="775">
        <f t="shared" si="13"/>
        <v>100</v>
      </c>
      <c r="V32" s="774" t="s">
        <v>21</v>
      </c>
      <c r="W32" s="775">
        <f t="shared" si="14"/>
        <v>100</v>
      </c>
      <c r="X32" s="1813"/>
      <c r="Y32" s="3220"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1" t="e">
        <f t="shared" si="15"/>
        <v>#N/A</v>
      </c>
      <c r="AB33" s="1811" t="e">
        <f t="shared" si="16"/>
        <v>#N/A</v>
      </c>
      <c r="AC33" s="1811"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8"/>
      <c r="Q34" s="1810" t="str">
        <f t="shared" si="11"/>
        <v>建筑结构</v>
      </c>
      <c r="R34" s="774" t="s">
        <v>21</v>
      </c>
      <c r="S34" s="775">
        <f t="shared" si="12"/>
        <v>100</v>
      </c>
      <c r="T34" s="774" t="s">
        <v>21</v>
      </c>
      <c r="U34" s="775">
        <f t="shared" si="13"/>
        <v>100</v>
      </c>
      <c r="V34" s="774" t="s">
        <v>21</v>
      </c>
      <c r="W34" s="775">
        <f t="shared" si="14"/>
        <v>100</v>
      </c>
      <c r="X34" s="1813"/>
      <c r="Y34" s="3220"/>
      <c r="Z34" s="1814" t="str">
        <f t="shared" si="18"/>
        <v>建筑结构</v>
      </c>
      <c r="AA34" s="1811">
        <f t="shared" si="15"/>
        <v>1</v>
      </c>
      <c r="AB34" s="1811">
        <f t="shared" si="16"/>
        <v>1</v>
      </c>
      <c r="AC34" s="1811">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8"/>
      <c r="Q35" s="1810" t="str">
        <f t="shared" si="11"/>
        <v>建筑品质</v>
      </c>
      <c r="R35" s="774" t="s">
        <v>21</v>
      </c>
      <c r="S35" s="775">
        <f t="shared" si="12"/>
        <v>100</v>
      </c>
      <c r="T35" s="774" t="s">
        <v>21</v>
      </c>
      <c r="U35" s="775">
        <f t="shared" si="13"/>
        <v>100</v>
      </c>
      <c r="V35" s="774" t="s">
        <v>21</v>
      </c>
      <c r="W35" s="775">
        <f t="shared" si="14"/>
        <v>100</v>
      </c>
      <c r="X35" s="1813"/>
      <c r="Y35" s="3220"/>
      <c r="Z35" s="1814" t="str">
        <f t="shared" si="18"/>
        <v>建筑品质</v>
      </c>
      <c r="AA35" s="1811">
        <f t="shared" si="15"/>
        <v>1</v>
      </c>
      <c r="AB35" s="1811">
        <f t="shared" si="16"/>
        <v>1</v>
      </c>
      <c r="AC35" s="1811">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8"/>
      <c r="Q36" s="1810" t="str">
        <f t="shared" si="11"/>
        <v>公共部分装修</v>
      </c>
      <c r="R36" s="774" t="s">
        <v>21</v>
      </c>
      <c r="S36" s="775">
        <f t="shared" si="12"/>
        <v>100</v>
      </c>
      <c r="T36" s="774" t="s">
        <v>21</v>
      </c>
      <c r="U36" s="775">
        <f t="shared" si="13"/>
        <v>100</v>
      </c>
      <c r="V36" s="774" t="s">
        <v>21</v>
      </c>
      <c r="W36" s="775">
        <f t="shared" si="14"/>
        <v>100</v>
      </c>
      <c r="X36" s="1813"/>
      <c r="Y36" s="3220"/>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8"/>
      <c r="Q37" s="1795"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8" t="s">
        <v>2561</v>
      </c>
      <c r="Q38" s="1810" t="str">
        <f t="shared" si="11"/>
        <v>物业管理</v>
      </c>
      <c r="R38" s="774" t="s">
        <v>21</v>
      </c>
      <c r="S38" s="775">
        <f t="shared" si="12"/>
        <v>100</v>
      </c>
      <c r="T38" s="774" t="s">
        <v>21</v>
      </c>
      <c r="U38" s="775">
        <f t="shared" si="13"/>
        <v>100</v>
      </c>
      <c r="V38" s="774" t="s">
        <v>21</v>
      </c>
      <c r="W38" s="775">
        <f t="shared" si="14"/>
        <v>100</v>
      </c>
      <c r="X38" s="1813"/>
      <c r="Y38" s="3220" t="s">
        <v>2561</v>
      </c>
      <c r="Z38" s="1814" t="str">
        <f t="shared" si="18"/>
        <v>物业管理</v>
      </c>
      <c r="AA38" s="1811">
        <f t="shared" si="15"/>
        <v>1</v>
      </c>
      <c r="AB38" s="1811">
        <f t="shared" si="16"/>
        <v>1</v>
      </c>
      <c r="AC38" s="1811">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8"/>
      <c r="Q39" s="1810" t="str">
        <f t="shared" si="11"/>
        <v>市政基础设施</v>
      </c>
      <c r="R39" s="774" t="s">
        <v>21</v>
      </c>
      <c r="S39" s="775">
        <f t="shared" si="12"/>
        <v>100</v>
      </c>
      <c r="T39" s="774" t="s">
        <v>21</v>
      </c>
      <c r="U39" s="775">
        <f t="shared" si="13"/>
        <v>100</v>
      </c>
      <c r="V39" s="774" t="s">
        <v>21</v>
      </c>
      <c r="W39" s="775">
        <f t="shared" si="14"/>
        <v>100</v>
      </c>
      <c r="X39" s="1813"/>
      <c r="Y39" s="3220"/>
      <c r="Z39" s="1814" t="str">
        <f t="shared" si="18"/>
        <v>市政基础设施</v>
      </c>
      <c r="AA39" s="1811">
        <f t="shared" si="15"/>
        <v>1</v>
      </c>
      <c r="AB39" s="1811">
        <f t="shared" si="16"/>
        <v>1</v>
      </c>
      <c r="AC39" s="1811">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8"/>
      <c r="Q40" s="1810" t="str">
        <f t="shared" si="11"/>
        <v>房型</v>
      </c>
      <c r="R40" s="774" t="s">
        <v>21</v>
      </c>
      <c r="S40" s="775">
        <f t="shared" si="12"/>
        <v>100</v>
      </c>
      <c r="T40" s="774" t="s">
        <v>21</v>
      </c>
      <c r="U40" s="775">
        <f t="shared" si="13"/>
        <v>100</v>
      </c>
      <c r="V40" s="774" t="s">
        <v>21</v>
      </c>
      <c r="W40" s="775">
        <f t="shared" si="14"/>
        <v>100</v>
      </c>
      <c r="X40" s="1813"/>
      <c r="Y40" s="3220"/>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1">
        <f t="shared" si="15"/>
        <v>1</v>
      </c>
      <c r="AB41" s="1811">
        <f t="shared" si="16"/>
        <v>1</v>
      </c>
      <c r="AC41" s="1811">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8"/>
      <c r="Q42" s="1810" t="str">
        <f t="shared" si="11"/>
        <v>内部装修</v>
      </c>
      <c r="R42" s="774" t="s">
        <v>21</v>
      </c>
      <c r="S42" s="775">
        <f t="shared" si="12"/>
        <v>100</v>
      </c>
      <c r="T42" s="774" t="s">
        <v>21</v>
      </c>
      <c r="U42" s="775">
        <f t="shared" si="13"/>
        <v>100</v>
      </c>
      <c r="V42" s="774" t="s">
        <v>21</v>
      </c>
      <c r="W42" s="775">
        <f t="shared" si="14"/>
        <v>100</v>
      </c>
      <c r="X42" s="1813"/>
      <c r="Y42" s="3220"/>
      <c r="Z42" s="1814" t="str">
        <f t="shared" si="18"/>
        <v>内部装修</v>
      </c>
      <c r="AA42" s="1811">
        <f t="shared" si="15"/>
        <v>1</v>
      </c>
      <c r="AB42" s="1811">
        <f t="shared" si="16"/>
        <v>1</v>
      </c>
      <c r="AC42" s="1811">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8"/>
      <c r="Q43" s="1810" t="str">
        <f t="shared" si="11"/>
        <v>内部装修维护情况</v>
      </c>
      <c r="R43" s="774" t="s">
        <v>21</v>
      </c>
      <c r="S43" s="775">
        <f t="shared" si="12"/>
        <v>100</v>
      </c>
      <c r="T43" s="774" t="s">
        <v>21</v>
      </c>
      <c r="U43" s="775">
        <f t="shared" si="13"/>
        <v>100</v>
      </c>
      <c r="V43" s="774" t="s">
        <v>21</v>
      </c>
      <c r="W43" s="775">
        <f t="shared" si="14"/>
        <v>100</v>
      </c>
      <c r="X43" s="1813"/>
      <c r="Y43" s="322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8"/>
      <c r="Q44" s="1795">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8"/>
      <c r="Q45" s="1810">
        <f t="shared" si="11"/>
        <v>111</v>
      </c>
      <c r="R45" s="774" t="s">
        <v>21</v>
      </c>
      <c r="S45" s="775">
        <f t="shared" si="12"/>
        <v>100</v>
      </c>
      <c r="T45" s="774" t="s">
        <v>21</v>
      </c>
      <c r="U45" s="775">
        <f t="shared" si="13"/>
        <v>100</v>
      </c>
      <c r="V45" s="774" t="s">
        <v>21</v>
      </c>
      <c r="W45" s="775">
        <f t="shared" si="14"/>
        <v>100</v>
      </c>
      <c r="X45" s="1813"/>
      <c r="Y45" s="3220"/>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9"/>
      <c r="Q46" s="1810">
        <f t="shared" si="11"/>
        <v>111</v>
      </c>
      <c r="R46" s="774" t="s">
        <v>20</v>
      </c>
      <c r="S46" s="775">
        <f t="shared" si="12"/>
        <v>100</v>
      </c>
      <c r="T46" s="774" t="s">
        <v>20</v>
      </c>
      <c r="U46" s="775">
        <f t="shared" si="13"/>
        <v>100</v>
      </c>
      <c r="V46" s="774" t="s">
        <v>20</v>
      </c>
      <c r="W46" s="775">
        <f t="shared" si="14"/>
        <v>100</v>
      </c>
      <c r="X46" s="1813"/>
      <c r="Y46" s="3221"/>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0"/>
      <c r="L47" s="1143"/>
      <c r="M47" s="1144"/>
      <c r="N47" s="1131"/>
      <c r="O47" s="1144"/>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2638</v>
      </c>
      <c r="C1" s="1634" t="s">
        <v>2526</v>
      </c>
      <c r="D1" s="1621"/>
      <c r="E1" s="2656"/>
      <c r="F1" s="2583"/>
      <c r="G1" s="1631" t="s">
        <v>2639</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1010.65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208"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208"/>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208"/>
      <c r="AC6" s="3180"/>
    </row>
    <row r="7" spans="1:29" s="117" customFormat="1" ht="15.75" thickBot="1">
      <c r="A7" s="408" t="s">
        <v>2544</v>
      </c>
      <c r="B7" s="409"/>
      <c r="C7" s="410">
        <f>'数据-取费表'!B2</f>
        <v>43693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2555</v>
      </c>
      <c r="B15" s="69" t="s">
        <v>2649</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2556</v>
      </c>
      <c r="Q15" s="1810" t="str">
        <f t="shared" si="6"/>
        <v>商业繁华度</v>
      </c>
      <c r="R15" s="774" t="s">
        <v>17</v>
      </c>
      <c r="S15" s="775">
        <f t="shared" si="0"/>
        <v>100</v>
      </c>
      <c r="T15" s="774" t="s">
        <v>17</v>
      </c>
      <c r="U15" s="775">
        <f t="shared" si="1"/>
        <v>100</v>
      </c>
      <c r="V15" s="774" t="s">
        <v>17</v>
      </c>
      <c r="W15" s="775">
        <f t="shared" si="2"/>
        <v>100</v>
      </c>
      <c r="X15" s="1813"/>
      <c r="Y15" s="3215"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3"/>
      <c r="Q16" s="1810"/>
      <c r="R16" s="774"/>
      <c r="S16" s="775"/>
      <c r="T16" s="774"/>
      <c r="U16" s="775"/>
      <c r="V16" s="774"/>
      <c r="W16" s="775"/>
      <c r="X16" s="1813"/>
      <c r="Y16" s="3216"/>
      <c r="Z16" s="1814"/>
      <c r="AA16" s="1811">
        <v>1</v>
      </c>
      <c r="AB16" s="1811">
        <v>1</v>
      </c>
      <c r="AC16" s="1811">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3"/>
      <c r="Q18" s="1810"/>
      <c r="R18" s="774"/>
      <c r="S18" s="775"/>
      <c r="T18" s="774"/>
      <c r="U18" s="775"/>
      <c r="V18" s="774"/>
      <c r="W18" s="775"/>
      <c r="X18" s="1813"/>
      <c r="Y18" s="3216"/>
      <c r="Z18" s="1814"/>
      <c r="AA18" s="1811">
        <v>1</v>
      </c>
      <c r="AB18" s="1811">
        <v>1</v>
      </c>
      <c r="AC18" s="1811">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3"/>
      <c r="Q20" s="1810"/>
      <c r="R20" s="774"/>
      <c r="S20" s="775"/>
      <c r="T20" s="774"/>
      <c r="U20" s="775"/>
      <c r="V20" s="774"/>
      <c r="W20" s="775"/>
      <c r="X20" s="1813"/>
      <c r="Y20" s="3216"/>
      <c r="Z20" s="1814"/>
      <c r="AA20" s="1811">
        <v>1</v>
      </c>
      <c r="AB20" s="1811">
        <v>1</v>
      </c>
      <c r="AC20" s="1811">
        <v>1</v>
      </c>
    </row>
    <row r="21" spans="1:29" ht="15">
      <c r="A21" s="428"/>
      <c r="B21" s="1384" t="s">
        <v>2651</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3"/>
      <c r="Q22" s="1810"/>
      <c r="R22" s="774"/>
      <c r="S22" s="775"/>
      <c r="T22" s="774"/>
      <c r="U22" s="775"/>
      <c r="V22" s="774"/>
      <c r="W22" s="775"/>
      <c r="X22" s="1813"/>
      <c r="Y22" s="3216"/>
      <c r="Z22" s="1814"/>
      <c r="AA22" s="1811">
        <v>1</v>
      </c>
      <c r="AB22" s="1811">
        <v>1</v>
      </c>
      <c r="AC22" s="1811">
        <v>1</v>
      </c>
    </row>
    <row r="23" spans="1:29" ht="15">
      <c r="A23" s="428"/>
      <c r="B23" s="451" t="s">
        <v>2098</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10" t="str">
        <f>B23</f>
        <v>自然及人文环境</v>
      </c>
      <c r="R23" s="774" t="s">
        <v>17</v>
      </c>
      <c r="S23" s="775">
        <f>F23</f>
        <v>100</v>
      </c>
      <c r="T23" s="774" t="s">
        <v>17</v>
      </c>
      <c r="U23" s="775">
        <f>H23</f>
        <v>100</v>
      </c>
      <c r="V23" s="774" t="s">
        <v>17</v>
      </c>
      <c r="W23" s="775">
        <f>J23</f>
        <v>100</v>
      </c>
      <c r="X23" s="1813"/>
      <c r="Y23" s="3216"/>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10" t="str">
        <f t="shared" ref="Q25:Q46" si="11">B25</f>
        <v>临街状况</v>
      </c>
      <c r="R25" s="774" t="s">
        <v>17</v>
      </c>
      <c r="S25" s="775">
        <f>F25</f>
        <v>100</v>
      </c>
      <c r="T25" s="774" t="s">
        <v>17</v>
      </c>
      <c r="U25" s="775">
        <f>H25</f>
        <v>100</v>
      </c>
      <c r="V25" s="774" t="s">
        <v>17</v>
      </c>
      <c r="W25" s="775">
        <f>J25</f>
        <v>100</v>
      </c>
      <c r="X25" s="1813"/>
      <c r="Y25" s="3216"/>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10" t="str">
        <f t="shared" si="11"/>
        <v>平面位置/可视性</v>
      </c>
      <c r="R26" s="774" t="s">
        <v>17</v>
      </c>
      <c r="S26" s="775">
        <f>F26</f>
        <v>100</v>
      </c>
      <c r="T26" s="774" t="s">
        <v>17</v>
      </c>
      <c r="U26" s="775">
        <f>H26</f>
        <v>100</v>
      </c>
      <c r="V26" s="774" t="s">
        <v>17</v>
      </c>
      <c r="W26" s="775">
        <f>J26</f>
        <v>100</v>
      </c>
      <c r="X26" s="1813"/>
      <c r="Y26" s="3216"/>
      <c r="Z26" s="1814" t="str">
        <f>Q26</f>
        <v>平面位置/可视性</v>
      </c>
      <c r="AA26" s="1811">
        <f t="shared" si="3"/>
        <v>1</v>
      </c>
      <c r="AB26" s="1811">
        <f t="shared" si="4"/>
        <v>1</v>
      </c>
      <c r="AC26" s="1811">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3"/>
      <c r="Q27" s="1795" t="str">
        <f t="shared" si="11"/>
        <v>人流量</v>
      </c>
      <c r="R27" s="770" t="s">
        <v>17</v>
      </c>
      <c r="S27" s="771">
        <f>F27</f>
        <v>100</v>
      </c>
      <c r="T27" s="770" t="s">
        <v>17</v>
      </c>
      <c r="U27" s="771">
        <f>H27</f>
        <v>100</v>
      </c>
      <c r="V27" s="770" t="s">
        <v>17</v>
      </c>
      <c r="W27" s="771">
        <f>J27</f>
        <v>100</v>
      </c>
      <c r="X27" s="772"/>
      <c r="Y27" s="3216"/>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10">
        <f t="shared" si="11"/>
        <v>111</v>
      </c>
      <c r="R29" s="774" t="s">
        <v>17</v>
      </c>
      <c r="S29" s="775">
        <f t="shared" si="12"/>
        <v>100</v>
      </c>
      <c r="T29" s="774" t="s">
        <v>17</v>
      </c>
      <c r="U29" s="775">
        <f t="shared" si="13"/>
        <v>100</v>
      </c>
      <c r="V29" s="774" t="s">
        <v>17</v>
      </c>
      <c r="W29" s="775">
        <f t="shared" si="14"/>
        <v>100</v>
      </c>
      <c r="X29" s="1813"/>
      <c r="Y29" s="321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1811">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7" t="s">
        <v>2561</v>
      </c>
      <c r="Q32" s="1810" t="str">
        <f t="shared" si="11"/>
        <v>商业类型</v>
      </c>
      <c r="R32" s="774" t="s">
        <v>17</v>
      </c>
      <c r="S32" s="775">
        <f t="shared" si="12"/>
        <v>100</v>
      </c>
      <c r="T32" s="774" t="s">
        <v>17</v>
      </c>
      <c r="U32" s="775">
        <f t="shared" si="13"/>
        <v>100</v>
      </c>
      <c r="V32" s="774" t="s">
        <v>17</v>
      </c>
      <c r="W32" s="775">
        <f t="shared" si="14"/>
        <v>100</v>
      </c>
      <c r="X32" s="1813"/>
      <c r="Y32" s="3220"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1" t="e">
        <f t="shared" si="3"/>
        <v>#N/A</v>
      </c>
      <c r="AB33" s="1811" t="e">
        <f t="shared" si="4"/>
        <v>#N/A</v>
      </c>
      <c r="AC33" s="1811"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8"/>
      <c r="Q34" s="1810" t="str">
        <f t="shared" si="11"/>
        <v>建筑结构</v>
      </c>
      <c r="R34" s="774" t="s">
        <v>17</v>
      </c>
      <c r="S34" s="775">
        <f t="shared" si="12"/>
        <v>100</v>
      </c>
      <c r="T34" s="774" t="s">
        <v>17</v>
      </c>
      <c r="U34" s="775">
        <f t="shared" si="13"/>
        <v>100</v>
      </c>
      <c r="V34" s="774" t="s">
        <v>17</v>
      </c>
      <c r="W34" s="775">
        <f t="shared" si="14"/>
        <v>100</v>
      </c>
      <c r="X34" s="1813"/>
      <c r="Y34" s="3220"/>
      <c r="Z34" s="1814" t="str">
        <f t="shared" si="15"/>
        <v>建筑结构</v>
      </c>
      <c r="AA34" s="1811">
        <f t="shared" si="3"/>
        <v>1</v>
      </c>
      <c r="AB34" s="1811">
        <f t="shared" si="4"/>
        <v>1</v>
      </c>
      <c r="AC34" s="1811">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8"/>
      <c r="Q35" s="1810" t="str">
        <f t="shared" si="11"/>
        <v>公共部分装修</v>
      </c>
      <c r="R35" s="774" t="s">
        <v>17</v>
      </c>
      <c r="S35" s="775">
        <f t="shared" si="12"/>
        <v>100</v>
      </c>
      <c r="T35" s="774" t="s">
        <v>17</v>
      </c>
      <c r="U35" s="775">
        <f t="shared" si="13"/>
        <v>100</v>
      </c>
      <c r="V35" s="774" t="s">
        <v>17</v>
      </c>
      <c r="W35" s="775">
        <f t="shared" si="14"/>
        <v>100</v>
      </c>
      <c r="X35" s="1813"/>
      <c r="Y35" s="3220"/>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8"/>
      <c r="Q36" s="1810" t="str">
        <f t="shared" si="11"/>
        <v>成新度</v>
      </c>
      <c r="R36" s="774" t="s">
        <v>17</v>
      </c>
      <c r="S36" s="775" t="e">
        <f t="shared" si="12"/>
        <v>#N/A</v>
      </c>
      <c r="T36" s="774" t="s">
        <v>17</v>
      </c>
      <c r="U36" s="775" t="e">
        <f t="shared" si="13"/>
        <v>#N/A</v>
      </c>
      <c r="V36" s="774" t="s">
        <v>17</v>
      </c>
      <c r="W36" s="775" t="e">
        <f t="shared" si="14"/>
        <v>#N/A</v>
      </c>
      <c r="X36" s="1813"/>
      <c r="Y36" s="3220"/>
      <c r="Z36" s="1814" t="str">
        <f t="shared" si="15"/>
        <v>成新度</v>
      </c>
      <c r="AA36" s="1811" t="e">
        <f t="shared" si="3"/>
        <v>#N/A</v>
      </c>
      <c r="AB36" s="1811" t="e">
        <f t="shared" si="4"/>
        <v>#N/A</v>
      </c>
      <c r="AC36" s="1811"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8"/>
      <c r="Q37" s="1795"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8" t="s">
        <v>2561</v>
      </c>
      <c r="Q38" s="1810" t="str">
        <f t="shared" si="11"/>
        <v>业态</v>
      </c>
      <c r="R38" s="774" t="s">
        <v>17</v>
      </c>
      <c r="S38" s="775">
        <f t="shared" si="12"/>
        <v>100</v>
      </c>
      <c r="T38" s="774" t="s">
        <v>17</v>
      </c>
      <c r="U38" s="775">
        <f t="shared" si="13"/>
        <v>100</v>
      </c>
      <c r="V38" s="774" t="s">
        <v>17</v>
      </c>
      <c r="W38" s="775">
        <f t="shared" si="14"/>
        <v>100</v>
      </c>
      <c r="X38" s="1813"/>
      <c r="Y38" s="3220" t="s">
        <v>2561</v>
      </c>
      <c r="Z38" s="1814" t="str">
        <f t="shared" si="15"/>
        <v>业态</v>
      </c>
      <c r="AA38" s="1811">
        <f t="shared" si="3"/>
        <v>1</v>
      </c>
      <c r="AB38" s="1811">
        <f t="shared" si="4"/>
        <v>1</v>
      </c>
      <c r="AC38" s="1811">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8"/>
      <c r="Q39" s="1810" t="str">
        <f t="shared" si="11"/>
        <v>层高</v>
      </c>
      <c r="R39" s="774" t="s">
        <v>17</v>
      </c>
      <c r="S39" s="775">
        <f t="shared" si="12"/>
        <v>100</v>
      </c>
      <c r="T39" s="774" t="s">
        <v>17</v>
      </c>
      <c r="U39" s="775">
        <f t="shared" si="13"/>
        <v>100</v>
      </c>
      <c r="V39" s="774" t="s">
        <v>17</v>
      </c>
      <c r="W39" s="775">
        <f t="shared" si="14"/>
        <v>100</v>
      </c>
      <c r="X39" s="1813"/>
      <c r="Y39" s="3220"/>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8"/>
      <c r="Q40" s="1810" t="str">
        <f t="shared" si="11"/>
        <v>单套建筑面积</v>
      </c>
      <c r="R40" s="774" t="s">
        <v>17</v>
      </c>
      <c r="S40" s="775">
        <f t="shared" si="12"/>
        <v>100</v>
      </c>
      <c r="T40" s="774" t="s">
        <v>17</v>
      </c>
      <c r="U40" s="775">
        <f t="shared" si="13"/>
        <v>100</v>
      </c>
      <c r="V40" s="774" t="s">
        <v>17</v>
      </c>
      <c r="W40" s="775">
        <f t="shared" si="14"/>
        <v>100</v>
      </c>
      <c r="X40" s="1813"/>
      <c r="Y40" s="3220"/>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1">
        <f t="shared" si="3"/>
        <v>1</v>
      </c>
      <c r="AB41" s="1811">
        <f t="shared" si="4"/>
        <v>1</v>
      </c>
      <c r="AC41" s="1811">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8"/>
      <c r="Q42" s="1810" t="str">
        <f t="shared" si="11"/>
        <v>内部装修</v>
      </c>
      <c r="R42" s="774" t="s">
        <v>17</v>
      </c>
      <c r="S42" s="775">
        <f t="shared" si="12"/>
        <v>100</v>
      </c>
      <c r="T42" s="774" t="s">
        <v>17</v>
      </c>
      <c r="U42" s="775">
        <f t="shared" si="13"/>
        <v>100</v>
      </c>
      <c r="V42" s="774" t="s">
        <v>17</v>
      </c>
      <c r="W42" s="775">
        <f t="shared" si="14"/>
        <v>100</v>
      </c>
      <c r="X42" s="1813"/>
      <c r="Y42" s="3220"/>
      <c r="Z42" s="1814" t="str">
        <f t="shared" si="15"/>
        <v>内部装修</v>
      </c>
      <c r="AA42" s="1811">
        <f t="shared" si="3"/>
        <v>1</v>
      </c>
      <c r="AB42" s="1811">
        <f t="shared" si="4"/>
        <v>1</v>
      </c>
      <c r="AC42" s="1811">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8"/>
      <c r="Q43" s="1810" t="str">
        <f t="shared" si="11"/>
        <v>内部装修维护情况</v>
      </c>
      <c r="R43" s="774" t="s">
        <v>17</v>
      </c>
      <c r="S43" s="775">
        <f t="shared" si="12"/>
        <v>100</v>
      </c>
      <c r="T43" s="774" t="s">
        <v>17</v>
      </c>
      <c r="U43" s="775">
        <f t="shared" si="13"/>
        <v>100</v>
      </c>
      <c r="V43" s="774" t="s">
        <v>17</v>
      </c>
      <c r="W43" s="775">
        <f t="shared" si="14"/>
        <v>100</v>
      </c>
      <c r="X43" s="1813"/>
      <c r="Y43" s="322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8"/>
      <c r="Q44" s="1795">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8"/>
      <c r="Q45" s="1810">
        <f t="shared" si="11"/>
        <v>111</v>
      </c>
      <c r="R45" s="774" t="s">
        <v>17</v>
      </c>
      <c r="S45" s="775">
        <f t="shared" si="12"/>
        <v>100</v>
      </c>
      <c r="T45" s="774" t="s">
        <v>17</v>
      </c>
      <c r="U45" s="775">
        <f t="shared" si="13"/>
        <v>100</v>
      </c>
      <c r="V45" s="774" t="s">
        <v>17</v>
      </c>
      <c r="W45" s="775">
        <f t="shared" si="14"/>
        <v>100</v>
      </c>
      <c r="X45" s="1813"/>
      <c r="Y45" s="3220"/>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F56" sqref="F5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2682</v>
      </c>
      <c r="C1" s="1620" t="s">
        <v>2526</v>
      </c>
      <c r="D1" s="1621" t="s">
        <v>27</v>
      </c>
      <c r="E1" s="1630"/>
      <c r="F1" s="2583" t="s">
        <v>3077</v>
      </c>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f>IF(C2="——",ROUND(C50*D3/10000,0),ROUND(C50*D3/10000,0)-D2)</f>
        <v>686</v>
      </c>
      <c r="C2" s="2585" t="s">
        <v>70</v>
      </c>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f>IF(C2="——",C50,ROUND(B2*10000/D3,0))</f>
        <v>6790</v>
      </c>
      <c r="C3" s="400" t="s">
        <v>2640</v>
      </c>
      <c r="D3" s="399">
        <f>IF(D1="",'数据-汇总表'!E3,SUMIF('数据-汇总表'!$C19:$C33,D1,'数据-汇总表'!$E19:$E33))</f>
        <v>1010.65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32" t="s">
        <v>2647</v>
      </c>
      <c r="Q4" s="3233"/>
      <c r="R4" s="3225" t="s">
        <v>2643</v>
      </c>
      <c r="S4" s="3226"/>
      <c r="T4" s="3225" t="s">
        <v>2644</v>
      </c>
      <c r="U4" s="3226"/>
      <c r="V4" s="3236" t="s">
        <v>2645</v>
      </c>
      <c r="W4" s="3236"/>
      <c r="X4" s="2669"/>
      <c r="Y4" s="3225" t="s">
        <v>2647</v>
      </c>
      <c r="Z4" s="3226"/>
      <c r="AA4" s="3224" t="s">
        <v>2643</v>
      </c>
      <c r="AB4" s="3224" t="s">
        <v>2644</v>
      </c>
      <c r="AC4" s="3229" t="s">
        <v>2645</v>
      </c>
    </row>
    <row r="5" spans="1:29" ht="15">
      <c r="A5" s="404"/>
      <c r="B5" s="405"/>
      <c r="C5" s="3189" t="s">
        <v>2538</v>
      </c>
      <c r="D5" s="3190"/>
      <c r="E5" s="3227" t="s">
        <v>3078</v>
      </c>
      <c r="F5" s="3188"/>
      <c r="G5" s="3228" t="s">
        <v>3083</v>
      </c>
      <c r="H5" s="3190"/>
      <c r="I5" s="3228" t="s">
        <v>3082</v>
      </c>
      <c r="J5" s="3190"/>
      <c r="K5" s="610"/>
      <c r="L5" s="1130"/>
      <c r="M5" s="1131"/>
      <c r="N5" s="1131"/>
      <c r="O5" s="1131"/>
      <c r="P5" s="3234"/>
      <c r="Q5" s="3203"/>
      <c r="R5" s="3185"/>
      <c r="S5" s="3186"/>
      <c r="T5" s="3185"/>
      <c r="U5" s="3186"/>
      <c r="V5" s="3208"/>
      <c r="W5" s="3208"/>
      <c r="X5" s="1813"/>
      <c r="Y5" s="3185"/>
      <c r="Z5" s="3186"/>
      <c r="AA5" s="3179"/>
      <c r="AB5" s="3179"/>
      <c r="AC5" s="3230"/>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35"/>
      <c r="Q6" s="3205"/>
      <c r="R6" s="3185"/>
      <c r="S6" s="3186"/>
      <c r="T6" s="3206"/>
      <c r="U6" s="3207"/>
      <c r="V6" s="3208"/>
      <c r="W6" s="3208"/>
      <c r="X6" s="1813"/>
      <c r="Y6" s="3206"/>
      <c r="Z6" s="3207"/>
      <c r="AA6" s="3180"/>
      <c r="AB6" s="3180"/>
      <c r="AC6" s="3231"/>
    </row>
    <row r="7" spans="1:29" s="117" customFormat="1" ht="15.75" thickBot="1">
      <c r="A7" s="408" t="s">
        <v>2544</v>
      </c>
      <c r="B7" s="409"/>
      <c r="C7" s="410">
        <f>'数据-取费表'!B2</f>
        <v>43693</v>
      </c>
      <c r="D7" s="411">
        <v>100</v>
      </c>
      <c r="E7" s="412">
        <f>C7</f>
        <v>43693</v>
      </c>
      <c r="F7" s="413">
        <f>SUMIF(59:59,YEAR(E7)&amp;"-"&amp;MONTH(E7),60:60)</f>
        <v>100</v>
      </c>
      <c r="G7" s="412">
        <f>E7</f>
        <v>43693</v>
      </c>
      <c r="H7" s="411">
        <f>SUMIF(59:59,YEAR(G7)&amp;"-"&amp;MONTH(G7),60:60)</f>
        <v>100</v>
      </c>
      <c r="I7" s="412">
        <f>G7</f>
        <v>43693</v>
      </c>
      <c r="J7" s="411">
        <f>SUMIF(59:59,YEAR(I7)&amp;"-"&amp;MONTH(I7),60:60)</f>
        <v>100</v>
      </c>
      <c r="K7" s="611"/>
      <c r="L7" s="1132"/>
      <c r="M7" s="1133"/>
      <c r="N7" s="1133"/>
      <c r="O7" s="1133"/>
      <c r="P7" s="3237" t="s">
        <v>2545</v>
      </c>
      <c r="Q7" s="3209"/>
      <c r="R7" s="770" t="s">
        <v>17</v>
      </c>
      <c r="S7" s="771">
        <f t="shared" ref="S7:S15" si="0">F7</f>
        <v>100</v>
      </c>
      <c r="T7" s="770" t="s">
        <v>17</v>
      </c>
      <c r="U7" s="771">
        <f t="shared" ref="U7:U15" si="1">H7</f>
        <v>100</v>
      </c>
      <c r="V7" s="770" t="s">
        <v>17</v>
      </c>
      <c r="W7" s="771">
        <f t="shared" ref="W7:W15" si="2">J7</f>
        <v>100</v>
      </c>
      <c r="X7" s="772"/>
      <c r="Y7" s="3181" t="s">
        <v>2545</v>
      </c>
      <c r="Z7" s="3182"/>
      <c r="AA7" s="773">
        <f>D7/F7</f>
        <v>1</v>
      </c>
      <c r="AB7" s="773">
        <f>D7/H7</f>
        <v>1</v>
      </c>
      <c r="AC7" s="2670">
        <f>D7/J7</f>
        <v>1</v>
      </c>
    </row>
    <row r="8" spans="1:29" s="117" customFormat="1" ht="15.75" thickBot="1">
      <c r="A8" s="408" t="s">
        <v>2546</v>
      </c>
      <c r="B8" s="409"/>
      <c r="C8" s="414" t="s">
        <v>2648</v>
      </c>
      <c r="D8" s="411">
        <v>100</v>
      </c>
      <c r="E8" s="414" t="s">
        <v>3079</v>
      </c>
      <c r="F8" s="413">
        <f>SUMIF(62:62,E8,63:63)-SUMIF(62:62,C8,63:63)+100</f>
        <v>100</v>
      </c>
      <c r="G8" s="414" t="s">
        <v>3079</v>
      </c>
      <c r="H8" s="411">
        <f>SUMIF(62:62,G8,63:63)-SUMIF(62:62,C8,63:63)+100</f>
        <v>100</v>
      </c>
      <c r="I8" s="414" t="s">
        <v>3079</v>
      </c>
      <c r="J8" s="411">
        <f>SUMIF(62:62,I8,63:63)-SUMIF(62:62,C8,63:63)+100</f>
        <v>100</v>
      </c>
      <c r="K8" s="611"/>
      <c r="L8" s="1132"/>
      <c r="M8" s="1133"/>
      <c r="N8" s="1133"/>
      <c r="O8" s="1133"/>
      <c r="P8" s="3237" t="s">
        <v>2548</v>
      </c>
      <c r="Q8" s="3182"/>
      <c r="R8" s="770" t="s">
        <v>17</v>
      </c>
      <c r="S8" s="771">
        <f t="shared" si="0"/>
        <v>100</v>
      </c>
      <c r="T8" s="770" t="s">
        <v>17</v>
      </c>
      <c r="U8" s="771">
        <f t="shared" si="1"/>
        <v>100</v>
      </c>
      <c r="V8" s="770" t="s">
        <v>17</v>
      </c>
      <c r="W8" s="771">
        <f t="shared" si="2"/>
        <v>100</v>
      </c>
      <c r="X8" s="772"/>
      <c r="Y8" s="3181" t="s">
        <v>2548</v>
      </c>
      <c r="Z8" s="3182"/>
      <c r="AA8" s="773">
        <f t="shared" ref="AA8:AA47" si="3">D8/F8</f>
        <v>1</v>
      </c>
      <c r="AB8" s="773">
        <f t="shared" ref="AB8:AB47" si="4">D8/H8</f>
        <v>1</v>
      </c>
      <c r="AC8" s="2670">
        <f t="shared" ref="AC8:AC47" si="5">D8/J8</f>
        <v>1</v>
      </c>
    </row>
    <row r="9" spans="1:29" s="117" customFormat="1">
      <c r="A9" s="415" t="s">
        <v>2549</v>
      </c>
      <c r="B9" s="71" t="s">
        <v>2550</v>
      </c>
      <c r="C9" s="2959" t="s">
        <v>3080</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2670">
        <f t="shared" si="5"/>
        <v>1</v>
      </c>
    </row>
    <row r="10" spans="1:29" s="427" customFormat="1" ht="27">
      <c r="A10" s="421"/>
      <c r="B10" s="422" t="s">
        <v>2553</v>
      </c>
      <c r="C10" s="423" t="s">
        <v>3081</v>
      </c>
      <c r="D10" s="136">
        <v>100</v>
      </c>
      <c r="E10" s="423" t="s">
        <v>3081</v>
      </c>
      <c r="F10" s="136">
        <f>SUMIF(66:66,E10,67:67)-SUMIF(66:66,C10,67:67)+100</f>
        <v>100</v>
      </c>
      <c r="G10" s="423" t="s">
        <v>3081</v>
      </c>
      <c r="H10" s="136">
        <f>SUMIF(66:66,G10,67:67)-SUMIF(66:66,C10,67:67)+100</f>
        <v>100</v>
      </c>
      <c r="I10" s="423" t="s">
        <v>3081</v>
      </c>
      <c r="J10" s="136">
        <f>SUMIF(66:66,I10,67:67)-SUMIF(66:66,C10,67:67)+100</f>
        <v>100</v>
      </c>
      <c r="K10" s="612">
        <v>1</v>
      </c>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0">
        <f t="shared" si="5"/>
        <v>1</v>
      </c>
    </row>
    <row r="11" spans="1:29" ht="15">
      <c r="A11" s="428"/>
      <c r="B11" s="422" t="s">
        <v>2554</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95"/>
      <c r="Q11" s="1795" t="str">
        <f t="shared" si="6"/>
        <v>容积率</v>
      </c>
      <c r="R11" s="770" t="s">
        <v>17</v>
      </c>
      <c r="S11" s="771">
        <f t="shared" si="0"/>
        <v>100</v>
      </c>
      <c r="T11" s="770" t="s">
        <v>17</v>
      </c>
      <c r="U11" s="771">
        <f t="shared" si="1"/>
        <v>100</v>
      </c>
      <c r="V11" s="770" t="s">
        <v>17</v>
      </c>
      <c r="W11" s="771">
        <f t="shared" si="2"/>
        <v>100</v>
      </c>
      <c r="X11" s="772"/>
      <c r="Y11" s="3028"/>
      <c r="Z11" s="55"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0">
        <f t="shared" si="5"/>
        <v>1</v>
      </c>
    </row>
    <row r="15" spans="1:29" ht="15">
      <c r="A15" s="440" t="s">
        <v>2555</v>
      </c>
      <c r="B15" s="629" t="s">
        <v>2683</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22" t="s">
        <v>2556</v>
      </c>
      <c r="Q15" s="1810" t="str">
        <f t="shared" si="6"/>
        <v>办公集聚程度</v>
      </c>
      <c r="R15" s="774" t="s">
        <v>17</v>
      </c>
      <c r="S15" s="775">
        <f t="shared" si="0"/>
        <v>100</v>
      </c>
      <c r="T15" s="774" t="s">
        <v>17</v>
      </c>
      <c r="U15" s="775">
        <f t="shared" si="1"/>
        <v>100</v>
      </c>
      <c r="V15" s="774" t="s">
        <v>17</v>
      </c>
      <c r="W15" s="775">
        <f t="shared" si="2"/>
        <v>100</v>
      </c>
      <c r="X15" s="1813"/>
      <c r="Y15" s="3215" t="s">
        <v>2556</v>
      </c>
      <c r="Z15" s="1814" t="str">
        <f t="shared" si="7"/>
        <v>办公集聚程度</v>
      </c>
      <c r="AA15" s="1811">
        <f t="shared" si="3"/>
        <v>1</v>
      </c>
      <c r="AB15" s="1811">
        <f t="shared" si="4"/>
        <v>1</v>
      </c>
      <c r="AC15" s="2673">
        <f t="shared" si="5"/>
        <v>1</v>
      </c>
    </row>
    <row r="16" spans="1:29" ht="15">
      <c r="A16" s="428"/>
      <c r="B16" s="630"/>
      <c r="C16" s="2610" t="s">
        <v>3067</v>
      </c>
      <c r="D16" s="448"/>
      <c r="E16" s="2610" t="s">
        <v>3067</v>
      </c>
      <c r="F16" s="448"/>
      <c r="G16" s="2610" t="s">
        <v>3067</v>
      </c>
      <c r="H16" s="450"/>
      <c r="I16" s="2610" t="s">
        <v>3067</v>
      </c>
      <c r="J16" s="448"/>
      <c r="K16" s="615"/>
      <c r="L16" s="1140"/>
      <c r="M16" s="1131"/>
      <c r="N16" s="1131"/>
      <c r="O16" s="1131"/>
      <c r="P16" s="3223"/>
      <c r="Q16" s="1810"/>
      <c r="R16" s="774"/>
      <c r="S16" s="775"/>
      <c r="T16" s="774"/>
      <c r="U16" s="775"/>
      <c r="V16" s="774"/>
      <c r="W16" s="775"/>
      <c r="X16" s="1813"/>
      <c r="Y16" s="3216"/>
      <c r="Z16" s="1814"/>
      <c r="AA16" s="1811">
        <v>1</v>
      </c>
      <c r="AB16" s="1811">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2673">
        <f t="shared" si="5"/>
        <v>1</v>
      </c>
    </row>
    <row r="18" spans="1:29" ht="15">
      <c r="A18" s="428"/>
      <c r="B18" s="632"/>
      <c r="C18" s="2675" t="s">
        <v>3067</v>
      </c>
      <c r="D18" s="450"/>
      <c r="E18" s="2610" t="s">
        <v>3067</v>
      </c>
      <c r="F18" s="450"/>
      <c r="G18" s="2610" t="s">
        <v>3067</v>
      </c>
      <c r="H18" s="448"/>
      <c r="I18" s="2610" t="s">
        <v>3067</v>
      </c>
      <c r="J18" s="448"/>
      <c r="K18" s="615"/>
      <c r="L18" s="1140"/>
      <c r="M18" s="1131"/>
      <c r="N18" s="1131"/>
      <c r="O18" s="1131"/>
      <c r="P18" s="3223"/>
      <c r="Q18" s="1810"/>
      <c r="R18" s="774"/>
      <c r="S18" s="775"/>
      <c r="T18" s="774"/>
      <c r="U18" s="775"/>
      <c r="V18" s="774"/>
      <c r="W18" s="775"/>
      <c r="X18" s="1813"/>
      <c r="Y18" s="3216"/>
      <c r="Z18" s="1814"/>
      <c r="AA18" s="1811">
        <v>1</v>
      </c>
      <c r="AB18" s="1811">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2673">
        <f t="shared" si="5"/>
        <v>1</v>
      </c>
    </row>
    <row r="20" spans="1:29" ht="15">
      <c r="A20" s="428"/>
      <c r="B20" s="632"/>
      <c r="C20" s="2675" t="s">
        <v>3067</v>
      </c>
      <c r="D20" s="448"/>
      <c r="E20" s="2610" t="s">
        <v>3067</v>
      </c>
      <c r="F20" s="448"/>
      <c r="G20" s="2610" t="s">
        <v>3067</v>
      </c>
      <c r="H20" s="448"/>
      <c r="I20" s="2610" t="s">
        <v>3067</v>
      </c>
      <c r="J20" s="448"/>
      <c r="K20" s="615"/>
      <c r="L20" s="1140"/>
      <c r="M20" s="1131"/>
      <c r="N20" s="1131"/>
      <c r="O20" s="1131"/>
      <c r="P20" s="3223"/>
      <c r="Q20" s="1810"/>
      <c r="R20" s="774"/>
      <c r="S20" s="775"/>
      <c r="T20" s="774"/>
      <c r="U20" s="775"/>
      <c r="V20" s="774"/>
      <c r="W20" s="775"/>
      <c r="X20" s="1813"/>
      <c r="Y20" s="3216"/>
      <c r="Z20" s="1814"/>
      <c r="AA20" s="1811">
        <v>1</v>
      </c>
      <c r="AB20" s="1811">
        <v>1</v>
      </c>
      <c r="AC20" s="2673">
        <v>1</v>
      </c>
    </row>
    <row r="21" spans="1:29" ht="15">
      <c r="A21" s="428"/>
      <c r="B21" s="633" t="s">
        <v>2685</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2673">
        <f t="shared" ref="AC21" si="10">D21/J21</f>
        <v>1</v>
      </c>
    </row>
    <row r="22" spans="1:29" ht="15">
      <c r="A22" s="428"/>
      <c r="B22" s="633"/>
      <c r="C22" s="2675" t="s">
        <v>3070</v>
      </c>
      <c r="D22" s="448"/>
      <c r="E22" s="2610" t="s">
        <v>3070</v>
      </c>
      <c r="F22" s="448"/>
      <c r="G22" s="2610" t="s">
        <v>3070</v>
      </c>
      <c r="H22" s="448"/>
      <c r="I22" s="2610" t="s">
        <v>3070</v>
      </c>
      <c r="J22" s="448"/>
      <c r="K22" s="1383"/>
      <c r="L22" s="1140"/>
      <c r="M22" s="1131"/>
      <c r="N22" s="1131"/>
      <c r="O22" s="1131"/>
      <c r="P22" s="3223"/>
      <c r="Q22" s="1810"/>
      <c r="R22" s="774"/>
      <c r="S22" s="775"/>
      <c r="T22" s="774"/>
      <c r="U22" s="775"/>
      <c r="V22" s="774"/>
      <c r="W22" s="775"/>
      <c r="X22" s="1813"/>
      <c r="Y22" s="3216"/>
      <c r="Z22" s="1814"/>
      <c r="AA22" s="1811">
        <v>1</v>
      </c>
      <c r="AB22" s="1811">
        <v>1</v>
      </c>
      <c r="AC22" s="2673">
        <v>1</v>
      </c>
    </row>
    <row r="23" spans="1:29" ht="15">
      <c r="A23" s="428"/>
      <c r="B23" s="631" t="s">
        <v>2686</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23"/>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2673">
        <f t="shared" si="5"/>
        <v>1</v>
      </c>
    </row>
    <row r="24" spans="1:29" ht="15">
      <c r="A24" s="428"/>
      <c r="B24" s="633"/>
      <c r="C24" s="2675" t="s">
        <v>3067</v>
      </c>
      <c r="D24" s="448"/>
      <c r="E24" s="2610" t="s">
        <v>3067</v>
      </c>
      <c r="F24" s="448"/>
      <c r="G24" s="2610" t="s">
        <v>3067</v>
      </c>
      <c r="H24" s="448"/>
      <c r="I24" s="2610" t="s">
        <v>3067</v>
      </c>
      <c r="J24" s="448"/>
      <c r="K24" s="615"/>
      <c r="L24" s="1140"/>
      <c r="M24" s="1131"/>
      <c r="N24" s="1131"/>
      <c r="O24" s="1131"/>
      <c r="P24" s="3223"/>
      <c r="Q24" s="1810"/>
      <c r="R24" s="774"/>
      <c r="S24" s="775"/>
      <c r="T24" s="774"/>
      <c r="U24" s="775"/>
      <c r="V24" s="774"/>
      <c r="W24" s="775"/>
      <c r="X24" s="1813"/>
      <c r="Y24" s="3216"/>
      <c r="Z24" s="1814"/>
      <c r="AA24" s="1811">
        <v>1</v>
      </c>
      <c r="AB24" s="1811">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3"/>
      <c r="Q25" s="1810" t="str">
        <f>B25</f>
        <v>毗邻道路的类型与等级</v>
      </c>
      <c r="R25" s="774" t="s">
        <v>17</v>
      </c>
      <c r="S25" s="775">
        <f>F25</f>
        <v>100</v>
      </c>
      <c r="T25" s="774" t="s">
        <v>17</v>
      </c>
      <c r="U25" s="775">
        <f>H25</f>
        <v>100</v>
      </c>
      <c r="V25" s="774" t="s">
        <v>17</v>
      </c>
      <c r="W25" s="775">
        <f>J25</f>
        <v>100</v>
      </c>
      <c r="X25" s="1813"/>
      <c r="Y25" s="3216"/>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3"/>
      <c r="Q26" s="1810"/>
      <c r="R26" s="774"/>
      <c r="S26" s="775"/>
      <c r="T26" s="774"/>
      <c r="U26" s="775"/>
      <c r="V26" s="774"/>
      <c r="W26" s="775"/>
      <c r="X26" s="1813"/>
      <c r="Y26" s="3216"/>
      <c r="Z26" s="1814"/>
      <c r="AA26" s="1811">
        <v>1</v>
      </c>
      <c r="AB26" s="1811">
        <v>1</v>
      </c>
      <c r="AC26" s="2673">
        <v>1</v>
      </c>
    </row>
    <row r="27" spans="1:29" ht="15">
      <c r="A27" s="428"/>
      <c r="B27" s="632" t="s">
        <v>2655</v>
      </c>
      <c r="C27" s="634" t="s">
        <v>3084</v>
      </c>
      <c r="D27" s="435">
        <v>100</v>
      </c>
      <c r="E27" s="634" t="s">
        <v>3088</v>
      </c>
      <c r="F27" s="435">
        <f>SUMIF(89:89,E27,90:90)-SUMIF(89:89,C27,90:90)+100</f>
        <v>94</v>
      </c>
      <c r="G27" s="634" t="s">
        <v>3088</v>
      </c>
      <c r="H27" s="435">
        <f>SUMIF(89:89,G27,90:90)-SUMIF(89:89,C27,90:90)+100</f>
        <v>94</v>
      </c>
      <c r="I27" s="634" t="s">
        <v>3086</v>
      </c>
      <c r="J27" s="435">
        <f>SUMIF(89:89,I27,90:90)-SUMIF(89:89,C27,90:90)+100</f>
        <v>97</v>
      </c>
      <c r="K27" s="612">
        <v>3</v>
      </c>
      <c r="L27" s="1140"/>
      <c r="M27" s="1131"/>
      <c r="N27" s="1131"/>
      <c r="O27" s="1131"/>
      <c r="P27" s="3223"/>
      <c r="Q27" s="1810" t="str">
        <f t="shared" ref="Q27:Q47" si="11">B27</f>
        <v>楼层</v>
      </c>
      <c r="R27" s="774" t="s">
        <v>17</v>
      </c>
      <c r="S27" s="775">
        <f>F27</f>
        <v>94</v>
      </c>
      <c r="T27" s="774" t="s">
        <v>17</v>
      </c>
      <c r="U27" s="775">
        <f>H27</f>
        <v>94</v>
      </c>
      <c r="V27" s="774" t="s">
        <v>17</v>
      </c>
      <c r="W27" s="775">
        <f>J27</f>
        <v>97</v>
      </c>
      <c r="X27" s="1813"/>
      <c r="Y27" s="3216"/>
      <c r="Z27" s="1814" t="str">
        <f>Q27</f>
        <v>楼层</v>
      </c>
      <c r="AA27" s="1811">
        <f t="shared" si="3"/>
        <v>1.0638297872340425</v>
      </c>
      <c r="AB27" s="1811">
        <f t="shared" si="4"/>
        <v>1.0638297872340425</v>
      </c>
      <c r="AC27" s="2673">
        <f t="shared" si="5"/>
        <v>1.0309278350515463</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3"/>
      <c r="Q28" s="1795" t="str">
        <f t="shared" si="11"/>
        <v>朝向</v>
      </c>
      <c r="R28" s="770" t="s">
        <v>17</v>
      </c>
      <c r="S28" s="771">
        <f>F28</f>
        <v>100</v>
      </c>
      <c r="T28" s="770" t="s">
        <v>17</v>
      </c>
      <c r="U28" s="771">
        <f>H28</f>
        <v>100</v>
      </c>
      <c r="V28" s="770" t="s">
        <v>17</v>
      </c>
      <c r="W28" s="771">
        <f>J28</f>
        <v>100</v>
      </c>
      <c r="X28" s="772"/>
      <c r="Y28" s="3216"/>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3"/>
      <c r="Q29" s="1810">
        <f t="shared" si="11"/>
        <v>111</v>
      </c>
      <c r="R29" s="774" t="s">
        <v>17</v>
      </c>
      <c r="S29" s="775">
        <f t="shared" ref="S29:S47" si="12">F29</f>
        <v>100</v>
      </c>
      <c r="T29" s="774" t="s">
        <v>17</v>
      </c>
      <c r="U29" s="775">
        <f t="shared" ref="U29:U47" si="13">H29</f>
        <v>100</v>
      </c>
      <c r="V29" s="774" t="s">
        <v>17</v>
      </c>
      <c r="W29" s="775">
        <f t="shared" ref="W29:W47" si="14">J29</f>
        <v>100</v>
      </c>
      <c r="X29" s="1813"/>
      <c r="Y29" s="3216"/>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3"/>
      <c r="Q32" s="1810">
        <f t="shared" si="11"/>
        <v>111</v>
      </c>
      <c r="R32" s="774" t="s">
        <v>17</v>
      </c>
      <c r="S32" s="775">
        <f t="shared" si="12"/>
        <v>100</v>
      </c>
      <c r="T32" s="774" t="s">
        <v>17</v>
      </c>
      <c r="U32" s="775">
        <f t="shared" si="13"/>
        <v>100</v>
      </c>
      <c r="V32" s="774" t="s">
        <v>17</v>
      </c>
      <c r="W32" s="775">
        <f t="shared" si="14"/>
        <v>100</v>
      </c>
      <c r="X32" s="1813"/>
      <c r="Y32" s="3216"/>
      <c r="Z32" s="1814">
        <f t="shared" si="15"/>
        <v>111</v>
      </c>
      <c r="AA32" s="1811">
        <f t="shared" si="3"/>
        <v>1</v>
      </c>
      <c r="AB32" s="1811">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17" t="s">
        <v>2561</v>
      </c>
      <c r="Q33" s="1810" t="str">
        <f t="shared" si="11"/>
        <v>建筑类型</v>
      </c>
      <c r="R33" s="774" t="s">
        <v>17</v>
      </c>
      <c r="S33" s="775">
        <f t="shared" si="12"/>
        <v>100</v>
      </c>
      <c r="T33" s="774" t="s">
        <v>17</v>
      </c>
      <c r="U33" s="775">
        <f t="shared" si="13"/>
        <v>100</v>
      </c>
      <c r="V33" s="774" t="s">
        <v>17</v>
      </c>
      <c r="W33" s="775">
        <f t="shared" si="14"/>
        <v>100</v>
      </c>
      <c r="X33" s="1813"/>
      <c r="Y33" s="3220" t="s">
        <v>2561</v>
      </c>
      <c r="Z33" s="1814" t="str">
        <f t="shared" si="15"/>
        <v>建筑类型</v>
      </c>
      <c r="AA33" s="1811">
        <f t="shared" si="3"/>
        <v>1</v>
      </c>
      <c r="AB33" s="1811">
        <f t="shared" si="4"/>
        <v>1</v>
      </c>
      <c r="AC33" s="2673">
        <f t="shared" si="5"/>
        <v>1</v>
      </c>
    </row>
    <row r="34" spans="1:29" s="471" customFormat="1" ht="15">
      <c r="A34" s="468"/>
      <c r="B34" s="422" t="s">
        <v>2562</v>
      </c>
      <c r="C34" s="469">
        <f>'数据-汇总表'!F19</f>
        <v>1010.65</v>
      </c>
      <c r="D34" s="136">
        <v>100</v>
      </c>
      <c r="E34" s="430">
        <v>90</v>
      </c>
      <c r="F34" s="425">
        <f>LOOKUP(E34,104:104,105:105)-LOOKUP(C34,104:104,105:105)+100</f>
        <v>106</v>
      </c>
      <c r="G34" s="429">
        <v>50</v>
      </c>
      <c r="H34" s="136">
        <f>LOOKUP(G34,104:104,105:105)-LOOKUP(C34,104:104,105:105)+100</f>
        <v>106</v>
      </c>
      <c r="I34" s="429">
        <v>50</v>
      </c>
      <c r="J34" s="136">
        <f>LOOKUP(I34,104:104,105:105)-LOOKUP(C34,104:104,105:105)+100</f>
        <v>106</v>
      </c>
      <c r="K34" s="613"/>
      <c r="L34" s="1138"/>
      <c r="M34" s="1141"/>
      <c r="N34" s="1141"/>
      <c r="O34" s="1141"/>
      <c r="P34" s="3218"/>
      <c r="Q34" s="776" t="str">
        <f t="shared" si="11"/>
        <v>项目建筑规模</v>
      </c>
      <c r="R34" s="777" t="s">
        <v>17</v>
      </c>
      <c r="S34" s="778">
        <f t="shared" si="12"/>
        <v>106</v>
      </c>
      <c r="T34" s="777" t="s">
        <v>17</v>
      </c>
      <c r="U34" s="778">
        <f t="shared" si="13"/>
        <v>106</v>
      </c>
      <c r="V34" s="777" t="s">
        <v>17</v>
      </c>
      <c r="W34" s="778">
        <f t="shared" si="14"/>
        <v>106</v>
      </c>
      <c r="X34" s="779"/>
      <c r="Y34" s="3220"/>
      <c r="Z34" s="780" t="str">
        <f t="shared" si="15"/>
        <v>项目建筑规模</v>
      </c>
      <c r="AA34" s="1811">
        <f t="shared" si="3"/>
        <v>0.94339622641509435</v>
      </c>
      <c r="AB34" s="1811">
        <f t="shared" si="4"/>
        <v>0.94339622641509435</v>
      </c>
      <c r="AC34" s="2673">
        <f t="shared" si="5"/>
        <v>0.94339622641509435</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1</v>
      </c>
      <c r="L35" s="1140"/>
      <c r="M35" s="1131"/>
      <c r="N35" s="1131"/>
      <c r="O35" s="1131"/>
      <c r="P35" s="3218"/>
      <c r="Q35" s="1810" t="str">
        <f t="shared" si="11"/>
        <v>建筑结构</v>
      </c>
      <c r="R35" s="774" t="s">
        <v>17</v>
      </c>
      <c r="S35" s="775">
        <f t="shared" si="12"/>
        <v>100</v>
      </c>
      <c r="T35" s="774" t="s">
        <v>17</v>
      </c>
      <c r="U35" s="775">
        <f t="shared" si="13"/>
        <v>100</v>
      </c>
      <c r="V35" s="774" t="s">
        <v>17</v>
      </c>
      <c r="W35" s="775">
        <f t="shared" si="14"/>
        <v>100</v>
      </c>
      <c r="X35" s="1813"/>
      <c r="Y35" s="3220"/>
      <c r="Z35" s="1814" t="str">
        <f t="shared" si="15"/>
        <v>建筑结构</v>
      </c>
      <c r="AA35" s="1811">
        <f t="shared" si="3"/>
        <v>1</v>
      </c>
      <c r="AB35" s="1811">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40"/>
      <c r="M36" s="1131"/>
      <c r="N36" s="1131"/>
      <c r="O36" s="1131"/>
      <c r="P36" s="3218"/>
      <c r="Q36" s="1810" t="str">
        <f t="shared" si="11"/>
        <v>公共部分装修</v>
      </c>
      <c r="R36" s="774" t="s">
        <v>17</v>
      </c>
      <c r="S36" s="775">
        <f t="shared" si="12"/>
        <v>100</v>
      </c>
      <c r="T36" s="774" t="s">
        <v>17</v>
      </c>
      <c r="U36" s="775">
        <f t="shared" si="13"/>
        <v>100</v>
      </c>
      <c r="V36" s="774" t="s">
        <v>17</v>
      </c>
      <c r="W36" s="775">
        <f t="shared" si="14"/>
        <v>100</v>
      </c>
      <c r="X36" s="1813"/>
      <c r="Y36" s="3220"/>
      <c r="Z36" s="1814" t="str">
        <f t="shared" si="15"/>
        <v>公共部分装修</v>
      </c>
      <c r="AA36" s="1811">
        <f t="shared" si="3"/>
        <v>1</v>
      </c>
      <c r="AB36" s="1811">
        <f t="shared" si="4"/>
        <v>1</v>
      </c>
      <c r="AC36" s="2673">
        <f t="shared" si="5"/>
        <v>1</v>
      </c>
    </row>
    <row r="37" spans="1:29" ht="15">
      <c r="A37" s="472"/>
      <c r="B37" s="422" t="s">
        <v>2658</v>
      </c>
      <c r="C37" s="474">
        <v>0.98</v>
      </c>
      <c r="D37" s="435">
        <v>100</v>
      </c>
      <c r="E37" s="474">
        <v>0.98</v>
      </c>
      <c r="F37" s="461">
        <f>LOOKUP(E37,111:111,112:112)-LOOKUP(C37,111:111,112:112)+100</f>
        <v>100</v>
      </c>
      <c r="G37" s="474">
        <v>0.98</v>
      </c>
      <c r="H37" s="461">
        <f>LOOKUP(G37,111:111,112:112)-LOOKUP(C37,111:111,112:112)+100</f>
        <v>100</v>
      </c>
      <c r="I37" s="474">
        <v>0.98</v>
      </c>
      <c r="J37" s="435">
        <f>LOOKUP(I37,111:111,112:112)-LOOKUP(C37,111:111,112:112)+100</f>
        <v>100</v>
      </c>
      <c r="K37" s="612">
        <v>1</v>
      </c>
      <c r="L37" s="1140"/>
      <c r="M37" s="1131"/>
      <c r="N37" s="1131"/>
      <c r="O37" s="1131"/>
      <c r="P37" s="3218"/>
      <c r="Q37" s="1810" t="str">
        <f t="shared" si="11"/>
        <v>成新度</v>
      </c>
      <c r="R37" s="774" t="s">
        <v>17</v>
      </c>
      <c r="S37" s="775">
        <f t="shared" si="12"/>
        <v>100</v>
      </c>
      <c r="T37" s="774" t="s">
        <v>17</v>
      </c>
      <c r="U37" s="775">
        <f t="shared" si="13"/>
        <v>100</v>
      </c>
      <c r="V37" s="774" t="s">
        <v>17</v>
      </c>
      <c r="W37" s="775">
        <f t="shared" si="14"/>
        <v>100</v>
      </c>
      <c r="X37" s="1813"/>
      <c r="Y37" s="3220"/>
      <c r="Z37" s="1814" t="str">
        <f t="shared" si="15"/>
        <v>成新度</v>
      </c>
      <c r="AA37" s="1811">
        <f t="shared" si="3"/>
        <v>1</v>
      </c>
      <c r="AB37" s="1811">
        <f t="shared" si="4"/>
        <v>1</v>
      </c>
      <c r="AC37" s="2673">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218"/>
      <c r="Q38" s="1795"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1</v>
      </c>
      <c r="L39" s="1140"/>
      <c r="M39" s="1131"/>
      <c r="N39" s="1131"/>
      <c r="O39" s="1131"/>
      <c r="P39" s="3218" t="s">
        <v>2561</v>
      </c>
      <c r="Q39" s="1810" t="str">
        <f t="shared" si="11"/>
        <v>物业管理</v>
      </c>
      <c r="R39" s="774" t="s">
        <v>17</v>
      </c>
      <c r="S39" s="775">
        <f t="shared" si="12"/>
        <v>100</v>
      </c>
      <c r="T39" s="774" t="s">
        <v>17</v>
      </c>
      <c r="U39" s="775">
        <f t="shared" si="13"/>
        <v>100</v>
      </c>
      <c r="V39" s="774" t="s">
        <v>17</v>
      </c>
      <c r="W39" s="775">
        <f t="shared" si="14"/>
        <v>100</v>
      </c>
      <c r="X39" s="1813"/>
      <c r="Y39" s="3220" t="s">
        <v>2561</v>
      </c>
      <c r="Z39" s="1814" t="str">
        <f t="shared" si="15"/>
        <v>物业管理</v>
      </c>
      <c r="AA39" s="1811">
        <f t="shared" si="3"/>
        <v>1</v>
      </c>
      <c r="AB39" s="1811">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18"/>
      <c r="Q40" s="1810" t="str">
        <f t="shared" si="11"/>
        <v>市政基础设施</v>
      </c>
      <c r="R40" s="774" t="s">
        <v>17</v>
      </c>
      <c r="S40" s="775">
        <f t="shared" si="12"/>
        <v>100</v>
      </c>
      <c r="T40" s="774" t="s">
        <v>17</v>
      </c>
      <c r="U40" s="775">
        <f t="shared" si="13"/>
        <v>100</v>
      </c>
      <c r="V40" s="774" t="s">
        <v>17</v>
      </c>
      <c r="W40" s="775">
        <f t="shared" si="14"/>
        <v>100</v>
      </c>
      <c r="X40" s="1813"/>
      <c r="Y40" s="3220"/>
      <c r="Z40" s="1814" t="str">
        <f t="shared" si="15"/>
        <v>市政基础设施</v>
      </c>
      <c r="AA40" s="1811">
        <f t="shared" si="3"/>
        <v>1</v>
      </c>
      <c r="AB40" s="1811">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8"/>
      <c r="Q41" s="1810" t="str">
        <f t="shared" si="11"/>
        <v>层高</v>
      </c>
      <c r="R41" s="774" t="s">
        <v>17</v>
      </c>
      <c r="S41" s="775">
        <f t="shared" si="12"/>
        <v>100</v>
      </c>
      <c r="T41" s="774" t="s">
        <v>17</v>
      </c>
      <c r="U41" s="775">
        <f t="shared" si="13"/>
        <v>100</v>
      </c>
      <c r="V41" s="774" t="s">
        <v>17</v>
      </c>
      <c r="W41" s="775">
        <f t="shared" si="14"/>
        <v>100</v>
      </c>
      <c r="X41" s="1813"/>
      <c r="Y41" s="3220"/>
      <c r="Z41" s="1814" t="str">
        <f t="shared" si="15"/>
        <v>层高</v>
      </c>
      <c r="AA41" s="1811">
        <f t="shared" si="3"/>
        <v>1</v>
      </c>
      <c r="AB41" s="1811">
        <f t="shared" si="4"/>
        <v>1</v>
      </c>
      <c r="AC41" s="2673">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1">
        <f t="shared" si="3"/>
        <v>1</v>
      </c>
      <c r="AB42" s="1811">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v>2</v>
      </c>
      <c r="L43" s="1140"/>
      <c r="M43" s="1131"/>
      <c r="N43" s="1131"/>
      <c r="O43" s="1131"/>
      <c r="P43" s="3218"/>
      <c r="Q43" s="1810" t="str">
        <f t="shared" si="11"/>
        <v>内部装修</v>
      </c>
      <c r="R43" s="774" t="s">
        <v>17</v>
      </c>
      <c r="S43" s="775">
        <f t="shared" si="12"/>
        <v>100</v>
      </c>
      <c r="T43" s="774" t="s">
        <v>17</v>
      </c>
      <c r="U43" s="775">
        <f t="shared" si="13"/>
        <v>100</v>
      </c>
      <c r="V43" s="774" t="s">
        <v>17</v>
      </c>
      <c r="W43" s="775">
        <f t="shared" si="14"/>
        <v>100</v>
      </c>
      <c r="X43" s="1813"/>
      <c r="Y43" s="3220"/>
      <c r="Z43" s="1814" t="str">
        <f t="shared" si="15"/>
        <v>内部装修</v>
      </c>
      <c r="AA43" s="1811">
        <f t="shared" si="3"/>
        <v>1</v>
      </c>
      <c r="AB43" s="1811">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v>1</v>
      </c>
      <c r="L44" s="1140"/>
      <c r="M44" s="1131"/>
      <c r="N44" s="1131"/>
      <c r="O44" s="1131"/>
      <c r="P44" s="3218"/>
      <c r="Q44" s="1810" t="str">
        <f t="shared" si="11"/>
        <v>内部装修维护情况</v>
      </c>
      <c r="R44" s="774" t="s">
        <v>17</v>
      </c>
      <c r="S44" s="775">
        <f t="shared" si="12"/>
        <v>100</v>
      </c>
      <c r="T44" s="774" t="s">
        <v>17</v>
      </c>
      <c r="U44" s="775">
        <f t="shared" si="13"/>
        <v>100</v>
      </c>
      <c r="V44" s="774" t="s">
        <v>17</v>
      </c>
      <c r="W44" s="775">
        <f t="shared" si="14"/>
        <v>100</v>
      </c>
      <c r="X44" s="1813"/>
      <c r="Y44" s="3220"/>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8"/>
      <c r="Q45" s="1795">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9"/>
      <c r="Q47" s="1810">
        <f t="shared" si="11"/>
        <v>111</v>
      </c>
      <c r="R47" s="774" t="s">
        <v>17</v>
      </c>
      <c r="S47" s="775">
        <f t="shared" si="12"/>
        <v>100</v>
      </c>
      <c r="T47" s="774" t="s">
        <v>17</v>
      </c>
      <c r="U47" s="775">
        <f t="shared" si="13"/>
        <v>100</v>
      </c>
      <c r="V47" s="774" t="s">
        <v>17</v>
      </c>
      <c r="W47" s="775">
        <f t="shared" si="14"/>
        <v>100</v>
      </c>
      <c r="X47" s="1813"/>
      <c r="Y47" s="3221"/>
      <c r="Z47" s="1814">
        <f t="shared" si="15"/>
        <v>111</v>
      </c>
      <c r="AA47" s="1811">
        <f t="shared" si="3"/>
        <v>1</v>
      </c>
      <c r="AB47" s="1811">
        <f t="shared" si="4"/>
        <v>1</v>
      </c>
      <c r="AC47" s="2673">
        <f t="shared" si="5"/>
        <v>1</v>
      </c>
    </row>
    <row r="48" spans="1:29" ht="15">
      <c r="A48" s="479" t="s">
        <v>2573</v>
      </c>
      <c r="B48" s="480"/>
      <c r="C48" s="1407" t="s">
        <v>1</v>
      </c>
      <c r="D48" s="1408"/>
      <c r="E48" s="1409">
        <v>6450</v>
      </c>
      <c r="F48" s="1410"/>
      <c r="G48" s="1411">
        <v>6890</v>
      </c>
      <c r="H48" s="1412"/>
      <c r="I48" s="1409">
        <v>7180</v>
      </c>
      <c r="J48" s="485"/>
      <c r="K48" s="783"/>
      <c r="L48" s="1143"/>
      <c r="M48" s="1131"/>
      <c r="N48" s="1131"/>
      <c r="O48" s="1131"/>
      <c r="P48" s="3195" t="str">
        <f>A48</f>
        <v>成交单价（元/平方米）</v>
      </c>
      <c r="Q48" s="3213"/>
      <c r="R48" s="3214">
        <f>E48</f>
        <v>6450</v>
      </c>
      <c r="S48" s="3214"/>
      <c r="T48" s="3214">
        <f>G48</f>
        <v>6890</v>
      </c>
      <c r="U48" s="3214"/>
      <c r="V48" s="3214">
        <f>I48</f>
        <v>7180</v>
      </c>
      <c r="W48" s="3214"/>
      <c r="X48" s="446"/>
      <c r="Y48" s="781"/>
      <c r="Z48" s="446"/>
      <c r="AA48" s="446"/>
      <c r="AB48" s="446"/>
      <c r="AC48" s="630"/>
    </row>
    <row r="49" spans="1:29" ht="15.75" thickBot="1">
      <c r="A49" s="486" t="s">
        <v>2665</v>
      </c>
      <c r="B49" s="487"/>
      <c r="C49" s="1413">
        <f>R50</f>
        <v>6790</v>
      </c>
      <c r="D49" s="1414"/>
      <c r="E49" s="1415">
        <f>R49</f>
        <v>6473</v>
      </c>
      <c r="F49" s="1415"/>
      <c r="G49" s="1413">
        <f>T49</f>
        <v>6915</v>
      </c>
      <c r="H49" s="1414"/>
      <c r="I49" s="1415">
        <f>V49</f>
        <v>6983</v>
      </c>
      <c r="J49" s="489"/>
      <c r="K49" s="784"/>
      <c r="L49" s="1143"/>
      <c r="M49" s="1131"/>
      <c r="N49" s="1131"/>
      <c r="O49" s="1131"/>
      <c r="P49" s="3195" t="str">
        <f>A49</f>
        <v>比较价值（元/平方米）</v>
      </c>
      <c r="Q49" s="3213"/>
      <c r="R49" s="3214">
        <f>IF(F1="售价",ROUND(PRODUCT(R48,AA7:AA47),0),ROUND(PRODUCT(R48,AA7:AA47),1))</f>
        <v>6473</v>
      </c>
      <c r="S49" s="3214"/>
      <c r="T49" s="3214">
        <f>IF(F1="售价",ROUND(PRODUCT(T48,AB7:AB47),0),ROUND(PRODUCT(T48,AB7:AB47),1))</f>
        <v>6915</v>
      </c>
      <c r="U49" s="3214"/>
      <c r="V49" s="3214">
        <f>IF(F1="售价",ROUND(PRODUCT(V48,AC7:AC47),0),ROUND(PRODUCT(V48,AC7:AC47),1))</f>
        <v>6983</v>
      </c>
      <c r="W49" s="3214"/>
      <c r="X49" s="446"/>
      <c r="Y49" s="446"/>
      <c r="Z49" s="446"/>
      <c r="AA49" s="446"/>
      <c r="AB49" s="446"/>
      <c r="AC49" s="630"/>
    </row>
    <row r="50" spans="1:29" ht="15.75" thickBot="1">
      <c r="A50" s="492" t="s">
        <v>2666</v>
      </c>
      <c r="B50" s="493"/>
      <c r="C50" s="1417">
        <f>R50</f>
        <v>6790</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6790</v>
      </c>
      <c r="S50" s="3240"/>
      <c r="T50" s="3240"/>
      <c r="U50" s="3240"/>
      <c r="V50" s="3240"/>
      <c r="W50" s="324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f>IF(E48&lt;E49,E49/E48-1,E48/E49-1)</f>
        <v>3.5658914728682323E-3</v>
      </c>
      <c r="F53" s="500" t="str">
        <f>IF(OR(E53&gt;=0.3,E53&lt;=-0.3),"超过30%","")</f>
        <v/>
      </c>
      <c r="G53" s="499">
        <f>IF(G48&lt;G49,G49/G48-1,G48/G49-1)</f>
        <v>3.6284470246734646E-3</v>
      </c>
      <c r="H53" s="500" t="str">
        <f>IF(OR(G53&gt;=0.3,G53&lt;=-0.3),"超过30%","")</f>
        <v/>
      </c>
      <c r="I53" s="499">
        <f>IF(I48&lt;I49,I49/I48-1,I48/I49-1)</f>
        <v>2.8211370471144193E-2</v>
      </c>
      <c r="J53" s="500" t="str">
        <f>IF(OR(I53&gt;=0.3,I53&lt;=-0.3),"超过30%","")</f>
        <v/>
      </c>
      <c r="K53" s="1105"/>
      <c r="L53" s="1106"/>
      <c r="M53" s="1144"/>
      <c r="N53" s="1144"/>
      <c r="O53" s="1144"/>
    </row>
    <row r="54" spans="1:29" ht="13.5" customHeight="1">
      <c r="A54" s="1144"/>
      <c r="B54" s="1144"/>
      <c r="C54" s="497" t="s">
        <v>2668</v>
      </c>
      <c r="D54" s="501"/>
      <c r="E54" s="499">
        <f>IF(E49&lt;G49,G49/E49-1,E49/G49-1)</f>
        <v>6.8283639734280754E-2</v>
      </c>
      <c r="F54" s="500" t="str">
        <f>IF(OR(E54&gt;=0.2,E54&lt;=-0.2),"超过20%","")</f>
        <v/>
      </c>
      <c r="G54" s="499">
        <f>IF(G49&lt;I49,I49/G49-1,G49/I49-1)</f>
        <v>9.8336948662327561E-3</v>
      </c>
      <c r="H54" s="500" t="str">
        <f>IF(OR(G54&gt;=0.2,G54&lt;=-0.2),"超过20%","")</f>
        <v/>
      </c>
      <c r="I54" s="499">
        <f>IF(I49&lt;E49,E49/I49-1,I49/E49-1)</f>
        <v>7.8788815078016272E-2</v>
      </c>
      <c r="J54" s="500" t="str">
        <f>IF(OR(I54&gt;=0.2,I54&lt;=-0.2),"超过20%","")</f>
        <v/>
      </c>
      <c r="K54" s="1105"/>
      <c r="L54" s="1106"/>
      <c r="M54" s="1144"/>
      <c r="N54" s="1144"/>
      <c r="O54" s="1144"/>
    </row>
    <row r="55" spans="1:29" s="502" customFormat="1" ht="13.5" customHeight="1">
      <c r="A55" s="1145"/>
      <c r="B55" s="1145"/>
      <c r="C55" s="497" t="s">
        <v>2669</v>
      </c>
      <c r="D55" s="501"/>
      <c r="E55" s="499">
        <f>IF(E48&lt;G48,G48/E48-1,E48/G48-1)</f>
        <v>6.8217054263565835E-2</v>
      </c>
      <c r="F55" s="500" t="str">
        <f>IF(OR(E55&gt;=0.3,E55&lt;=-0.3),"超过30%","")</f>
        <v/>
      </c>
      <c r="G55" s="499">
        <f>IF(G48&lt;I48,I48/G48-1,G48/I48-1)</f>
        <v>4.2089985486212012E-2</v>
      </c>
      <c r="H55" s="500" t="str">
        <f>IF(OR(G55&gt;=0.3,G55&lt;=-0.3),"超过30%","")</f>
        <v/>
      </c>
      <c r="I55" s="499">
        <f>IF(I48&lt;E48,E48/I48-1,I48/E48-1)</f>
        <v>0.11317829457364348</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2</v>
      </c>
      <c r="E69" s="549">
        <v>4</v>
      </c>
      <c r="F69" s="549">
        <v>6</v>
      </c>
      <c r="G69" s="549"/>
      <c r="H69" s="549"/>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2960" t="s">
        <v>3085</v>
      </c>
      <c r="D89" s="2960" t="s">
        <v>3087</v>
      </c>
      <c r="E89" s="2960" t="s">
        <v>3089</v>
      </c>
      <c r="F89" s="2634"/>
      <c r="G89" s="554"/>
      <c r="H89" s="554"/>
      <c r="I89" s="554"/>
      <c r="J89" s="554"/>
      <c r="K89" s="554"/>
      <c r="L89" s="554"/>
      <c r="M89" s="581"/>
      <c r="N89" s="1151"/>
      <c r="O89" s="1151"/>
      <c r="P89" s="2683"/>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c r="I104" s="595"/>
      <c r="J104" s="596"/>
      <c r="K104" s="596"/>
      <c r="L104" s="597"/>
      <c r="M104" s="598"/>
      <c r="N104" s="1154"/>
      <c r="O104" s="1154"/>
      <c r="P104" s="2684"/>
      <c r="Q104" s="559"/>
    </row>
    <row r="105" spans="1:17" s="471" customFormat="1" ht="15.75" thickBot="1">
      <c r="A105" s="553"/>
      <c r="B105" s="543"/>
      <c r="C105" s="560">
        <v>100</v>
      </c>
      <c r="D105" s="536">
        <v>98</v>
      </c>
      <c r="E105" s="536">
        <v>96</v>
      </c>
      <c r="F105" s="536">
        <v>94</v>
      </c>
      <c r="G105" s="536">
        <v>92</v>
      </c>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2612</v>
      </c>
      <c r="C108" s="2960" t="s">
        <v>3090</v>
      </c>
      <c r="D108" s="2960" t="s">
        <v>3091</v>
      </c>
      <c r="E108" s="2960" t="s">
        <v>3092</v>
      </c>
      <c r="F108" s="2961" t="s">
        <v>3093</v>
      </c>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2696</v>
      </c>
      <c r="C113" s="2960" t="s">
        <v>3094</v>
      </c>
      <c r="D113" s="2960" t="s">
        <v>3095</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2614</v>
      </c>
      <c r="C117" s="2960" t="s">
        <v>3096</v>
      </c>
      <c r="D117" s="2960" t="s">
        <v>3097</v>
      </c>
      <c r="E117" s="2960" t="s">
        <v>3098</v>
      </c>
      <c r="F117" s="2960" t="s">
        <v>3099</v>
      </c>
      <c r="G117" s="2960" t="s">
        <v>3100</v>
      </c>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2960" t="s">
        <v>3090</v>
      </c>
      <c r="D123" s="2960" t="s">
        <v>3091</v>
      </c>
      <c r="E123" s="2960" t="s">
        <v>3092</v>
      </c>
      <c r="F123" s="2961" t="s">
        <v>3093</v>
      </c>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2698</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1010.65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43693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2556</v>
      </c>
      <c r="Q15" s="1810" t="str">
        <f t="shared" si="6"/>
        <v>产业集聚程度</v>
      </c>
      <c r="R15" s="774" t="s">
        <v>17</v>
      </c>
      <c r="S15" s="775">
        <f t="shared" si="0"/>
        <v>100</v>
      </c>
      <c r="T15" s="774" t="s">
        <v>17</v>
      </c>
      <c r="U15" s="775">
        <f t="shared" si="1"/>
        <v>100</v>
      </c>
      <c r="V15" s="774" t="s">
        <v>17</v>
      </c>
      <c r="W15" s="775">
        <f t="shared" si="2"/>
        <v>100</v>
      </c>
      <c r="X15" s="1813"/>
      <c r="Y15" s="3215"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6"/>
      <c r="Q16" s="1810"/>
      <c r="R16" s="774"/>
      <c r="S16" s="775"/>
      <c r="T16" s="774"/>
      <c r="U16" s="775"/>
      <c r="V16" s="774"/>
      <c r="W16" s="775"/>
      <c r="X16" s="1813"/>
      <c r="Y16" s="3216"/>
      <c r="Z16" s="1814"/>
      <c r="AA16" s="1811">
        <v>1</v>
      </c>
      <c r="AB16" s="1811">
        <v>1</v>
      </c>
      <c r="AC16" s="1811">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6"/>
      <c r="Q18" s="1810"/>
      <c r="R18" s="774"/>
      <c r="S18" s="775"/>
      <c r="T18" s="774"/>
      <c r="U18" s="775"/>
      <c r="V18" s="774"/>
      <c r="W18" s="775"/>
      <c r="X18" s="1813"/>
      <c r="Y18" s="3216"/>
      <c r="Z18" s="1814"/>
      <c r="AA18" s="1811">
        <v>1</v>
      </c>
      <c r="AB18" s="1811">
        <v>1</v>
      </c>
      <c r="AC18" s="1811">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6"/>
      <c r="Q20" s="1810"/>
      <c r="R20" s="774"/>
      <c r="S20" s="775"/>
      <c r="T20" s="774"/>
      <c r="U20" s="775"/>
      <c r="V20" s="774"/>
      <c r="W20" s="775"/>
      <c r="X20" s="1813"/>
      <c r="Y20" s="3216"/>
      <c r="Z20" s="1814"/>
      <c r="AA20" s="1811">
        <v>1</v>
      </c>
      <c r="AB20" s="1811">
        <v>1</v>
      </c>
      <c r="AC20" s="1811">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16"/>
      <c r="Q22" s="1810"/>
      <c r="R22" s="774"/>
      <c r="S22" s="775"/>
      <c r="T22" s="774"/>
      <c r="U22" s="775"/>
      <c r="V22" s="774"/>
      <c r="W22" s="775"/>
      <c r="X22" s="1813"/>
      <c r="Y22" s="3216"/>
      <c r="Z22" s="1814"/>
      <c r="AA22" s="1811">
        <v>1</v>
      </c>
      <c r="AB22" s="1811">
        <v>1</v>
      </c>
      <c r="AC22" s="1811">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6"/>
      <c r="Q24" s="1810"/>
      <c r="R24" s="774"/>
      <c r="S24" s="775"/>
      <c r="T24" s="774"/>
      <c r="U24" s="775"/>
      <c r="V24" s="774"/>
      <c r="W24" s="775"/>
      <c r="X24" s="1813"/>
      <c r="Y24" s="321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10">
        <f>B25</f>
        <v>111</v>
      </c>
      <c r="R25" s="774" t="s">
        <v>17</v>
      </c>
      <c r="S25" s="775">
        <f>F25</f>
        <v>100</v>
      </c>
      <c r="T25" s="774" t="s">
        <v>17</v>
      </c>
      <c r="U25" s="775">
        <f>H25</f>
        <v>100</v>
      </c>
      <c r="V25" s="774" t="s">
        <v>17</v>
      </c>
      <c r="W25" s="775">
        <f>J25</f>
        <v>100</v>
      </c>
      <c r="X25" s="1813"/>
      <c r="Y25" s="321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10">
        <f t="shared" ref="Q26:Q40" si="11">B26</f>
        <v>111</v>
      </c>
      <c r="R26" s="774" t="s">
        <v>17</v>
      </c>
      <c r="S26" s="775">
        <f>F26</f>
        <v>100</v>
      </c>
      <c r="T26" s="774" t="s">
        <v>17</v>
      </c>
      <c r="U26" s="775">
        <f>H26</f>
        <v>100</v>
      </c>
      <c r="V26" s="774" t="s">
        <v>17</v>
      </c>
      <c r="W26" s="775">
        <f>J26</f>
        <v>100</v>
      </c>
      <c r="X26" s="1813"/>
      <c r="Y26" s="321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5">
        <f t="shared" si="11"/>
        <v>111</v>
      </c>
      <c r="R27" s="770" t="s">
        <v>17</v>
      </c>
      <c r="S27" s="771">
        <f>F27</f>
        <v>100</v>
      </c>
      <c r="T27" s="770" t="s">
        <v>17</v>
      </c>
      <c r="U27" s="771">
        <f>H27</f>
        <v>100</v>
      </c>
      <c r="V27" s="770" t="s">
        <v>17</v>
      </c>
      <c r="W27" s="771">
        <f>J27</f>
        <v>100</v>
      </c>
      <c r="X27" s="772"/>
      <c r="Y27" s="321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10">
        <f t="shared" si="11"/>
        <v>111</v>
      </c>
      <c r="R28" s="774" t="s">
        <v>17</v>
      </c>
      <c r="S28" s="775">
        <f t="shared" ref="S28:S40" si="12">F28</f>
        <v>100</v>
      </c>
      <c r="T28" s="774" t="s">
        <v>17</v>
      </c>
      <c r="U28" s="775">
        <f t="shared" ref="U28:U40" si="13">H28</f>
        <v>100</v>
      </c>
      <c r="V28" s="774" t="s">
        <v>17</v>
      </c>
      <c r="W28" s="775">
        <f t="shared" ref="W28:W40" si="14">J28</f>
        <v>100</v>
      </c>
      <c r="X28" s="1813"/>
      <c r="Y28" s="3216"/>
      <c r="Z28" s="1814">
        <f t="shared" ref="Z28:Z40" si="15">Q28</f>
        <v>111</v>
      </c>
      <c r="AA28" s="1811">
        <f t="shared" si="3"/>
        <v>1</v>
      </c>
      <c r="AB28" s="1811">
        <f t="shared" si="4"/>
        <v>1</v>
      </c>
      <c r="AC28" s="1811">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1" t="s">
        <v>2561</v>
      </c>
      <c r="Q29" s="1810" t="str">
        <f t="shared" si="11"/>
        <v>建筑类型</v>
      </c>
      <c r="R29" s="774" t="s">
        <v>17</v>
      </c>
      <c r="S29" s="775">
        <f t="shared" si="12"/>
        <v>100</v>
      </c>
      <c r="T29" s="774" t="s">
        <v>17</v>
      </c>
      <c r="U29" s="775">
        <f t="shared" si="13"/>
        <v>100</v>
      </c>
      <c r="V29" s="774" t="s">
        <v>17</v>
      </c>
      <c r="W29" s="775">
        <f t="shared" si="14"/>
        <v>100</v>
      </c>
      <c r="X29" s="1813"/>
      <c r="Y29" s="3220"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0"/>
      <c r="Q31" s="1810" t="str">
        <f t="shared" si="11"/>
        <v>建筑结构</v>
      </c>
      <c r="R31" s="774" t="s">
        <v>17</v>
      </c>
      <c r="S31" s="775">
        <f t="shared" si="12"/>
        <v>100</v>
      </c>
      <c r="T31" s="774" t="s">
        <v>17</v>
      </c>
      <c r="U31" s="775">
        <f t="shared" si="13"/>
        <v>100</v>
      </c>
      <c r="V31" s="774" t="s">
        <v>17</v>
      </c>
      <c r="W31" s="775">
        <f t="shared" si="14"/>
        <v>100</v>
      </c>
      <c r="X31" s="1813"/>
      <c r="Y31" s="3220"/>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0"/>
      <c r="Q32" s="1810" t="str">
        <f t="shared" si="11"/>
        <v>公共部分装修</v>
      </c>
      <c r="R32" s="774" t="s">
        <v>17</v>
      </c>
      <c r="S32" s="775">
        <f t="shared" si="12"/>
        <v>100</v>
      </c>
      <c r="T32" s="774" t="s">
        <v>17</v>
      </c>
      <c r="U32" s="775">
        <f t="shared" si="13"/>
        <v>100</v>
      </c>
      <c r="V32" s="774" t="s">
        <v>17</v>
      </c>
      <c r="W32" s="775">
        <f t="shared" si="14"/>
        <v>100</v>
      </c>
      <c r="X32" s="1813"/>
      <c r="Y32" s="3220"/>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0"/>
      <c r="Q33" s="1810" t="str">
        <f t="shared" si="11"/>
        <v>成新度</v>
      </c>
      <c r="R33" s="774" t="s">
        <v>17</v>
      </c>
      <c r="S33" s="775" t="e">
        <f t="shared" si="12"/>
        <v>#N/A</v>
      </c>
      <c r="T33" s="774" t="s">
        <v>17</v>
      </c>
      <c r="U33" s="775" t="e">
        <f t="shared" si="13"/>
        <v>#N/A</v>
      </c>
      <c r="V33" s="774" t="s">
        <v>17</v>
      </c>
      <c r="W33" s="775" t="e">
        <f t="shared" si="14"/>
        <v>#N/A</v>
      </c>
      <c r="X33" s="1813"/>
      <c r="Y33" s="3220"/>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0"/>
      <c r="Q34" s="1795"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0" t="s">
        <v>2561</v>
      </c>
      <c r="Q35" s="1810" t="str">
        <f t="shared" si="11"/>
        <v>市政基础设施</v>
      </c>
      <c r="R35" s="774" t="s">
        <v>17</v>
      </c>
      <c r="S35" s="775">
        <f t="shared" si="12"/>
        <v>100</v>
      </c>
      <c r="T35" s="774" t="s">
        <v>17</v>
      </c>
      <c r="U35" s="775">
        <f t="shared" si="13"/>
        <v>100</v>
      </c>
      <c r="V35" s="774" t="s">
        <v>17</v>
      </c>
      <c r="W35" s="775">
        <f t="shared" si="14"/>
        <v>100</v>
      </c>
      <c r="X35" s="1813"/>
      <c r="Y35" s="3220"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0"/>
      <c r="Q36" s="1810" t="str">
        <f t="shared" si="11"/>
        <v>内部装修</v>
      </c>
      <c r="R36" s="774" t="s">
        <v>17</v>
      </c>
      <c r="S36" s="775">
        <f t="shared" si="12"/>
        <v>100</v>
      </c>
      <c r="T36" s="774" t="s">
        <v>17</v>
      </c>
      <c r="U36" s="775">
        <f t="shared" si="13"/>
        <v>100</v>
      </c>
      <c r="V36" s="774" t="s">
        <v>17</v>
      </c>
      <c r="W36" s="775">
        <f t="shared" si="14"/>
        <v>100</v>
      </c>
      <c r="X36" s="1813"/>
      <c r="Y36" s="3220"/>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0"/>
      <c r="Q37" s="1810" t="str">
        <f t="shared" si="11"/>
        <v>内部装修状况</v>
      </c>
      <c r="R37" s="774" t="s">
        <v>17</v>
      </c>
      <c r="S37" s="775">
        <f t="shared" si="12"/>
        <v>100</v>
      </c>
      <c r="T37" s="774" t="s">
        <v>17</v>
      </c>
      <c r="U37" s="775">
        <f t="shared" si="13"/>
        <v>100</v>
      </c>
      <c r="V37" s="774" t="s">
        <v>17</v>
      </c>
      <c r="W37" s="775">
        <f t="shared" si="14"/>
        <v>100</v>
      </c>
      <c r="X37" s="1813"/>
      <c r="Y37" s="322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0"/>
      <c r="Q39" s="1810">
        <f t="shared" si="11"/>
        <v>111</v>
      </c>
      <c r="R39" s="774" t="s">
        <v>17</v>
      </c>
      <c r="S39" s="775">
        <f t="shared" si="12"/>
        <v>100</v>
      </c>
      <c r="T39" s="774" t="s">
        <v>17</v>
      </c>
      <c r="U39" s="775">
        <f t="shared" si="13"/>
        <v>100</v>
      </c>
      <c r="V39" s="774" t="s">
        <v>17</v>
      </c>
      <c r="W39" s="775">
        <f t="shared" si="14"/>
        <v>100</v>
      </c>
      <c r="X39" s="1813"/>
      <c r="Y39" s="3220"/>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10">
        <f t="shared" si="11"/>
        <v>111</v>
      </c>
      <c r="R40" s="774" t="s">
        <v>17</v>
      </c>
      <c r="S40" s="775">
        <f t="shared" si="12"/>
        <v>100</v>
      </c>
      <c r="T40" s="774" t="s">
        <v>17</v>
      </c>
      <c r="U40" s="775">
        <f t="shared" si="13"/>
        <v>100</v>
      </c>
      <c r="V40" s="774" t="s">
        <v>17</v>
      </c>
      <c r="W40" s="775">
        <f t="shared" si="14"/>
        <v>100</v>
      </c>
      <c r="X40" s="1813"/>
      <c r="Y40" s="3221"/>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宿州市东城建设投资有限责任公司：</v>
      </c>
    </row>
    <row r="4" spans="1:1" ht="36">
      <c r="A4" s="1947" t="str">
        <f>"受贵公司委托，我公司对"&amp;项目基本情况!S1&amp;"进行了预评估。"</f>
        <v>受贵公司委托，我公司对安徽省宿州市卞河西路南侧林泉苑A#楼0300室房地产抵押价值进行了预评估。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宿州市卞河西路南侧林泉苑A#楼0300室房地产，为宿州市东城建设投资有限责任公司所有。根据《国有土地使用证》[]，估价对象（分摊）出让国有建设用地使用权面积为0平方米，建筑面积为1010.65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宿州市卞河西路南侧林泉苑A#楼0300室房地产,属宿州市东城建设投资有限责任公司开发建设的，该项目尚在开发建设中。根据《国有土地使用证》[]，估价对象（分摊）出让国有建设用地使用权面积为0平方米，规划建筑面积为1010.65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2019年8月16日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16日，估价对象规划用途为办公，土地取得方式为出让，出让国有建设用地使用权剩余土地使用年限为办公39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本次评估采用的主估价方法为收益法和比较法。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3"/>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43693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2551</v>
      </c>
      <c r="Q9" s="1795" t="str">
        <f t="shared" ref="Q9:Q14" si="6">B9</f>
        <v>用途</v>
      </c>
      <c r="R9" s="770" t="s">
        <v>17</v>
      </c>
      <c r="S9" s="771">
        <f t="shared" si="0"/>
        <v>100</v>
      </c>
      <c r="T9" s="770" t="s">
        <v>17</v>
      </c>
      <c r="U9" s="771">
        <f t="shared" si="1"/>
        <v>100</v>
      </c>
      <c r="V9" s="770" t="s">
        <v>17</v>
      </c>
      <c r="W9" s="771">
        <f t="shared" si="2"/>
        <v>100</v>
      </c>
      <c r="X9" s="772"/>
      <c r="Y9" s="302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2556</v>
      </c>
      <c r="Q14" s="1810" t="str">
        <f t="shared" si="6"/>
        <v>交通便捷度</v>
      </c>
      <c r="R14" s="774" t="s">
        <v>17</v>
      </c>
      <c r="S14" s="775">
        <f t="shared" si="0"/>
        <v>100</v>
      </c>
      <c r="T14" s="774" t="s">
        <v>17</v>
      </c>
      <c r="U14" s="775">
        <f t="shared" si="1"/>
        <v>100</v>
      </c>
      <c r="V14" s="774" t="s">
        <v>17</v>
      </c>
      <c r="W14" s="775">
        <f t="shared" si="2"/>
        <v>100</v>
      </c>
      <c r="X14" s="1813"/>
      <c r="Y14" s="3215"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6"/>
      <c r="Q15" s="1810"/>
      <c r="R15" s="774"/>
      <c r="S15" s="775"/>
      <c r="T15" s="774"/>
      <c r="U15" s="775"/>
      <c r="V15" s="774"/>
      <c r="W15" s="775"/>
      <c r="X15" s="1813"/>
      <c r="Y15" s="3216"/>
      <c r="Z15" s="1814"/>
      <c r="AA15" s="1811">
        <v>1</v>
      </c>
      <c r="AB15" s="1811">
        <v>1</v>
      </c>
      <c r="AC15" s="1811">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16"/>
      <c r="Q17" s="1810"/>
      <c r="R17" s="774"/>
      <c r="S17" s="775"/>
      <c r="T17" s="774"/>
      <c r="U17" s="775"/>
      <c r="V17" s="774"/>
      <c r="W17" s="775"/>
      <c r="X17" s="1813"/>
      <c r="Y17" s="3216"/>
      <c r="Z17" s="1814"/>
      <c r="AA17" s="1811">
        <v>1</v>
      </c>
      <c r="AB17" s="1811">
        <v>1</v>
      </c>
      <c r="AC17" s="1811">
        <v>1</v>
      </c>
    </row>
    <row r="18" spans="1:29" ht="15">
      <c r="A18" s="404"/>
      <c r="B18" s="633" t="s">
        <v>2685</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16"/>
      <c r="Q19" s="1810"/>
      <c r="R19" s="774"/>
      <c r="S19" s="775"/>
      <c r="T19" s="774"/>
      <c r="U19" s="775"/>
      <c r="V19" s="774"/>
      <c r="W19" s="775"/>
      <c r="X19" s="1813"/>
      <c r="Y19" s="3216"/>
      <c r="Z19" s="1814"/>
      <c r="AA19" s="1811">
        <v>1</v>
      </c>
      <c r="AB19" s="1811">
        <v>1</v>
      </c>
      <c r="AC19" s="1811">
        <v>1</v>
      </c>
    </row>
    <row r="20" spans="1:29" ht="15">
      <c r="A20" s="404"/>
      <c r="B20" s="631" t="s">
        <v>2706</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6"/>
      <c r="Q21" s="1810"/>
      <c r="R21" s="774"/>
      <c r="S21" s="775"/>
      <c r="T21" s="774"/>
      <c r="U21" s="775"/>
      <c r="V21" s="774"/>
      <c r="W21" s="775"/>
      <c r="X21" s="1813"/>
      <c r="Y21" s="3216"/>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10">
        <f t="shared" ref="Q24:Q36"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1"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0"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0"/>
      <c r="Q28" s="1810" t="str">
        <f t="shared" si="11"/>
        <v>公共部分装修</v>
      </c>
      <c r="R28" s="774" t="s">
        <v>17</v>
      </c>
      <c r="S28" s="775">
        <f t="shared" si="12"/>
        <v>100</v>
      </c>
      <c r="T28" s="774" t="s">
        <v>17</v>
      </c>
      <c r="U28" s="775">
        <f t="shared" si="13"/>
        <v>100</v>
      </c>
      <c r="V28" s="774" t="s">
        <v>17</v>
      </c>
      <c r="W28" s="775">
        <f t="shared" si="14"/>
        <v>100</v>
      </c>
      <c r="X28" s="1813"/>
      <c r="Y28" s="3220"/>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0"/>
      <c r="Q29" s="1810" t="str">
        <f t="shared" si="11"/>
        <v>成新率</v>
      </c>
      <c r="R29" s="774" t="s">
        <v>17</v>
      </c>
      <c r="S29" s="775" t="e">
        <f t="shared" si="12"/>
        <v>#N/A</v>
      </c>
      <c r="T29" s="774" t="s">
        <v>17</v>
      </c>
      <c r="U29" s="775" t="e">
        <f t="shared" si="13"/>
        <v>#N/A</v>
      </c>
      <c r="V29" s="774" t="s">
        <v>17</v>
      </c>
      <c r="W29" s="775" t="e">
        <f t="shared" si="14"/>
        <v>#N/A</v>
      </c>
      <c r="X29" s="1813"/>
      <c r="Y29" s="3220"/>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0"/>
      <c r="Q30" s="1810" t="str">
        <f t="shared" si="11"/>
        <v>物业等级</v>
      </c>
      <c r="R30" s="774" t="s">
        <v>17</v>
      </c>
      <c r="S30" s="775">
        <f t="shared" si="12"/>
        <v>100</v>
      </c>
      <c r="T30" s="774" t="s">
        <v>17</v>
      </c>
      <c r="U30" s="775">
        <f t="shared" si="13"/>
        <v>100</v>
      </c>
      <c r="V30" s="774" t="s">
        <v>17</v>
      </c>
      <c r="W30" s="775">
        <f t="shared" si="14"/>
        <v>100</v>
      </c>
      <c r="X30" s="1813"/>
      <c r="Y30" s="3220"/>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0"/>
      <c r="Q31" s="1795"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0" t="s">
        <v>2561</v>
      </c>
      <c r="Q32" s="1810" t="str">
        <f t="shared" si="11"/>
        <v>车位类型</v>
      </c>
      <c r="R32" s="774" t="s">
        <v>17</v>
      </c>
      <c r="S32" s="775">
        <f t="shared" si="12"/>
        <v>100</v>
      </c>
      <c r="T32" s="774" t="s">
        <v>17</v>
      </c>
      <c r="U32" s="775">
        <f t="shared" si="13"/>
        <v>100</v>
      </c>
      <c r="V32" s="774" t="s">
        <v>17</v>
      </c>
      <c r="W32" s="775">
        <f t="shared" si="14"/>
        <v>100</v>
      </c>
      <c r="X32" s="1813"/>
      <c r="Y32" s="3220"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0"/>
      <c r="Q33" s="1810" t="str">
        <f t="shared" si="11"/>
        <v>是否直接入户</v>
      </c>
      <c r="R33" s="774" t="s">
        <v>17</v>
      </c>
      <c r="S33" s="775">
        <f t="shared" si="12"/>
        <v>100</v>
      </c>
      <c r="T33" s="774" t="s">
        <v>17</v>
      </c>
      <c r="U33" s="775">
        <f t="shared" si="13"/>
        <v>100</v>
      </c>
      <c r="V33" s="774" t="s">
        <v>17</v>
      </c>
      <c r="W33" s="775">
        <f t="shared" si="14"/>
        <v>100</v>
      </c>
      <c r="X33" s="1813"/>
      <c r="Y33" s="322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0"/>
      <c r="Q36" s="1810">
        <f t="shared" si="11"/>
        <v>111</v>
      </c>
      <c r="R36" s="774" t="s">
        <v>17</v>
      </c>
      <c r="S36" s="775">
        <f t="shared" si="12"/>
        <v>100</v>
      </c>
      <c r="T36" s="774" t="s">
        <v>17</v>
      </c>
      <c r="U36" s="775">
        <f t="shared" si="13"/>
        <v>100</v>
      </c>
      <c r="V36" s="774" t="s">
        <v>17</v>
      </c>
      <c r="W36" s="775">
        <f t="shared" si="14"/>
        <v>100</v>
      </c>
      <c r="X36" s="1813"/>
      <c r="Y36" s="3220"/>
      <c r="Z36" s="1814">
        <f t="shared" si="15"/>
        <v>111</v>
      </c>
      <c r="AA36" s="1811">
        <f t="shared" si="3"/>
        <v>1</v>
      </c>
      <c r="AB36" s="1811">
        <f t="shared" si="4"/>
        <v>1</v>
      </c>
      <c r="AC36" s="1811">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43693</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2551</v>
      </c>
      <c r="Q9" s="1795" t="str">
        <f t="shared" ref="Q9:Q14" si="6">B9</f>
        <v>用途</v>
      </c>
      <c r="R9" s="770" t="s">
        <v>17</v>
      </c>
      <c r="S9" s="771">
        <f t="shared" si="0"/>
        <v>100</v>
      </c>
      <c r="T9" s="770" t="s">
        <v>17</v>
      </c>
      <c r="U9" s="771">
        <f t="shared" si="1"/>
        <v>100</v>
      </c>
      <c r="V9" s="770" t="s">
        <v>17</v>
      </c>
      <c r="W9" s="771">
        <f t="shared" si="2"/>
        <v>100</v>
      </c>
      <c r="X9" s="772"/>
      <c r="Y9" s="302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2556</v>
      </c>
      <c r="Q14" s="1810" t="str">
        <f t="shared" si="6"/>
        <v>交通便捷度</v>
      </c>
      <c r="R14" s="774" t="s">
        <v>17</v>
      </c>
      <c r="S14" s="775">
        <f t="shared" si="0"/>
        <v>100</v>
      </c>
      <c r="T14" s="774" t="s">
        <v>17</v>
      </c>
      <c r="U14" s="775">
        <f t="shared" si="1"/>
        <v>100</v>
      </c>
      <c r="V14" s="774" t="s">
        <v>17</v>
      </c>
      <c r="W14" s="775">
        <f t="shared" si="2"/>
        <v>100</v>
      </c>
      <c r="X14" s="1813"/>
      <c r="Y14" s="3215"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6"/>
      <c r="Q15" s="1810"/>
      <c r="R15" s="774"/>
      <c r="S15" s="775"/>
      <c r="T15" s="774"/>
      <c r="U15" s="775"/>
      <c r="V15" s="774"/>
      <c r="W15" s="775"/>
      <c r="X15" s="1813"/>
      <c r="Y15" s="3216"/>
      <c r="Z15" s="1814"/>
      <c r="AA15" s="1811">
        <v>1</v>
      </c>
      <c r="AB15" s="1811">
        <v>1</v>
      </c>
      <c r="AC15" s="1811">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6"/>
      <c r="Q17" s="1810"/>
      <c r="R17" s="774"/>
      <c r="S17" s="775"/>
      <c r="T17" s="774"/>
      <c r="U17" s="775"/>
      <c r="V17" s="774"/>
      <c r="W17" s="775"/>
      <c r="X17" s="1813"/>
      <c r="Y17" s="3216"/>
      <c r="Z17" s="1814"/>
      <c r="AA17" s="1811">
        <v>1</v>
      </c>
      <c r="AB17" s="1811">
        <v>1</v>
      </c>
      <c r="AC17" s="1811">
        <v>1</v>
      </c>
    </row>
    <row r="18" spans="1:29" ht="15">
      <c r="A18" s="428"/>
      <c r="B18" s="1384" t="s">
        <v>2685</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16"/>
      <c r="Q19" s="1810"/>
      <c r="R19" s="774"/>
      <c r="S19" s="775"/>
      <c r="T19" s="774"/>
      <c r="U19" s="775"/>
      <c r="V19" s="774"/>
      <c r="W19" s="775"/>
      <c r="X19" s="1813"/>
      <c r="Y19" s="3216"/>
      <c r="Z19" s="1814"/>
      <c r="AA19" s="1811">
        <v>1</v>
      </c>
      <c r="AB19" s="1811">
        <v>1</v>
      </c>
      <c r="AC19" s="1811">
        <v>1</v>
      </c>
    </row>
    <row r="20" spans="1:29" ht="15">
      <c r="A20" s="428"/>
      <c r="B20" s="451" t="s">
        <v>2706</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6"/>
      <c r="Q21" s="1810"/>
      <c r="R21" s="774"/>
      <c r="S21" s="775"/>
      <c r="T21" s="774"/>
      <c r="U21" s="775"/>
      <c r="V21" s="774"/>
      <c r="W21" s="775"/>
      <c r="X21" s="1813"/>
      <c r="Y21" s="3216"/>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10">
        <f t="shared" ref="Q24:Q34"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1"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0"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0"/>
      <c r="Q28" s="1810" t="str">
        <f t="shared" si="11"/>
        <v>物业等级</v>
      </c>
      <c r="R28" s="774" t="s">
        <v>17</v>
      </c>
      <c r="S28" s="775">
        <f t="shared" si="12"/>
        <v>100</v>
      </c>
      <c r="T28" s="774" t="s">
        <v>17</v>
      </c>
      <c r="U28" s="775">
        <f t="shared" si="13"/>
        <v>100</v>
      </c>
      <c r="V28" s="774" t="s">
        <v>17</v>
      </c>
      <c r="W28" s="775">
        <f t="shared" si="14"/>
        <v>100</v>
      </c>
      <c r="X28" s="1813"/>
      <c r="Y28" s="3220"/>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0"/>
      <c r="Q29" s="1810" t="str">
        <f t="shared" si="11"/>
        <v>有无电梯</v>
      </c>
      <c r="R29" s="774" t="s">
        <v>17</v>
      </c>
      <c r="S29" s="775">
        <f t="shared" si="12"/>
        <v>100</v>
      </c>
      <c r="T29" s="774" t="s">
        <v>17</v>
      </c>
      <c r="U29" s="775">
        <f t="shared" si="13"/>
        <v>100</v>
      </c>
      <c r="V29" s="774" t="s">
        <v>17</v>
      </c>
      <c r="W29" s="775">
        <f t="shared" si="14"/>
        <v>100</v>
      </c>
      <c r="X29" s="1813"/>
      <c r="Y29" s="3220"/>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0"/>
      <c r="Q30" s="1810" t="str">
        <f t="shared" si="11"/>
        <v>建筑面积</v>
      </c>
      <c r="R30" s="774" t="s">
        <v>17</v>
      </c>
      <c r="S30" s="775" t="e">
        <f t="shared" si="12"/>
        <v>#N/A</v>
      </c>
      <c r="T30" s="774" t="s">
        <v>17</v>
      </c>
      <c r="U30" s="775" t="e">
        <f t="shared" si="13"/>
        <v>#N/A</v>
      </c>
      <c r="V30" s="774" t="s">
        <v>17</v>
      </c>
      <c r="W30" s="775" t="e">
        <f t="shared" si="14"/>
        <v>#N/A</v>
      </c>
      <c r="X30" s="1813"/>
      <c r="Y30" s="3220"/>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0"/>
      <c r="Q31" s="1795"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0" t="s">
        <v>2561</v>
      </c>
      <c r="Q32" s="1810">
        <f t="shared" si="11"/>
        <v>111</v>
      </c>
      <c r="R32" s="774" t="s">
        <v>17</v>
      </c>
      <c r="S32" s="775">
        <f t="shared" si="12"/>
        <v>100</v>
      </c>
      <c r="T32" s="774" t="s">
        <v>17</v>
      </c>
      <c r="U32" s="775">
        <f t="shared" si="13"/>
        <v>100</v>
      </c>
      <c r="V32" s="774" t="s">
        <v>17</v>
      </c>
      <c r="W32" s="775">
        <f t="shared" si="14"/>
        <v>100</v>
      </c>
      <c r="X32" s="1813"/>
      <c r="Y32" s="3220" t="s">
        <v>2561</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0"/>
      <c r="Q33" s="1810">
        <f t="shared" si="11"/>
        <v>111</v>
      </c>
      <c r="R33" s="774" t="s">
        <v>17</v>
      </c>
      <c r="S33" s="775">
        <f t="shared" si="12"/>
        <v>100</v>
      </c>
      <c r="T33" s="774" t="s">
        <v>17</v>
      </c>
      <c r="U33" s="775">
        <f t="shared" si="13"/>
        <v>100</v>
      </c>
      <c r="V33" s="774" t="s">
        <v>17</v>
      </c>
      <c r="W33" s="775">
        <f t="shared" si="14"/>
        <v>100</v>
      </c>
      <c r="X33" s="1813"/>
      <c r="Y33" s="3220"/>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30"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30"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30" s="117" customFormat="1" ht="15.75" thickBot="1">
      <c r="A7" s="408" t="s">
        <v>2544</v>
      </c>
      <c r="B7" s="409"/>
      <c r="C7" s="410">
        <f>'数据-取费表'!B2</f>
        <v>43693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5" si="3">D8/F8</f>
        <v>#DIV/0!</v>
      </c>
      <c r="AB8" s="773" t="e">
        <f t="shared" ref="AB8:AB45" si="4">D8/H8</f>
        <v>#DIV/0!</v>
      </c>
      <c r="AC8" s="773" t="e">
        <f t="shared" ref="AC8:AC45" si="5">D8/J8</f>
        <v>#DIV/0!</v>
      </c>
    </row>
    <row r="9" spans="1:30" s="117" customFormat="1">
      <c r="A9" s="415" t="s">
        <v>2549</v>
      </c>
      <c r="B9" s="71" t="s">
        <v>2550</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13"/>
      <c r="Q10" s="1795" t="str">
        <f t="shared" si="6"/>
        <v>土地使用年限（年）</v>
      </c>
      <c r="R10" s="770" t="s">
        <v>17</v>
      </c>
      <c r="S10" s="771">
        <f t="shared" si="0"/>
        <v>108</v>
      </c>
      <c r="T10" s="770" t="s">
        <v>17</v>
      </c>
      <c r="U10" s="771">
        <f t="shared" si="1"/>
        <v>108</v>
      </c>
      <c r="V10" s="770" t="s">
        <v>17</v>
      </c>
      <c r="W10" s="771">
        <f t="shared" si="2"/>
        <v>108</v>
      </c>
      <c r="X10" s="772"/>
      <c r="Y10" s="3028"/>
      <c r="Z10" s="55" t="str">
        <f t="shared" si="7"/>
        <v>土地使用年限（年）</v>
      </c>
      <c r="AA10" s="773">
        <f t="shared" si="3"/>
        <v>0.92592592592592593</v>
      </c>
      <c r="AB10" s="773">
        <f t="shared" si="4"/>
        <v>0.92592592592592593</v>
      </c>
      <c r="AC10" s="773">
        <f t="shared" si="5"/>
        <v>0.92592592592592593</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3"/>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2556</v>
      </c>
      <c r="Q15" s="1810" t="str">
        <f t="shared" si="6"/>
        <v>居住社区成熟度</v>
      </c>
      <c r="R15" s="774" t="s">
        <v>17</v>
      </c>
      <c r="S15" s="775">
        <f t="shared" si="0"/>
        <v>100</v>
      </c>
      <c r="T15" s="774" t="s">
        <v>17</v>
      </c>
      <c r="U15" s="775">
        <f t="shared" si="1"/>
        <v>100</v>
      </c>
      <c r="V15" s="774" t="s">
        <v>17</v>
      </c>
      <c r="W15" s="775">
        <f t="shared" si="2"/>
        <v>100</v>
      </c>
      <c r="X15" s="1813"/>
      <c r="Y15" s="3215" t="s">
        <v>2556</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15">
      <c r="A17" s="428"/>
      <c r="B17" s="451" t="s">
        <v>2649</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6"/>
      <c r="Q17" s="1810" t="str">
        <f>B17</f>
        <v>商业繁华度</v>
      </c>
      <c r="R17" s="774" t="s">
        <v>17</v>
      </c>
      <c r="S17" s="775">
        <f>F17</f>
        <v>100</v>
      </c>
      <c r="T17" s="774" t="s">
        <v>17</v>
      </c>
      <c r="U17" s="775">
        <f>H17</f>
        <v>100</v>
      </c>
      <c r="V17" s="774" t="s">
        <v>17</v>
      </c>
      <c r="W17" s="775">
        <f>J17</f>
        <v>100</v>
      </c>
      <c r="X17" s="1813"/>
      <c r="Y17" s="3216"/>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15">
      <c r="A19" s="428"/>
      <c r="B19" s="451" t="s">
        <v>2683</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10" t="str">
        <f>B19</f>
        <v>办公集聚程度</v>
      </c>
      <c r="R19" s="774" t="s">
        <v>17</v>
      </c>
      <c r="S19" s="775">
        <f>F19</f>
        <v>100</v>
      </c>
      <c r="T19" s="774" t="s">
        <v>17</v>
      </c>
      <c r="U19" s="775">
        <f>H19</f>
        <v>100</v>
      </c>
      <c r="V19" s="774" t="s">
        <v>17</v>
      </c>
      <c r="W19" s="775">
        <f>J19</f>
        <v>100</v>
      </c>
      <c r="X19" s="1813"/>
      <c r="Y19" s="3216"/>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6"/>
      <c r="Q20" s="1810"/>
      <c r="R20" s="774"/>
      <c r="S20" s="775"/>
      <c r="T20" s="774"/>
      <c r="U20" s="775"/>
      <c r="V20" s="774"/>
      <c r="W20" s="775"/>
      <c r="X20" s="1813"/>
      <c r="Y20" s="3216"/>
      <c r="Z20" s="1814"/>
      <c r="AA20" s="1811">
        <v>1</v>
      </c>
      <c r="AB20" s="1811">
        <v>1</v>
      </c>
      <c r="AC20" s="1811">
        <v>1</v>
      </c>
    </row>
    <row r="21" spans="1:29" ht="15">
      <c r="A21" s="428"/>
      <c r="B21" s="451" t="s">
        <v>2705</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6"/>
      <c r="Q21" s="1810" t="str">
        <f>B21</f>
        <v>交通便捷度</v>
      </c>
      <c r="R21" s="774" t="s">
        <v>17</v>
      </c>
      <c r="S21" s="775">
        <f>F21</f>
        <v>100</v>
      </c>
      <c r="T21" s="774" t="s">
        <v>17</v>
      </c>
      <c r="U21" s="775">
        <f>H21</f>
        <v>100</v>
      </c>
      <c r="V21" s="774" t="s">
        <v>17</v>
      </c>
      <c r="W21" s="775">
        <f>J21</f>
        <v>100</v>
      </c>
      <c r="X21" s="1813"/>
      <c r="Y21" s="3216"/>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6"/>
      <c r="Q23" s="1810" t="str">
        <f t="shared" ref="Q23:Q37" si="8">B23</f>
        <v>区域土地利用方向</v>
      </c>
      <c r="R23" s="774" t="s">
        <v>17</v>
      </c>
      <c r="S23" s="775">
        <f>F23</f>
        <v>100</v>
      </c>
      <c r="T23" s="774" t="s">
        <v>17</v>
      </c>
      <c r="U23" s="775">
        <f>H23</f>
        <v>100</v>
      </c>
      <c r="V23" s="774" t="s">
        <v>17</v>
      </c>
      <c r="W23" s="775">
        <f>J23</f>
        <v>100</v>
      </c>
      <c r="X23" s="1813"/>
      <c r="Y23" s="3216"/>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16"/>
      <c r="Q24" s="1810"/>
      <c r="R24" s="774"/>
      <c r="S24" s="775"/>
      <c r="T24" s="774"/>
      <c r="U24" s="775"/>
      <c r="V24" s="774"/>
      <c r="W24" s="775"/>
      <c r="X24" s="1813"/>
      <c r="Y24" s="3216"/>
      <c r="Z24" s="1814"/>
      <c r="AA24" s="1811"/>
      <c r="AB24" s="1811"/>
      <c r="AC24" s="1811"/>
    </row>
    <row r="25" spans="1:29" ht="27">
      <c r="A25" s="404"/>
      <c r="B25" s="1384" t="s">
        <v>2745</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6"/>
      <c r="Q25" s="1810" t="str">
        <f t="shared" si="8"/>
        <v>自然及人文环境状况</v>
      </c>
      <c r="R25" s="774" t="s">
        <v>17</v>
      </c>
      <c r="S25" s="775">
        <f>F25</f>
        <v>100</v>
      </c>
      <c r="T25" s="774" t="s">
        <v>17</v>
      </c>
      <c r="U25" s="775">
        <f>H25</f>
        <v>100</v>
      </c>
      <c r="V25" s="774" t="s">
        <v>17</v>
      </c>
      <c r="W25" s="775">
        <f>J25</f>
        <v>100</v>
      </c>
      <c r="X25" s="1813"/>
      <c r="Y25" s="3216"/>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6"/>
      <c r="Q26" s="1810"/>
      <c r="R26" s="774"/>
      <c r="S26" s="775"/>
      <c r="T26" s="774"/>
      <c r="U26" s="775"/>
      <c r="V26" s="774"/>
      <c r="W26" s="775"/>
      <c r="X26" s="1813"/>
      <c r="Y26" s="3216"/>
      <c r="Z26" s="1814"/>
      <c r="AA26" s="1811">
        <v>1</v>
      </c>
      <c r="AB26" s="1811">
        <v>1</v>
      </c>
      <c r="AC26" s="1811">
        <v>1</v>
      </c>
    </row>
    <row r="27" spans="1:29" s="117" customFormat="1" ht="15">
      <c r="A27" s="649"/>
      <c r="B27" s="1384" t="s">
        <v>2650</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6"/>
      <c r="Q27" s="1795" t="str">
        <f t="shared" si="8"/>
        <v>公共配套设施</v>
      </c>
      <c r="R27" s="770" t="s">
        <v>17</v>
      </c>
      <c r="S27" s="771">
        <f>F27</f>
        <v>100</v>
      </c>
      <c r="T27" s="770" t="s">
        <v>17</v>
      </c>
      <c r="U27" s="771">
        <f>H27</f>
        <v>100</v>
      </c>
      <c r="V27" s="770" t="s">
        <v>17</v>
      </c>
      <c r="W27" s="771">
        <f>J27</f>
        <v>100</v>
      </c>
      <c r="X27" s="772"/>
      <c r="Y27" s="3216"/>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6"/>
      <c r="Q28" s="1795"/>
      <c r="R28" s="770"/>
      <c r="S28" s="771"/>
      <c r="T28" s="770"/>
      <c r="U28" s="771"/>
      <c r="V28" s="770"/>
      <c r="W28" s="771"/>
      <c r="X28" s="772"/>
      <c r="Y28" s="3216"/>
      <c r="Z28" s="55"/>
      <c r="AA28" s="1811">
        <v>1</v>
      </c>
      <c r="AB28" s="1811">
        <v>1</v>
      </c>
      <c r="AC28" s="1811">
        <v>1</v>
      </c>
    </row>
    <row r="29" spans="1:29" s="117" customFormat="1" ht="15">
      <c r="A29" s="649"/>
      <c r="B29" s="1384" t="s">
        <v>2651</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6"/>
      <c r="Q29" s="1795"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6"/>
      <c r="Q30" s="1795"/>
      <c r="R30" s="770"/>
      <c r="S30" s="771"/>
      <c r="T30" s="770"/>
      <c r="U30" s="771"/>
      <c r="V30" s="770"/>
      <c r="W30" s="771"/>
      <c r="X30" s="772"/>
      <c r="Y30" s="3216"/>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6"/>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10" t="str">
        <f t="shared" si="8"/>
        <v>毗邻道路的类型与等级</v>
      </c>
      <c r="R32" s="774" t="s">
        <v>17</v>
      </c>
      <c r="S32" s="775">
        <f t="shared" si="10"/>
        <v>100</v>
      </c>
      <c r="T32" s="774" t="s">
        <v>17</v>
      </c>
      <c r="U32" s="775">
        <f t="shared" si="11"/>
        <v>100</v>
      </c>
      <c r="V32" s="774" t="s">
        <v>17</v>
      </c>
      <c r="W32" s="775">
        <f t="shared" si="12"/>
        <v>100</v>
      </c>
      <c r="X32" s="1813"/>
      <c r="Y32" s="3216"/>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6"/>
      <c r="Q33" s="1810"/>
      <c r="R33" s="774"/>
      <c r="S33" s="775"/>
      <c r="T33" s="774"/>
      <c r="U33" s="775"/>
      <c r="V33" s="774"/>
      <c r="W33" s="775"/>
      <c r="X33" s="1813"/>
      <c r="Y33" s="3216"/>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10" t="str">
        <f t="shared" si="8"/>
        <v>土地级别</v>
      </c>
      <c r="R34" s="774" t="s">
        <v>17</v>
      </c>
      <c r="S34" s="775">
        <f t="shared" si="10"/>
        <v>100</v>
      </c>
      <c r="T34" s="774" t="s">
        <v>17</v>
      </c>
      <c r="U34" s="775">
        <f t="shared" si="11"/>
        <v>100</v>
      </c>
      <c r="V34" s="774" t="s">
        <v>17</v>
      </c>
      <c r="W34" s="775">
        <f t="shared" si="12"/>
        <v>100</v>
      </c>
      <c r="X34" s="1813"/>
      <c r="Y34" s="321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10">
        <f t="shared" si="8"/>
        <v>111</v>
      </c>
      <c r="R35" s="774" t="s">
        <v>17</v>
      </c>
      <c r="S35" s="775">
        <f t="shared" si="10"/>
        <v>100</v>
      </c>
      <c r="T35" s="774" t="s">
        <v>17</v>
      </c>
      <c r="U35" s="775">
        <f t="shared" si="11"/>
        <v>100</v>
      </c>
      <c r="V35" s="774" t="s">
        <v>17</v>
      </c>
      <c r="W35" s="775">
        <f t="shared" si="12"/>
        <v>100</v>
      </c>
      <c r="X35" s="1813"/>
      <c r="Y35" s="321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1" t="s">
        <v>2561</v>
      </c>
      <c r="Q36" s="1810">
        <f t="shared" si="8"/>
        <v>111</v>
      </c>
      <c r="R36" s="774" t="s">
        <v>17</v>
      </c>
      <c r="S36" s="775">
        <f t="shared" si="10"/>
        <v>100</v>
      </c>
      <c r="T36" s="774" t="s">
        <v>17</v>
      </c>
      <c r="U36" s="775">
        <f t="shared" si="11"/>
        <v>100</v>
      </c>
      <c r="V36" s="774" t="s">
        <v>17</v>
      </c>
      <c r="W36" s="775">
        <f t="shared" si="12"/>
        <v>100</v>
      </c>
      <c r="X36" s="1813"/>
      <c r="Y36" s="3220"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0"/>
      <c r="Q37" s="1810">
        <f t="shared" si="8"/>
        <v>111</v>
      </c>
      <c r="R37" s="777" t="s">
        <v>17</v>
      </c>
      <c r="S37" s="778">
        <f t="shared" si="10"/>
        <v>100</v>
      </c>
      <c r="T37" s="777" t="s">
        <v>17</v>
      </c>
      <c r="U37" s="778">
        <f t="shared" si="11"/>
        <v>100</v>
      </c>
      <c r="V37" s="777" t="s">
        <v>17</v>
      </c>
      <c r="W37" s="778">
        <f t="shared" si="12"/>
        <v>100</v>
      </c>
      <c r="X37" s="779"/>
      <c r="Y37" s="3220"/>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0"/>
      <c r="Q38" s="1810" t="str">
        <f>B38</f>
        <v>宗地面积</v>
      </c>
      <c r="R38" s="774" t="s">
        <v>17</v>
      </c>
      <c r="S38" s="775" t="e">
        <f t="shared" si="10"/>
        <v>#N/A</v>
      </c>
      <c r="T38" s="774" t="s">
        <v>17</v>
      </c>
      <c r="U38" s="775" t="e">
        <f t="shared" si="11"/>
        <v>#N/A</v>
      </c>
      <c r="V38" s="774" t="s">
        <v>17</v>
      </c>
      <c r="W38" s="775" t="e">
        <f t="shared" si="12"/>
        <v>#N/A</v>
      </c>
      <c r="X38" s="1813"/>
      <c r="Y38" s="3220"/>
      <c r="Z38" s="1814" t="str">
        <f t="shared" si="13"/>
        <v>宗地面积</v>
      </c>
      <c r="AA38" s="1811" t="e">
        <f t="shared" si="3"/>
        <v>#N/A</v>
      </c>
      <c r="AB38" s="1811" t="e">
        <f t="shared" si="4"/>
        <v>#N/A</v>
      </c>
      <c r="AC38" s="1811"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0"/>
      <c r="Q39" s="1810" t="str">
        <f t="shared" ref="Q39:Q45" si="14">B39</f>
        <v>宗地形状</v>
      </c>
      <c r="R39" s="774" t="s">
        <v>17</v>
      </c>
      <c r="S39" s="775">
        <f t="shared" si="10"/>
        <v>100</v>
      </c>
      <c r="T39" s="774" t="s">
        <v>17</v>
      </c>
      <c r="U39" s="775">
        <f t="shared" si="11"/>
        <v>100</v>
      </c>
      <c r="V39" s="774" t="s">
        <v>17</v>
      </c>
      <c r="W39" s="775">
        <f t="shared" si="12"/>
        <v>100</v>
      </c>
      <c r="X39" s="1813"/>
      <c r="Y39" s="3220"/>
      <c r="Z39" s="1814" t="str">
        <f t="shared" si="13"/>
        <v>宗地形状</v>
      </c>
      <c r="AA39" s="1811">
        <f t="shared" si="3"/>
        <v>1</v>
      </c>
      <c r="AB39" s="1811">
        <f t="shared" si="4"/>
        <v>1</v>
      </c>
      <c r="AC39" s="1811">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0"/>
      <c r="Q40" s="1810" t="str">
        <f t="shared" si="14"/>
        <v>临街宽度及深度</v>
      </c>
      <c r="R40" s="774" t="s">
        <v>17</v>
      </c>
      <c r="S40" s="775">
        <f t="shared" si="10"/>
        <v>100</v>
      </c>
      <c r="T40" s="774" t="s">
        <v>17</v>
      </c>
      <c r="U40" s="775">
        <f t="shared" si="11"/>
        <v>100</v>
      </c>
      <c r="V40" s="774" t="s">
        <v>17</v>
      </c>
      <c r="W40" s="775">
        <f t="shared" si="12"/>
        <v>100</v>
      </c>
      <c r="X40" s="1813"/>
      <c r="Y40" s="3220"/>
      <c r="Z40" s="1814" t="str">
        <f t="shared" si="13"/>
        <v>临街宽度及深度</v>
      </c>
      <c r="AA40" s="1811">
        <f t="shared" si="3"/>
        <v>1</v>
      </c>
      <c r="AB40" s="1811">
        <f t="shared" si="4"/>
        <v>1</v>
      </c>
      <c r="AC40" s="1811">
        <f t="shared" si="5"/>
        <v>1</v>
      </c>
    </row>
    <row r="41" spans="1:29" s="117" customFormat="1" ht="15">
      <c r="A41" s="473"/>
      <c r="B41" s="422" t="s">
        <v>2750</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0"/>
      <c r="Q41" s="1810"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0" t="s">
        <v>2561</v>
      </c>
      <c r="Q42" s="1810" t="str">
        <f t="shared" si="14"/>
        <v>工程地质条件</v>
      </c>
      <c r="R42" s="774" t="s">
        <v>17</v>
      </c>
      <c r="S42" s="775">
        <f t="shared" si="10"/>
        <v>100</v>
      </c>
      <c r="T42" s="774" t="s">
        <v>17</v>
      </c>
      <c r="U42" s="775">
        <f t="shared" si="11"/>
        <v>100</v>
      </c>
      <c r="V42" s="774" t="s">
        <v>17</v>
      </c>
      <c r="W42" s="775">
        <f t="shared" si="12"/>
        <v>100</v>
      </c>
      <c r="X42" s="1813"/>
      <c r="Y42" s="3220"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0"/>
      <c r="Q43" s="1810">
        <f t="shared" si="14"/>
        <v>111</v>
      </c>
      <c r="R43" s="774" t="s">
        <v>17</v>
      </c>
      <c r="S43" s="775">
        <f t="shared" si="10"/>
        <v>100</v>
      </c>
      <c r="T43" s="774" t="s">
        <v>17</v>
      </c>
      <c r="U43" s="775">
        <f t="shared" si="11"/>
        <v>100</v>
      </c>
      <c r="V43" s="774" t="s">
        <v>17</v>
      </c>
      <c r="W43" s="775">
        <f t="shared" si="12"/>
        <v>100</v>
      </c>
      <c r="X43" s="1813"/>
      <c r="Y43" s="322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0"/>
      <c r="Q44" s="1810">
        <f t="shared" si="14"/>
        <v>111</v>
      </c>
      <c r="R44" s="774" t="s">
        <v>17</v>
      </c>
      <c r="S44" s="775">
        <f t="shared" si="10"/>
        <v>100</v>
      </c>
      <c r="T44" s="774" t="s">
        <v>17</v>
      </c>
      <c r="U44" s="775">
        <f t="shared" si="11"/>
        <v>100</v>
      </c>
      <c r="V44" s="774" t="s">
        <v>17</v>
      </c>
      <c r="W44" s="775">
        <f t="shared" si="12"/>
        <v>100</v>
      </c>
      <c r="X44" s="1813"/>
      <c r="Y44" s="3220"/>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0"/>
      <c r="Q45" s="1810">
        <f t="shared" si="14"/>
        <v>111</v>
      </c>
      <c r="R45" s="777" t="s">
        <v>17</v>
      </c>
      <c r="S45" s="778">
        <f t="shared" si="10"/>
        <v>100</v>
      </c>
      <c r="T45" s="777" t="s">
        <v>17</v>
      </c>
      <c r="U45" s="778">
        <f t="shared" si="11"/>
        <v>100</v>
      </c>
      <c r="V45" s="777" t="s">
        <v>17</v>
      </c>
      <c r="W45" s="778">
        <f t="shared" si="12"/>
        <v>100</v>
      </c>
      <c r="X45" s="779"/>
      <c r="Y45" s="3220"/>
      <c r="Z45" s="780">
        <f t="shared" si="13"/>
        <v>111</v>
      </c>
      <c r="AA45" s="1811">
        <f t="shared" si="3"/>
        <v>1</v>
      </c>
      <c r="AB45" s="1811">
        <f t="shared" si="4"/>
        <v>1</v>
      </c>
      <c r="AC45" s="1811">
        <f t="shared" si="5"/>
        <v>1</v>
      </c>
    </row>
    <row r="46" spans="1:29" ht="15">
      <c r="A46" s="479" t="s">
        <v>2716</v>
      </c>
      <c r="B46" s="2703" t="s">
        <v>2752</v>
      </c>
      <c r="C46" s="682" t="s">
        <v>1</v>
      </c>
      <c r="D46" s="481"/>
      <c r="E46" s="482"/>
      <c r="F46" s="483"/>
      <c r="G46" s="484"/>
      <c r="H46" s="485"/>
      <c r="I46" s="482"/>
      <c r="J46" s="485"/>
      <c r="K46" s="783"/>
      <c r="L46" s="1143"/>
      <c r="M46" s="1144"/>
      <c r="N46" s="1131"/>
      <c r="O46" s="1144"/>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13" t="str">
        <f>A47</f>
        <v>比较价值（元/平方米）</v>
      </c>
      <c r="Q47" s="3213"/>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10" t="str">
        <f>A48</f>
        <v>估价对象XX用房的比较价值（楼面单价，元/平方米）</v>
      </c>
      <c r="Q48" s="3211"/>
      <c r="R48" s="3243" t="e">
        <f>ROUND(AVERAGE(R47:V47),0)</f>
        <v>#DIV/0!</v>
      </c>
      <c r="S48" s="3243"/>
      <c r="T48" s="3243"/>
      <c r="U48" s="3243"/>
      <c r="V48" s="3243"/>
      <c r="W48" s="324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196" t="s">
        <v>2760</v>
      </c>
      <c r="H55" s="3244"/>
      <c r="I55" s="144" t="s">
        <v>2761</v>
      </c>
      <c r="J55" s="2706" t="str">
        <f>项目基本情况!F35</f>
        <v>安徽省宿州市</v>
      </c>
      <c r="K55" s="2707" t="s">
        <v>2762</v>
      </c>
      <c r="L55" s="1106"/>
      <c r="M55" s="1144"/>
      <c r="N55" s="1144"/>
      <c r="O55" s="1144"/>
    </row>
    <row r="56" spans="1:15" s="692" customFormat="1">
      <c r="A56" s="688" t="s">
        <v>2763</v>
      </c>
      <c r="B56" s="689" t="e">
        <f>C48</f>
        <v>#DIV/0!</v>
      </c>
      <c r="C56" s="690">
        <v>1</v>
      </c>
      <c r="D56" s="1163">
        <v>1</v>
      </c>
      <c r="E56" s="690">
        <f>'数据-汇总表'!E8+'数据-汇总表'!E9</f>
        <v>1010.65</v>
      </c>
      <c r="F56" s="1103" t="e">
        <f t="shared" ref="F56:F65" si="15">ROUND(B56*E56/10000,0)</f>
        <v>#DIV/0!</v>
      </c>
      <c r="G56" s="3195"/>
      <c r="H56" s="3213"/>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45"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45"/>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45"/>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45"/>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8"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8"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1010.65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246" t="s">
        <v>2793</v>
      </c>
      <c r="D6" s="3247"/>
      <c r="E6" s="3248" t="s">
        <v>2793</v>
      </c>
      <c r="F6" s="3249"/>
      <c r="G6" s="3246" t="s">
        <v>2793</v>
      </c>
      <c r="H6" s="3247"/>
      <c r="I6" s="3246" t="s">
        <v>2793</v>
      </c>
      <c r="J6" s="3247"/>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43693</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13"/>
      <c r="Q10" s="1795" t="str">
        <f t="shared" si="6"/>
        <v>土地使用年限（年）</v>
      </c>
      <c r="R10" s="770" t="s">
        <v>17</v>
      </c>
      <c r="S10" s="771">
        <f t="shared" si="0"/>
        <v>108</v>
      </c>
      <c r="T10" s="770" t="s">
        <v>17</v>
      </c>
      <c r="U10" s="771">
        <f t="shared" si="1"/>
        <v>108</v>
      </c>
      <c r="V10" s="770" t="s">
        <v>17</v>
      </c>
      <c r="W10" s="771">
        <f t="shared" si="2"/>
        <v>108</v>
      </c>
      <c r="X10" s="772"/>
      <c r="Y10" s="3028"/>
      <c r="Z10" s="55" t="str">
        <f t="shared" si="7"/>
        <v>土地使用年限（年）</v>
      </c>
      <c r="AA10" s="773">
        <f t="shared" si="3"/>
        <v>0.92592592592592593</v>
      </c>
      <c r="AB10" s="773">
        <f t="shared" si="4"/>
        <v>0.92592592592592593</v>
      </c>
      <c r="AC10" s="773">
        <f t="shared" si="5"/>
        <v>0.92592592592592593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2556</v>
      </c>
      <c r="Q15" s="1810" t="str">
        <f t="shared" si="6"/>
        <v>产业集聚程度</v>
      </c>
      <c r="R15" s="774" t="s">
        <v>17</v>
      </c>
      <c r="S15" s="775">
        <f t="shared" si="0"/>
        <v>100</v>
      </c>
      <c r="T15" s="774" t="s">
        <v>17</v>
      </c>
      <c r="U15" s="775">
        <f t="shared" si="1"/>
        <v>100</v>
      </c>
      <c r="V15" s="774" t="s">
        <v>17</v>
      </c>
      <c r="W15" s="775">
        <f t="shared" si="2"/>
        <v>100</v>
      </c>
      <c r="X15" s="1813"/>
      <c r="Y15" s="3215" t="s">
        <v>2556</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10" t="str">
        <f t="shared" ref="Q19:Q33" si="8">B19</f>
        <v>区域土地利用方向</v>
      </c>
      <c r="R19" s="774" t="s">
        <v>17</v>
      </c>
      <c r="S19" s="775">
        <f>F19</f>
        <v>100</v>
      </c>
      <c r="T19" s="774" t="s">
        <v>17</v>
      </c>
      <c r="U19" s="775">
        <f>H19</f>
        <v>100</v>
      </c>
      <c r="V19" s="774" t="s">
        <v>17</v>
      </c>
      <c r="W19" s="775">
        <f>J19</f>
        <v>100</v>
      </c>
      <c r="X19" s="1813"/>
      <c r="Y19" s="3216"/>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16"/>
      <c r="Q20" s="1810"/>
      <c r="R20" s="774"/>
      <c r="S20" s="775"/>
      <c r="T20" s="774"/>
      <c r="U20" s="775"/>
      <c r="V20" s="774"/>
      <c r="W20" s="775"/>
      <c r="X20" s="1813"/>
      <c r="Y20" s="3216"/>
      <c r="Z20" s="1814"/>
      <c r="AA20" s="1811"/>
      <c r="AB20" s="1811"/>
      <c r="AC20" s="1811"/>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10" t="str">
        <f t="shared" si="8"/>
        <v>环境状况</v>
      </c>
      <c r="R21" s="774" t="s">
        <v>17</v>
      </c>
      <c r="S21" s="775">
        <f>F21</f>
        <v>100</v>
      </c>
      <c r="T21" s="774" t="s">
        <v>17</v>
      </c>
      <c r="U21" s="775">
        <f>H21</f>
        <v>100</v>
      </c>
      <c r="V21" s="774" t="s">
        <v>17</v>
      </c>
      <c r="W21" s="775">
        <f>J21</f>
        <v>100</v>
      </c>
      <c r="X21" s="1813"/>
      <c r="Y21" s="3216"/>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5" t="str">
        <f t="shared" si="8"/>
        <v>公共配套设施</v>
      </c>
      <c r="R23" s="770" t="s">
        <v>17</v>
      </c>
      <c r="S23" s="771">
        <f>F23</f>
        <v>100</v>
      </c>
      <c r="T23" s="770" t="s">
        <v>17</v>
      </c>
      <c r="U23" s="771">
        <f>H23</f>
        <v>100</v>
      </c>
      <c r="V23" s="770" t="s">
        <v>17</v>
      </c>
      <c r="W23" s="771">
        <f>J23</f>
        <v>100</v>
      </c>
      <c r="X23" s="772"/>
      <c r="Y23" s="3216"/>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6"/>
      <c r="Q24" s="1795"/>
      <c r="R24" s="770"/>
      <c r="S24" s="771"/>
      <c r="T24" s="770"/>
      <c r="U24" s="771"/>
      <c r="V24" s="770"/>
      <c r="W24" s="771"/>
      <c r="X24" s="772"/>
      <c r="Y24" s="3216"/>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5"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6"/>
      <c r="Q26" s="1795"/>
      <c r="R26" s="770"/>
      <c r="S26" s="771"/>
      <c r="T26" s="770"/>
      <c r="U26" s="771"/>
      <c r="V26" s="770"/>
      <c r="W26" s="771"/>
      <c r="X26" s="772"/>
      <c r="Y26" s="321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6"/>
      <c r="Z27" s="1814" t="str">
        <f t="shared" ref="Z27:Z40" si="13">Q27</f>
        <v>临街状况</v>
      </c>
      <c r="AA27" s="1811">
        <f t="shared" si="3"/>
        <v>1</v>
      </c>
      <c r="AB27" s="1811">
        <f t="shared" si="4"/>
        <v>1</v>
      </c>
      <c r="AC27" s="1811">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10" t="str">
        <f t="shared" si="8"/>
        <v>毗邻道路的类型与等级</v>
      </c>
      <c r="R28" s="774" t="s">
        <v>17</v>
      </c>
      <c r="S28" s="775">
        <f t="shared" si="10"/>
        <v>100</v>
      </c>
      <c r="T28" s="774" t="s">
        <v>17</v>
      </c>
      <c r="U28" s="775">
        <f t="shared" si="11"/>
        <v>100</v>
      </c>
      <c r="V28" s="774" t="s">
        <v>17</v>
      </c>
      <c r="W28" s="775">
        <f t="shared" si="12"/>
        <v>100</v>
      </c>
      <c r="X28" s="1813"/>
      <c r="Y28" s="3216"/>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6"/>
      <c r="Q29" s="1810"/>
      <c r="R29" s="774"/>
      <c r="S29" s="775"/>
      <c r="T29" s="774"/>
      <c r="U29" s="775"/>
      <c r="V29" s="774"/>
      <c r="W29" s="775"/>
      <c r="X29" s="1813"/>
      <c r="Y29" s="3216"/>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10" t="str">
        <f t="shared" si="8"/>
        <v>土地级别</v>
      </c>
      <c r="R30" s="774" t="s">
        <v>17</v>
      </c>
      <c r="S30" s="775">
        <f t="shared" si="10"/>
        <v>100</v>
      </c>
      <c r="T30" s="774" t="s">
        <v>17</v>
      </c>
      <c r="U30" s="775">
        <f t="shared" si="11"/>
        <v>100</v>
      </c>
      <c r="V30" s="774" t="s">
        <v>17</v>
      </c>
      <c r="W30" s="775">
        <f t="shared" si="12"/>
        <v>100</v>
      </c>
      <c r="X30" s="1813"/>
      <c r="Y30" s="3216"/>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10">
        <f t="shared" si="8"/>
        <v>111</v>
      </c>
      <c r="R31" s="774" t="s">
        <v>17</v>
      </c>
      <c r="S31" s="775">
        <f t="shared" si="10"/>
        <v>100</v>
      </c>
      <c r="T31" s="774" t="s">
        <v>17</v>
      </c>
      <c r="U31" s="775">
        <f t="shared" si="11"/>
        <v>100</v>
      </c>
      <c r="V31" s="774" t="s">
        <v>17</v>
      </c>
      <c r="W31" s="775">
        <f t="shared" si="12"/>
        <v>100</v>
      </c>
      <c r="X31" s="1813"/>
      <c r="Y31" s="3216"/>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1" t="s">
        <v>2561</v>
      </c>
      <c r="Q32" s="1810">
        <f t="shared" si="8"/>
        <v>111</v>
      </c>
      <c r="R32" s="774" t="s">
        <v>17</v>
      </c>
      <c r="S32" s="775">
        <f t="shared" si="10"/>
        <v>100</v>
      </c>
      <c r="T32" s="774" t="s">
        <v>17</v>
      </c>
      <c r="U32" s="775">
        <f t="shared" si="11"/>
        <v>100</v>
      </c>
      <c r="V32" s="774" t="s">
        <v>17</v>
      </c>
      <c r="W32" s="775">
        <f t="shared" si="12"/>
        <v>100</v>
      </c>
      <c r="X32" s="1813"/>
      <c r="Y32" s="3220" t="s">
        <v>2561</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0"/>
      <c r="Q33" s="1810">
        <f t="shared" si="8"/>
        <v>111</v>
      </c>
      <c r="R33" s="777" t="s">
        <v>17</v>
      </c>
      <c r="S33" s="778">
        <f t="shared" si="10"/>
        <v>100</v>
      </c>
      <c r="T33" s="777" t="s">
        <v>17</v>
      </c>
      <c r="U33" s="778">
        <f t="shared" si="11"/>
        <v>100</v>
      </c>
      <c r="V33" s="777" t="s">
        <v>17</v>
      </c>
      <c r="W33" s="778">
        <f t="shared" si="12"/>
        <v>100</v>
      </c>
      <c r="X33" s="779"/>
      <c r="Y33" s="3220"/>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0"/>
      <c r="Q34" s="1810" t="str">
        <f>B34</f>
        <v>宗地面积</v>
      </c>
      <c r="R34" s="774" t="s">
        <v>17</v>
      </c>
      <c r="S34" s="775" t="e">
        <f t="shared" si="10"/>
        <v>#N/A</v>
      </c>
      <c r="T34" s="774" t="s">
        <v>17</v>
      </c>
      <c r="U34" s="775" t="e">
        <f t="shared" si="11"/>
        <v>#N/A</v>
      </c>
      <c r="V34" s="774" t="s">
        <v>17</v>
      </c>
      <c r="W34" s="775" t="e">
        <f t="shared" si="12"/>
        <v>#N/A</v>
      </c>
      <c r="X34" s="1813"/>
      <c r="Y34" s="3220"/>
      <c r="Z34" s="1814" t="str">
        <f t="shared" si="13"/>
        <v>宗地面积</v>
      </c>
      <c r="AA34" s="1811" t="e">
        <f t="shared" si="3"/>
        <v>#N/A</v>
      </c>
      <c r="AB34" s="1811" t="e">
        <f t="shared" si="4"/>
        <v>#N/A</v>
      </c>
      <c r="AC34" s="1811"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0"/>
      <c r="Q35" s="1810" t="str">
        <f t="shared" ref="Q35:Q40" si="14">B35</f>
        <v>宗地形状</v>
      </c>
      <c r="R35" s="774" t="s">
        <v>17</v>
      </c>
      <c r="S35" s="775">
        <f t="shared" si="10"/>
        <v>100</v>
      </c>
      <c r="T35" s="774" t="s">
        <v>17</v>
      </c>
      <c r="U35" s="775">
        <f t="shared" si="11"/>
        <v>100</v>
      </c>
      <c r="V35" s="774" t="s">
        <v>17</v>
      </c>
      <c r="W35" s="775">
        <f t="shared" si="12"/>
        <v>100</v>
      </c>
      <c r="X35" s="1813"/>
      <c r="Y35" s="3220"/>
      <c r="Z35" s="1814" t="str">
        <f t="shared" si="13"/>
        <v>宗地形状</v>
      </c>
      <c r="AA35" s="1811">
        <f t="shared" si="3"/>
        <v>1</v>
      </c>
      <c r="AB35" s="1811">
        <f t="shared" si="4"/>
        <v>1</v>
      </c>
      <c r="AC35" s="1811">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0"/>
      <c r="Q36" s="1810"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0" t="s">
        <v>2561</v>
      </c>
      <c r="Q37" s="1810" t="str">
        <f t="shared" si="14"/>
        <v>工程地质条件</v>
      </c>
      <c r="R37" s="774" t="s">
        <v>17</v>
      </c>
      <c r="S37" s="775">
        <f t="shared" si="10"/>
        <v>100</v>
      </c>
      <c r="T37" s="774" t="s">
        <v>17</v>
      </c>
      <c r="U37" s="775">
        <f t="shared" si="11"/>
        <v>100</v>
      </c>
      <c r="V37" s="774" t="s">
        <v>17</v>
      </c>
      <c r="W37" s="775">
        <f t="shared" si="12"/>
        <v>100</v>
      </c>
      <c r="X37" s="1813"/>
      <c r="Y37" s="3220"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0"/>
      <c r="Q38" s="1810">
        <f t="shared" si="14"/>
        <v>111</v>
      </c>
      <c r="R38" s="774" t="s">
        <v>17</v>
      </c>
      <c r="S38" s="775">
        <f t="shared" si="10"/>
        <v>100</v>
      </c>
      <c r="T38" s="774" t="s">
        <v>17</v>
      </c>
      <c r="U38" s="775">
        <f t="shared" si="11"/>
        <v>100</v>
      </c>
      <c r="V38" s="774" t="s">
        <v>17</v>
      </c>
      <c r="W38" s="775">
        <f t="shared" si="12"/>
        <v>100</v>
      </c>
      <c r="X38" s="1813"/>
      <c r="Y38" s="322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0"/>
      <c r="Q39" s="1810">
        <f t="shared" si="14"/>
        <v>111</v>
      </c>
      <c r="R39" s="774" t="s">
        <v>17</v>
      </c>
      <c r="S39" s="775">
        <f t="shared" si="10"/>
        <v>100</v>
      </c>
      <c r="T39" s="774" t="s">
        <v>17</v>
      </c>
      <c r="U39" s="775">
        <f t="shared" si="11"/>
        <v>100</v>
      </c>
      <c r="V39" s="774" t="s">
        <v>17</v>
      </c>
      <c r="W39" s="775">
        <f t="shared" si="12"/>
        <v>100</v>
      </c>
      <c r="X39" s="1813"/>
      <c r="Y39" s="3220"/>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0"/>
      <c r="Q40" s="1810">
        <f t="shared" si="14"/>
        <v>111</v>
      </c>
      <c r="R40" s="777" t="s">
        <v>17</v>
      </c>
      <c r="S40" s="778">
        <f t="shared" si="10"/>
        <v>100</v>
      </c>
      <c r="T40" s="777" t="s">
        <v>17</v>
      </c>
      <c r="U40" s="778">
        <f t="shared" si="11"/>
        <v>100</v>
      </c>
      <c r="V40" s="777" t="s">
        <v>17</v>
      </c>
      <c r="W40" s="778">
        <f t="shared" si="12"/>
        <v>100</v>
      </c>
      <c r="X40" s="779"/>
      <c r="Y40" s="3220"/>
      <c r="Z40" s="780">
        <f t="shared" si="13"/>
        <v>111</v>
      </c>
      <c r="AA40" s="1811">
        <f t="shared" si="3"/>
        <v>1</v>
      </c>
      <c r="AB40" s="1811">
        <f t="shared" si="4"/>
        <v>1</v>
      </c>
      <c r="AC40" s="1811">
        <f t="shared" si="5"/>
        <v>1</v>
      </c>
    </row>
    <row r="41" spans="1:29" ht="15">
      <c r="A41" s="479" t="s">
        <v>2716</v>
      </c>
      <c r="B41" s="2703" t="s">
        <v>2796</v>
      </c>
      <c r="C41" s="682" t="s">
        <v>1</v>
      </c>
      <c r="D41" s="481"/>
      <c r="E41" s="482"/>
      <c r="F41" s="483"/>
      <c r="G41" s="484"/>
      <c r="H41" s="485"/>
      <c r="I41" s="482"/>
      <c r="J41" s="485"/>
      <c r="K41" s="783"/>
      <c r="L41" s="1143"/>
      <c r="M41" s="1131"/>
      <c r="N41" s="1131"/>
      <c r="O41" s="1144"/>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13" t="str">
        <f>A42</f>
        <v>比较价值（元/平方米）</v>
      </c>
      <c r="Q42" s="3213"/>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43" t="e">
        <f>ROUND(AVERAGE(R42:V42),0)</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96" t="s">
        <v>2760</v>
      </c>
      <c r="H50" s="3244"/>
      <c r="I50" s="1814" t="s">
        <v>2797</v>
      </c>
      <c r="J50" s="1814" t="str">
        <f>项目基本情况!F35</f>
        <v>安徽省宿州市</v>
      </c>
      <c r="K50" s="2707" t="s">
        <v>2762</v>
      </c>
      <c r="L50" s="1106"/>
      <c r="M50" s="1144"/>
      <c r="N50" s="1144"/>
      <c r="O50" s="1144"/>
    </row>
    <row r="51" spans="1:17" s="692" customFormat="1">
      <c r="A51" s="688" t="s">
        <v>2763</v>
      </c>
      <c r="B51" s="689" t="e">
        <f>C43</f>
        <v>#DIV/0!</v>
      </c>
      <c r="C51" s="690">
        <v>1</v>
      </c>
      <c r="D51" s="1163">
        <v>1</v>
      </c>
      <c r="E51" s="690">
        <f>'数据-汇总表'!E8+'数据-汇总表'!E9</f>
        <v>1010.65</v>
      </c>
      <c r="F51" s="691" t="e">
        <f t="shared" ref="F51:F60" si="15">ROUND(B51*E51/10000,0)</f>
        <v>#DIV/0!</v>
      </c>
      <c r="G51" s="3195"/>
      <c r="H51" s="3213"/>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45"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45"/>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45"/>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45"/>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8"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0" t="s">
        <v>2815</v>
      </c>
      <c r="D3" s="2721" t="s">
        <v>2816</v>
      </c>
      <c r="E3" s="2726"/>
      <c r="F3" s="2727" t="s">
        <v>2817</v>
      </c>
      <c r="G3" s="916" t="e">
        <f>IF(F3="宗地容积率",'数据-汇总表'!I4,IF(F3="估价对象容积率",'数据-汇总表'!I6,'数据-汇总表'!I7))</f>
        <v>#DIV/0!</v>
      </c>
      <c r="H3" s="198" t="s">
        <v>2818</v>
      </c>
      <c r="I3" s="944"/>
      <c r="J3" s="2724" t="s">
        <v>2819</v>
      </c>
      <c r="K3" s="1370"/>
      <c r="L3" s="2725"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6"/>
      <c r="B4" s="3267"/>
      <c r="C4" s="3267"/>
      <c r="D4" s="3268"/>
      <c r="E4" s="3268"/>
      <c r="F4" s="3268"/>
      <c r="G4" s="3268"/>
      <c r="H4" s="3268"/>
      <c r="I4" s="3268"/>
      <c r="J4" s="3269"/>
      <c r="K4" s="1370"/>
      <c r="L4" s="2725"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2822</v>
      </c>
      <c r="C5" s="917" t="e">
        <f>ROUND(IF(E2="商业",C6*C7+C16,(IF(E2="住宅",C6*C12+C16,C6+C16))),0)</f>
        <v>#DIV/0!</v>
      </c>
      <c r="D5" s="1787" t="e">
        <f>ROUND(C6+C16,0)</f>
        <v>#DIV/0!</v>
      </c>
      <c r="E5" s="1787"/>
      <c r="F5" s="2730"/>
      <c r="G5" s="2731"/>
      <c r="H5" s="2731"/>
      <c r="I5" s="2731"/>
      <c r="J5" s="2732"/>
      <c r="K5" s="2733"/>
      <c r="L5" s="2725"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2824</v>
      </c>
      <c r="B6" s="2739" t="s">
        <v>2825</v>
      </c>
      <c r="C6" s="918">
        <f>SUMIF(L1:L12,G2,M1:M12)</f>
        <v>0</v>
      </c>
      <c r="D6" s="2740" t="s">
        <v>2826</v>
      </c>
      <c r="E6" s="2741"/>
      <c r="F6" s="2741"/>
      <c r="G6" s="2742"/>
      <c r="H6" s="2742"/>
      <c r="I6" s="2742"/>
      <c r="J6" s="2743"/>
      <c r="K6" s="1842"/>
      <c r="L6" s="2725"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0" t="str">
        <f>IF(E2="商业",IF(C8="不临58条商业街","",2),"")</f>
        <v/>
      </c>
      <c r="B7" s="2744" t="s">
        <v>2828</v>
      </c>
      <c r="C7" s="919" t="e">
        <f>IF(C8="不临58条商业街",1,ROUND(1+(1.6*E8+1.2*E9+0.8*E10+0.4*E11)*C9,4))</f>
        <v>#DIV/0!</v>
      </c>
      <c r="D7" s="2745" t="s">
        <v>2829</v>
      </c>
      <c r="E7" s="945"/>
      <c r="F7" s="2746"/>
      <c r="G7" s="2747"/>
      <c r="H7" s="2747"/>
      <c r="I7" s="2747"/>
      <c r="J7" s="2748"/>
      <c r="K7" s="1842"/>
      <c r="L7" s="2725"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70"/>
      <c r="B8" s="198" t="s">
        <v>2833</v>
      </c>
      <c r="C8" s="2749"/>
      <c r="D8" s="920" t="s">
        <v>139</v>
      </c>
      <c r="E8" s="921" t="e">
        <f>ROUND(C11/E7,4)</f>
        <v>#DIV/0!</v>
      </c>
      <c r="F8" s="2750" t="s">
        <v>2834</v>
      </c>
      <c r="G8" s="2751"/>
      <c r="H8" s="2751"/>
      <c r="I8" s="2751"/>
      <c r="J8" s="2752"/>
      <c r="K8" s="1370"/>
      <c r="L8" s="2725"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3" t="s">
        <v>2836</v>
      </c>
      <c r="X8" s="326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0"/>
      <c r="B9" s="198" t="s">
        <v>2849</v>
      </c>
      <c r="C9" s="922">
        <f>SUMIF(修正!C59:C119,C8,修正!E59:E119)</f>
        <v>0</v>
      </c>
      <c r="D9" s="200" t="s">
        <v>140</v>
      </c>
      <c r="E9" s="200" t="e">
        <f>ROUND(C11/E7,4)</f>
        <v>#DIV/0!</v>
      </c>
      <c r="F9" s="2750" t="s">
        <v>2850</v>
      </c>
      <c r="G9" s="2751"/>
      <c r="H9" s="2751"/>
      <c r="I9" s="2751"/>
      <c r="J9" s="2752"/>
      <c r="K9" s="1370"/>
      <c r="L9" s="2725"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5"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2854</v>
      </c>
      <c r="C10" s="200">
        <f>SUMIF(修正!C59:C119,C8,修正!F59:F119)</f>
        <v>0</v>
      </c>
      <c r="D10" s="200" t="s">
        <v>141</v>
      </c>
      <c r="E10" s="200" t="e">
        <f>ROUND(C11/E7,4)</f>
        <v>#DIV/0!</v>
      </c>
      <c r="F10" s="2750" t="s">
        <v>2855</v>
      </c>
      <c r="G10" s="2751"/>
      <c r="H10" s="2751"/>
      <c r="I10" s="2751"/>
      <c r="J10" s="2752"/>
      <c r="K10" s="1370"/>
      <c r="L10" s="2725"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0"/>
      <c r="B11" s="2753" t="s">
        <v>2857</v>
      </c>
      <c r="C11" s="923">
        <f>C10/4</f>
        <v>0</v>
      </c>
      <c r="D11" s="923" t="s">
        <v>142</v>
      </c>
      <c r="E11" s="923" t="e">
        <f>ROUND(C11/E7,4)</f>
        <v>#DIV/0!</v>
      </c>
      <c r="F11" s="2754" t="s">
        <v>2858</v>
      </c>
      <c r="G11" s="2755"/>
      <c r="H11" s="2755"/>
      <c r="I11" s="2755"/>
      <c r="J11" s="2756"/>
      <c r="K11" s="1370"/>
      <c r="L11" s="2725"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5"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0" t="s">
        <v>2862</v>
      </c>
      <c r="B12" s="2757" t="s">
        <v>2863</v>
      </c>
      <c r="C12" s="919">
        <f>ROUND(C15*D15*E15*F15*G15*H15*I15*J15,4)</f>
        <v>1</v>
      </c>
      <c r="D12" s="2758" t="s">
        <v>2864</v>
      </c>
      <c r="E12" s="2759"/>
      <c r="F12" s="2759"/>
      <c r="G12" s="2760"/>
      <c r="H12" s="2760"/>
      <c r="I12" s="2760"/>
      <c r="J12" s="2761"/>
      <c r="K12" s="1370"/>
      <c r="L12" s="2762"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3" t="s">
        <v>2867</v>
      </c>
      <c r="C13" s="2764" t="s">
        <v>2868</v>
      </c>
      <c r="D13" s="1808" t="s">
        <v>2869</v>
      </c>
      <c r="E13" s="1808" t="s">
        <v>2870</v>
      </c>
      <c r="F13" s="30" t="s">
        <v>2871</v>
      </c>
      <c r="G13" s="2765" t="s">
        <v>2872</v>
      </c>
      <c r="H13" s="2765" t="s">
        <v>2872</v>
      </c>
      <c r="I13" s="2765" t="s">
        <v>2872</v>
      </c>
      <c r="J13" s="2766" t="s">
        <v>2872</v>
      </c>
      <c r="K13" s="1370"/>
      <c r="L13" s="1370"/>
      <c r="M13" s="1370"/>
      <c r="N13" s="1370"/>
      <c r="O13" s="1370"/>
      <c r="P13" s="1370"/>
      <c r="Q13" s="1370"/>
      <c r="R13" s="1602">
        <v>12</v>
      </c>
      <c r="S13" s="1603"/>
      <c r="T13" s="1602" t="e">
        <f t="shared" si="0"/>
        <v>#DIV/0!</v>
      </c>
      <c r="U13" s="1603"/>
      <c r="V13" s="1602" t="e">
        <f t="shared" si="1"/>
        <v>#DIV/0!</v>
      </c>
      <c r="W13" s="3265"/>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1"/>
      <c r="B14" s="2767"/>
      <c r="C14" s="2768"/>
      <c r="D14" s="2769"/>
      <c r="E14" s="2769"/>
      <c r="F14" s="2770"/>
      <c r="G14" s="2771" t="s">
        <v>2873</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2"/>
      <c r="B15" s="2775"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0" t="s">
        <v>2879</v>
      </c>
      <c r="B16" s="2744" t="s">
        <v>2880</v>
      </c>
      <c r="C16" s="2931" t="e">
        <f>ROUND(IF(F17="与级别开发程度一致",0,(G17-E17)/C17),0)</f>
        <v>#DIV/0!</v>
      </c>
      <c r="D16" s="3261" t="s">
        <v>2884</v>
      </c>
      <c r="E16" s="3262"/>
      <c r="F16" s="3261" t="s">
        <v>2881</v>
      </c>
      <c r="G16" s="3262"/>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1"/>
      <c r="B17" s="2942" t="s">
        <v>2883</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2886</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2887</v>
      </c>
      <c r="C19" s="924" t="e">
        <f>ROUND(IF(H19="按公示增长率计算",SUMPRODUCT((地价!A3:A27=YEAR(G19)&amp;"-"&amp;ROUNDUP(MONTH(G19)/3,0))*(地价!X2:AB2=E2)*(地价!X3:AB27)),IF(H19="地价指数",M20/M19,(1+I19)^O19)),4)</f>
        <v>#VALUE!</v>
      </c>
      <c r="D19" s="2788" t="s">
        <v>2888</v>
      </c>
      <c r="E19" s="925">
        <v>41640</v>
      </c>
      <c r="F19" s="2788" t="s">
        <v>2889</v>
      </c>
      <c r="G19" s="926">
        <f>'数据-取费表'!B2</f>
        <v>43693</v>
      </c>
      <c r="H19" s="2789"/>
      <c r="I19" s="927" t="str">
        <f>IF(H19="季度增幅（自定义）",SUMIF(N21:N24,E2,O21:O24),"")</f>
        <v/>
      </c>
      <c r="J19" s="2786"/>
      <c r="K19" s="1377"/>
      <c r="L19" s="2790" t="s">
        <v>2890</v>
      </c>
      <c r="M19" s="1734">
        <f>ROUND(SUMIF(地价!B2:F2,E2,地价!B27:F27),0)</f>
        <v>0</v>
      </c>
      <c r="N19" s="2791"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2892</v>
      </c>
      <c r="C20" s="929" t="e">
        <f>ROUND(POWER(1+G20,J20-I20)*(POWER(1+G20,I20)-1)/(POWER(1+G20,J20)-1),4)</f>
        <v>#DIV/0!</v>
      </c>
      <c r="D20" s="2797" t="s">
        <v>2893</v>
      </c>
      <c r="E20" s="1768">
        <f ca="1">存贷款利率!D4/100</f>
        <v>4.3499999999999997E-2</v>
      </c>
      <c r="F20" s="2797" t="s">
        <v>2885</v>
      </c>
      <c r="G20" s="934">
        <f>SUMIF(M26:P26,E2,M28:P28)</f>
        <v>0</v>
      </c>
      <c r="H20" s="2797" t="s">
        <v>2894</v>
      </c>
      <c r="I20" s="935" t="e">
        <f>SUMIF('数据-取费表'!C6:C15,E2,'数据-取费表'!F6:F15)/COUNTIF('数据-取费表'!C6:C15,E2)</f>
        <v>#DIV/0!</v>
      </c>
      <c r="J20" s="936">
        <f>IF(E2="住宅",70,IF(E2="商业",40,50))</f>
        <v>50</v>
      </c>
      <c r="K20" s="1377"/>
      <c r="L20" s="2798" t="s">
        <v>2895</v>
      </c>
      <c r="M20" s="1735">
        <f>ROUND(SUMPRODUCT((地价!A4:A27=YEAR(G19)&amp;"-"&amp;ROUNDUP(MONTH(G19)/3,0))*(地价!B2:F2=E2)*(地价!B4:F27)),0)</f>
        <v>0</v>
      </c>
      <c r="N20" s="2799" t="s">
        <v>2896</v>
      </c>
      <c r="O20" s="2800" t="s">
        <v>2897</v>
      </c>
      <c r="P20" s="2801" t="s">
        <v>2898</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2899</v>
      </c>
      <c r="C21" s="937" t="e">
        <f>IF(B21="容积率修正",IF(G3&lt;=10,D22,J22),C23)</f>
        <v>#DIV/0!</v>
      </c>
      <c r="D21" s="2804"/>
      <c r="E21" s="2804"/>
      <c r="F21" s="2804"/>
      <c r="G21" s="2804"/>
      <c r="H21" s="2804"/>
      <c r="I21" s="2804"/>
      <c r="J21" s="2805"/>
      <c r="K21" s="1377"/>
      <c r="N21" s="2806"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0</v>
      </c>
      <c r="D24" s="2785"/>
      <c r="E24" s="2814"/>
      <c r="F24" s="2814"/>
      <c r="G24" s="2814"/>
      <c r="H24" s="2814"/>
      <c r="I24" s="2814"/>
      <c r="J24" s="2815"/>
      <c r="K24" s="1377"/>
      <c r="N24" s="2816"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2912</v>
      </c>
      <c r="C26" s="206" t="e">
        <f>E29+SUM(E33:E39)</f>
        <v>#DIV/0!</v>
      </c>
      <c r="D26" s="2821"/>
      <c r="E26" s="2772"/>
      <c r="F26" s="2822"/>
      <c r="G26" s="2772"/>
      <c r="H26" s="2772"/>
      <c r="I26" s="2772"/>
      <c r="J26" s="2823"/>
      <c r="K26" s="1370"/>
      <c r="L26" s="2776" t="s">
        <v>2810</v>
      </c>
      <c r="M26" s="920" t="s">
        <v>2875</v>
      </c>
      <c r="N26" s="920" t="s">
        <v>2876</v>
      </c>
      <c r="O26" s="920" t="s">
        <v>2877</v>
      </c>
      <c r="P26" s="2777" t="s">
        <v>2878</v>
      </c>
      <c r="R26" s="1376"/>
      <c r="S26" s="1376"/>
      <c r="T26" s="1371"/>
      <c r="U26" s="1371"/>
      <c r="V26" s="1371"/>
      <c r="W26" s="1370"/>
      <c r="X26" s="1370"/>
      <c r="Y26" s="1370"/>
      <c r="Z26" s="1377"/>
      <c r="AA26" s="1378"/>
      <c r="AB26" s="1378"/>
      <c r="AC26" s="1378"/>
      <c r="AD26" s="1378"/>
    </row>
    <row r="27" spans="1:37" ht="15.75" thickBot="1">
      <c r="A27" s="2820"/>
      <c r="B27" s="2824" t="s">
        <v>2913</v>
      </c>
      <c r="C27" s="931" t="e">
        <f>E30+SUM(I33:I39)</f>
        <v>#DIV/0!</v>
      </c>
      <c r="D27" s="2825"/>
      <c r="E27" s="2826"/>
      <c r="F27" s="2827"/>
      <c r="G27" s="2826"/>
      <c r="H27" s="2826"/>
      <c r="I27" s="2826"/>
      <c r="J27" s="2828"/>
      <c r="K27" s="1370"/>
      <c r="L27" s="2780"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t="e">
        <f>ROUND(C5*C18*C19*C20*C21*C24,0)</f>
        <v>#DIV/0!</v>
      </c>
      <c r="D29" s="2836"/>
      <c r="E29" s="942" t="e">
        <f>ROUND(C29*D29/10000,0)</f>
        <v>#DIV/0!</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t="e">
        <f>ROUND(IF(E2="工业",C29*M39,C29*M38),0)</f>
        <v>#DIV/0!</v>
      </c>
      <c r="D30" s="2842"/>
      <c r="E30" s="942" t="e">
        <f>ROUND(C30*D30/10000,0)</f>
        <v>#DIV/0!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8"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4"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4"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0"/>
      <c r="B36" s="2764"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2878</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t="e">
        <f>ROUND(POWER(1+E41,H41-G41)*(POWER(1+E41,G41)-1)/(POWER(1+E41,H41)-1),4)</f>
        <v>#DIV/0!</v>
      </c>
      <c r="D41" s="200" t="s">
        <v>2885</v>
      </c>
      <c r="E41" s="2928">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2946</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2947</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2954</v>
      </c>
      <c r="B54" s="1725" t="str">
        <f>估价对象房地状况!C21</f>
        <v>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2955</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2959</v>
      </c>
      <c r="B59" s="2872" t="str">
        <f>估价对象房地状况!C17</f>
        <v>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2947</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2954</v>
      </c>
      <c r="B65" s="1725"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2955</v>
      </c>
      <c r="B66" s="1725"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2956</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2961</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2947</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2593</v>
      </c>
      <c r="K80" s="603" t="s">
        <v>2594</v>
      </c>
      <c r="L80" s="603" t="s">
        <v>2595</v>
      </c>
      <c r="M80" s="603" t="s">
        <v>2596</v>
      </c>
      <c r="N80" s="603" t="s">
        <v>2597</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2" t="s">
        <v>2968</v>
      </c>
      <c r="B90" s="3252"/>
      <c r="C90" s="3252"/>
      <c r="D90" s="3252"/>
      <c r="E90" s="3252"/>
      <c r="F90" s="3252"/>
      <c r="G90" s="3252"/>
      <c r="H90" s="3252"/>
      <c r="I90" s="3252"/>
      <c r="J90" s="3252"/>
      <c r="K90" s="2883"/>
      <c r="L90" s="2883"/>
      <c r="M90" s="2883"/>
      <c r="N90" s="2883"/>
    </row>
    <row r="91" spans="1:37">
      <c r="A91" s="3254" t="s">
        <v>2969</v>
      </c>
      <c r="B91" s="3254" t="s">
        <v>2970</v>
      </c>
      <c r="C91" s="2837" t="s">
        <v>2971</v>
      </c>
      <c r="D91" s="2838"/>
      <c r="E91" s="2838"/>
      <c r="F91" s="2838"/>
      <c r="G91" s="2838"/>
      <c r="H91" s="2838"/>
      <c r="I91" s="2838"/>
      <c r="J91" s="2884"/>
      <c r="K91" s="2885"/>
      <c r="L91" s="2885"/>
      <c r="M91" s="2885"/>
      <c r="N91" s="2885"/>
    </row>
    <row r="92" spans="1:37">
      <c r="A92" s="3254"/>
      <c r="B92" s="3254"/>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5"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6"/>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5"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56"/>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56"/>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56"/>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56"/>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56"/>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56"/>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56"/>
      <c r="B108" s="3082"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7"/>
      <c r="B109" s="3083"/>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53" t="s">
        <v>2976</v>
      </c>
      <c r="B110" s="3253"/>
      <c r="C110" s="3253"/>
      <c r="D110" s="3253"/>
      <c r="E110" s="3253"/>
      <c r="F110" s="3253"/>
      <c r="G110" s="3253"/>
      <c r="H110" s="3253"/>
      <c r="I110" s="3253"/>
      <c r="J110" s="3253"/>
      <c r="K110" s="2892"/>
      <c r="L110" s="2892"/>
      <c r="M110" s="2892"/>
      <c r="N110" s="2892"/>
    </row>
    <row r="112" spans="1:14" ht="13.5" thickBot="1"/>
    <row r="113" spans="1:13" ht="25.5" thickBot="1">
      <c r="A113" s="903" t="s">
        <v>2977</v>
      </c>
      <c r="B113" s="1287" t="e">
        <f>G3</f>
        <v>#DIV/0!</v>
      </c>
      <c r="C113" s="904" t="s">
        <v>2978</v>
      </c>
      <c r="D113" s="905" t="e">
        <f>SUMPRODUCT((A115:A118=F113)*(B114:M114=H113)*B115:M118)</f>
        <v>#DIV/0!</v>
      </c>
      <c r="E113" s="2723" t="s">
        <v>2810</v>
      </c>
      <c r="F113" s="2894">
        <f>E2</f>
        <v>0</v>
      </c>
      <c r="G113" s="2723" t="s">
        <v>2811</v>
      </c>
      <c r="H113" s="2894">
        <f>G2</f>
        <v>0</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t="e">
        <f ca="1">SUMIF(B6:B13,"&lt;&gt;#ref!",B6:B13)</f>
        <v>#DIV/0!</v>
      </c>
      <c r="C2" s="2901" t="s">
        <v>2992</v>
      </c>
      <c r="D2" s="2901" t="s">
        <v>2993</v>
      </c>
      <c r="E2" s="2902">
        <f ca="1">SUMIF(E6:E13,"&lt;&gt;#ref!",E6:E13)</f>
        <v>0</v>
      </c>
    </row>
    <row r="3" spans="1:5" ht="15.75">
      <c r="A3" s="2901" t="s">
        <v>2994</v>
      </c>
      <c r="B3" s="2902" t="e">
        <f ca="1">ROUND(B2*10000/E2,0)</f>
        <v>#DIV/0!</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t="e">
        <f ca="1">SUMIF(INDIRECT("'"&amp;A6&amp;"'"&amp;"!A:A"),"总价",INDIRECT("'"&amp;A6&amp;"'"&amp;"!B:B"))</f>
        <v>#DIV/0!</v>
      </c>
      <c r="C6" s="2901" t="s">
        <v>2992</v>
      </c>
      <c r="D6" s="2903"/>
      <c r="E6" s="2574">
        <f ca="1">SUMIF(INDIRECT("'"&amp;A6&amp;"'"&amp;"!C:C"),"建筑面积",INDIRECT("'"&amp;A6&amp;"'"&amp;"!D:D"))</f>
        <v>0</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1146</v>
      </c>
      <c r="C1" s="3279"/>
      <c r="D1" s="3279"/>
      <c r="E1" s="3279"/>
      <c r="F1" s="3279"/>
      <c r="G1" s="3275" t="s">
        <v>1147</v>
      </c>
      <c r="H1" s="3275"/>
      <c r="I1" s="3275"/>
      <c r="J1" s="3275"/>
      <c r="K1" s="3275"/>
      <c r="L1" s="3275"/>
      <c r="N1" s="3275" t="s">
        <v>1148</v>
      </c>
      <c r="O1" s="3275"/>
      <c r="P1" s="3275"/>
      <c r="Q1" s="3275"/>
      <c r="R1" s="1446"/>
      <c r="S1" s="3275" t="s">
        <v>1149</v>
      </c>
      <c r="T1" s="3275"/>
      <c r="U1" s="3275"/>
      <c r="V1" s="3275"/>
      <c r="X1" s="3274" t="s">
        <v>1150</v>
      </c>
      <c r="Y1" s="3275"/>
      <c r="Z1" s="3275"/>
      <c r="AA1" s="3275"/>
      <c r="AB1" s="3275"/>
      <c r="AD1" s="3274" t="s">
        <v>1151</v>
      </c>
      <c r="AE1" s="3275"/>
      <c r="AF1" s="3275"/>
      <c r="AG1" s="3275"/>
      <c r="AH1" s="327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8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6" t="s">
        <v>3002</v>
      </c>
      <c r="D1" s="3287"/>
      <c r="E1" s="3287"/>
      <c r="F1" s="3287"/>
      <c r="G1" s="3287"/>
      <c r="H1" s="3287"/>
      <c r="I1" s="3287"/>
      <c r="J1" s="3287"/>
      <c r="K1" s="3287"/>
      <c r="L1" s="3287"/>
      <c r="M1" s="3287"/>
      <c r="N1" s="3287"/>
      <c r="O1" s="3287"/>
      <c r="P1" s="3287"/>
      <c r="Q1" s="3287"/>
      <c r="R1" s="3287"/>
      <c r="S1" s="3288"/>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3" t="s">
        <v>33</v>
      </c>
      <c r="D22" s="3064"/>
      <c r="E22" s="3064"/>
      <c r="F22" s="3064"/>
      <c r="G22" s="3064"/>
      <c r="H22" s="3064"/>
      <c r="I22" s="3064"/>
      <c r="J22" s="3064"/>
      <c r="K22" s="3064"/>
      <c r="L22" s="3064"/>
      <c r="M22" s="3064"/>
      <c r="N22" s="3064"/>
      <c r="O22" s="3064"/>
      <c r="P22" s="3064"/>
      <c r="Q22" s="3285"/>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569</v>
      </c>
      <c r="E5" s="1958"/>
    </row>
    <row r="6" spans="1:5" ht="15.75">
      <c r="A6" s="1958"/>
      <c r="B6" s="2964"/>
      <c r="C6" s="1961" t="s">
        <v>1619</v>
      </c>
      <c r="D6" s="1040" t="str">
        <f ca="1">NUMBERSTRING(INT(D5*10000),2)&amp;"元整"</f>
        <v>伍佰陆拾玖万元整</v>
      </c>
      <c r="E6" s="1958"/>
    </row>
    <row r="7" spans="1:5" ht="15.75">
      <c r="A7" s="1958"/>
      <c r="B7" s="2969"/>
      <c r="C7" s="1962" t="s">
        <v>1620</v>
      </c>
      <c r="D7" s="1041">
        <f ca="1">结果表!H102</f>
        <v>5630</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3.房地产抵押价值</v>
      </c>
      <c r="C13" s="1966" t="s">
        <v>1618</v>
      </c>
      <c r="D13" s="1043">
        <f ca="1">结果表!H107</f>
        <v>569</v>
      </c>
      <c r="E13" s="1958"/>
    </row>
    <row r="14" spans="1:5" ht="15.75">
      <c r="A14" s="1958"/>
      <c r="B14" s="2964"/>
      <c r="C14" s="1961" t="s">
        <v>1619</v>
      </c>
      <c r="D14" s="1040" t="str">
        <f ca="1">NUMBERSTRING(INT(D13*10000),2)&amp;"元整"</f>
        <v>伍佰陆拾玖万元整</v>
      </c>
      <c r="E14" s="1958"/>
    </row>
    <row r="15" spans="1:5" ht="15">
      <c r="A15" s="1958"/>
      <c r="B15" s="2969"/>
      <c r="C15" s="1962" t="s">
        <v>1629</v>
      </c>
      <c r="D15" s="1052">
        <f ca="1">结果表!H108</f>
        <v>5630</v>
      </c>
      <c r="E15" s="1958"/>
    </row>
    <row r="16" spans="1:5" ht="15">
      <c r="A16" s="1958"/>
      <c r="B16" s="2970" t="str">
        <f>结果表!E109</f>
        <v>——</v>
      </c>
      <c r="C16" s="1966" t="s">
        <v>1630</v>
      </c>
      <c r="D16" s="1967" t="str">
        <f>结果表!H109</f>
        <v>——</v>
      </c>
      <c r="E16" s="1958"/>
    </row>
    <row r="17" spans="1:5" ht="15.75">
      <c r="A17" s="1958"/>
      <c r="B17" s="2971"/>
      <c r="C17" s="1961" t="s">
        <v>1631</v>
      </c>
      <c r="D17" s="1040" t="e">
        <f>NUMBERSTRING(INT(D16*10000),2)&amp;"元整"</f>
        <v>#VALUE!</v>
      </c>
      <c r="E17" s="1958"/>
    </row>
    <row r="18" spans="1:5" ht="15">
      <c r="A18" s="1958"/>
      <c r="B18" s="2972"/>
      <c r="C18" s="1962" t="s">
        <v>1620</v>
      </c>
      <c r="D18" s="1052" t="str">
        <f>结果表!H110</f>
        <v>——</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28680</v>
      </c>
      <c r="C2" s="2" t="s">
        <v>133</v>
      </c>
      <c r="D2" s="243"/>
      <c r="E2" s="243"/>
      <c r="F2" s="243"/>
      <c r="G2" s="243"/>
    </row>
    <row r="3" spans="1:7" s="244" customFormat="1" ht="18" customHeight="1" thickBot="1">
      <c r="A3" s="247" t="s">
        <v>85</v>
      </c>
      <c r="B3" s="248">
        <f ca="1">ROUND(B2*10000/'数据-汇总表'!E3,0)</f>
        <v>283778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70</v>
      </c>
      <c r="F9" s="265"/>
      <c r="G9" s="270"/>
    </row>
    <row r="10" spans="1:7" s="258" customFormat="1" ht="13.5" customHeight="1">
      <c r="A10" s="950" t="s">
        <v>801</v>
      </c>
      <c r="B10" s="268" t="s">
        <v>94</v>
      </c>
      <c r="C10" s="269">
        <f>ROUND(D10*E10/10000,0)</f>
        <v>5</v>
      </c>
      <c r="D10" s="1032">
        <f>'数据-汇总表'!E6</f>
        <v>1010.65</v>
      </c>
      <c r="E10" s="269">
        <f>'数据-取费表'!B28</f>
        <v>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v>
      </c>
      <c r="D19" s="1036">
        <f>'数据-汇总表'!E3</f>
        <v>1010.65</v>
      </c>
      <c r="E19" s="255">
        <f>'数据-取费表'!B31</f>
        <v>70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253</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v>
      </c>
      <c r="D37" s="261">
        <f>'数据-汇总表'!E3</f>
        <v>1010.65</v>
      </c>
      <c r="E37" s="293">
        <f>'数据-取费表'!B35</f>
        <v>70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13</v>
      </c>
      <c r="D42" s="282"/>
      <c r="E42" s="282"/>
      <c r="F42" s="283"/>
      <c r="G42" s="3148" t="s">
        <v>121</v>
      </c>
    </row>
    <row r="43" spans="1:7" ht="13.5" customHeight="1">
      <c r="A43" s="951" t="s">
        <v>792</v>
      </c>
      <c r="B43" s="259" t="s">
        <v>1061</v>
      </c>
      <c r="C43" s="282">
        <f ca="1">ROUND(IF('数据-取费表'!B22&lt;=1,C39*F22*'数据-取费表'!B21/2,C39*(POWER((1+F22),'数据-取费表'!B21/2)-1)),0)</f>
        <v>0</v>
      </c>
      <c r="D43" s="282"/>
      <c r="E43" s="282"/>
      <c r="F43" s="283"/>
      <c r="G43" s="3149"/>
    </row>
    <row r="44" spans="1:7" ht="13.5" customHeight="1">
      <c r="A44" s="951" t="s">
        <v>793</v>
      </c>
      <c r="B44" s="259" t="s">
        <v>1063</v>
      </c>
      <c r="C44" s="282">
        <f ca="1">ROUND(IF('数据-取费表'!B22&lt;=1,C40*F22*'数据-取费表'!B21/2,C40*(POWER((1+F22),'数据-取费表'!B21/2)-1)),4)</f>
        <v>1E-3</v>
      </c>
      <c r="D44" s="282"/>
      <c r="E44" s="282"/>
      <c r="F44" s="283"/>
      <c r="G44" s="3150"/>
    </row>
    <row r="45" spans="1:7" s="258" customFormat="1" ht="13.5" customHeight="1">
      <c r="A45" s="948" t="s">
        <v>786</v>
      </c>
      <c r="B45" s="288" t="s">
        <v>112</v>
      </c>
      <c r="C45" s="289">
        <f>C46</f>
        <v>42</v>
      </c>
      <c r="D45" s="279">
        <f>C47</f>
        <v>3.0000000000000001E-3</v>
      </c>
      <c r="E45" s="280" t="s">
        <v>129</v>
      </c>
      <c r="F45" s="290"/>
      <c r="G45" s="291" t="s">
        <v>1069</v>
      </c>
    </row>
    <row r="46" spans="1:7" s="258" customFormat="1" ht="13.5" customHeight="1">
      <c r="A46" s="951" t="s">
        <v>794</v>
      </c>
      <c r="B46" s="292" t="s">
        <v>1062</v>
      </c>
      <c r="C46" s="293">
        <f>ROUND((C33+C39)*F27,0)</f>
        <v>42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359</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305</v>
      </c>
      <c r="D51" s="276"/>
      <c r="E51" s="276"/>
      <c r="F51" s="308"/>
      <c r="G51" s="278" t="s">
        <v>64</v>
      </c>
    </row>
    <row r="52" spans="1:7" s="252" customFormat="1" ht="16.5" thickBot="1">
      <c r="A52" s="309" t="s">
        <v>65</v>
      </c>
      <c r="B52" s="310"/>
      <c r="C52" s="311">
        <f ca="1">C31+C51</f>
        <v>28680</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868</v>
      </c>
      <c r="B1" s="328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43" sqref="A4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4" t="s">
        <v>1633</v>
      </c>
      <c r="E3" s="1044" t="s">
        <v>1639</v>
      </c>
      <c r="F3" s="1044" t="s">
        <v>1633</v>
      </c>
      <c r="G3" s="1044" t="s">
        <v>1634</v>
      </c>
      <c r="H3" s="1044" t="s">
        <v>1633</v>
      </c>
      <c r="I3" s="1044" t="s">
        <v>1634</v>
      </c>
    </row>
    <row r="4" spans="1:9" ht="30">
      <c r="A4" s="1972" t="str">
        <f>项目基本情况!S2</f>
        <v>安徽省宿州市卞河西路南侧林泉苑A#楼0300室房地产</v>
      </c>
      <c r="B4" s="1044">
        <f>项目基本情况!C17</f>
        <v>1010.65</v>
      </c>
      <c r="C4" s="1044">
        <f>项目基本情况!C18</f>
        <v>0</v>
      </c>
      <c r="D4" s="1044" t="e">
        <f ca="1">结果表!D118</f>
        <v>#REF!</v>
      </c>
      <c r="E4" s="1044" t="e">
        <f ca="1">结果表!E118</f>
        <v>#REF!</v>
      </c>
      <c r="F4" s="1044" t="e">
        <f ca="1">结果表!F118</f>
        <v>#REF!</v>
      </c>
      <c r="G4" s="1044" t="e">
        <f ca="1">结果表!G118</f>
        <v>#REF!</v>
      </c>
      <c r="H4" s="1044">
        <f ca="1">结果表!H118</f>
        <v>569</v>
      </c>
      <c r="I4" s="1044">
        <f ca="1">结果表!I118</f>
        <v>5630</v>
      </c>
    </row>
    <row r="5" spans="1:9" ht="30" customHeight="1">
      <c r="A5" s="2975" t="s">
        <v>1635</v>
      </c>
      <c r="B5" s="2975"/>
      <c r="C5" s="2975"/>
      <c r="D5" s="2976" t="e">
        <f ca="1">结果表!D119</f>
        <v>#REF!</v>
      </c>
      <c r="E5" s="2976"/>
      <c r="F5" s="2976" t="e">
        <f ca="1">结果表!F119</f>
        <v>#REF!</v>
      </c>
      <c r="G5" s="2976"/>
      <c r="H5" s="2976" t="str">
        <f ca="1">结果表!H119</f>
        <v>伍佰陆拾玖万元整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房地产抵押价值</v>
      </c>
      <c r="B8" s="2977"/>
      <c r="C8" s="2977"/>
      <c r="D8" s="2977">
        <f ca="1">结果表!D122</f>
        <v>569</v>
      </c>
      <c r="E8" s="2977"/>
      <c r="F8" s="2977"/>
      <c r="G8" s="2977"/>
      <c r="H8" s="2977"/>
      <c r="I8" s="2977"/>
    </row>
    <row r="9" spans="1:9" ht="15">
      <c r="A9" s="2975" t="s">
        <v>1635</v>
      </c>
      <c r="B9" s="2975"/>
      <c r="C9" s="2975"/>
      <c r="D9" s="2976" t="str">
        <f ca="1">结果表!D123</f>
        <v>伍佰陆拾玖万元整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1635</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1657</v>
      </c>
      <c r="B1" s="2984"/>
      <c r="C1" s="2984"/>
      <c r="D1" s="2984"/>
    </row>
    <row r="2" spans="1:4" ht="18">
      <c r="A2" s="2985" t="s">
        <v>1641</v>
      </c>
      <c r="B2" s="2985"/>
      <c r="C2" s="2985"/>
      <c r="D2" s="2985"/>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5" t="s">
        <v>1647</v>
      </c>
      <c r="B6" s="2985"/>
      <c r="C6" s="2985"/>
      <c r="D6" s="298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43837</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t="str">
        <f ca="1">IF(C13&lt;B2,"已过期",1120070131)</f>
        <v>已过期</v>
      </c>
      <c r="C13" s="2344">
        <v>43814</v>
      </c>
      <c r="D13" s="2347" t="s">
        <v>840</v>
      </c>
      <c r="E13" s="1022">
        <f ca="1">IF(F13&lt;B2,"已过期",2014110011)</f>
        <v>2014110011</v>
      </c>
      <c r="F13" s="1030">
        <v>49302</v>
      </c>
    </row>
    <row r="14" spans="1:6" ht="24" customHeight="1">
      <c r="A14" s="1702" t="s">
        <v>3042</v>
      </c>
      <c r="B14" s="1022" t="str">
        <f ca="1">IF(C14&lt;B2,"已过期",1120040230)</f>
        <v>已过期</v>
      </c>
      <c r="C14" s="2344">
        <v>43835</v>
      </c>
      <c r="D14" s="2347" t="s">
        <v>3042</v>
      </c>
      <c r="E14" s="1022">
        <f ca="1">IF(F14&lt;B2,"已过期",98030020)</f>
        <v>98030020</v>
      </c>
      <c r="F14" s="1030">
        <v>47118</v>
      </c>
    </row>
    <row r="15" spans="1:6" ht="24" customHeight="1">
      <c r="A15" s="1703" t="s">
        <v>3043</v>
      </c>
      <c r="B15" s="1022" t="str">
        <f ca="1">IF(C15&lt;B2,"已过期",1120070085)</f>
        <v>已过期</v>
      </c>
      <c r="C15" s="2344">
        <v>43814</v>
      </c>
      <c r="D15" s="2348" t="s">
        <v>3043</v>
      </c>
      <c r="E15" s="1022">
        <f ca="1">IF(F15&lt;B2,"已过期",2004110128)</f>
        <v>2004110128</v>
      </c>
      <c r="F15" s="1023">
        <v>47118</v>
      </c>
    </row>
    <row r="16" spans="1:6" ht="24" customHeight="1">
      <c r="A16" s="1702" t="s">
        <v>3044</v>
      </c>
      <c r="B16" s="1022">
        <f ca="1">IF(C16&lt;B2,"已过期",1120140022)</f>
        <v>1120140022</v>
      </c>
      <c r="C16" s="2927">
        <v>44029</v>
      </c>
      <c r="D16" s="2347" t="s">
        <v>3044</v>
      </c>
      <c r="E16" s="1022">
        <f ca="1">IF(F16&lt;B2,"已过期",2008110059)</f>
        <v>2008110059</v>
      </c>
      <c r="F16" s="1030">
        <v>47177</v>
      </c>
    </row>
    <row r="17" spans="1:7" ht="24" customHeight="1">
      <c r="A17" s="1702"/>
      <c r="B17" s="1022"/>
      <c r="C17" s="2344"/>
      <c r="D17" s="2347" t="s">
        <v>3045</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2020-01-07T02:39:35Z</dcterms:modified>
</cp:coreProperties>
</file>