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7">结果表!$A$1:$I$22</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1" i="21" l="1"/>
  <c r="F121" i="21" s="1"/>
  <c r="D121" i="21"/>
  <c r="I37" i="21" l="1"/>
  <c r="AN17" i="3" l="1"/>
  <c r="D32" i="68"/>
  <c r="E32" i="68" l="1"/>
  <c r="F32" i="68" s="1"/>
  <c r="AH9" i="1"/>
  <c r="I48" i="39" l="1"/>
  <c r="G48" i="39"/>
  <c r="I40" i="39"/>
  <c r="G40" i="39"/>
  <c r="I13" i="39"/>
  <c r="G13" i="39"/>
  <c r="E13" i="39"/>
  <c r="E48" i="39"/>
  <c r="E40" i="39"/>
  <c r="I9" i="39"/>
  <c r="G9" i="39"/>
  <c r="E9" i="39"/>
  <c r="I7" i="39"/>
  <c r="G7" i="39"/>
  <c r="E7" i="39"/>
  <c r="F73" i="39"/>
  <c r="G73" i="39" s="1"/>
  <c r="H73" i="39" s="1"/>
  <c r="I73" i="39" s="1"/>
  <c r="J73" i="39" s="1"/>
  <c r="K73" i="39" s="1"/>
  <c r="L73" i="39" s="1"/>
  <c r="M73" i="39" s="1"/>
  <c r="N73" i="39" s="1"/>
  <c r="E73" i="39"/>
  <c r="F23" i="6"/>
  <c r="E19" i="68"/>
  <c r="AD16" i="3"/>
  <c r="AL16" i="3"/>
  <c r="K15" i="3"/>
  <c r="I14" i="3"/>
  <c r="I13" i="3" s="1"/>
  <c r="O18" i="3"/>
  <c r="A3" i="3" l="1"/>
  <c r="Q73" i="70" l="1"/>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8" i="68"/>
  <c r="E30" i="68"/>
  <c r="E31" i="68" s="1"/>
  <c r="D31" i="68"/>
  <c r="E47" i="68"/>
  <c r="E48" i="68"/>
  <c r="E46" i="68"/>
  <c r="E44" i="68"/>
  <c r="E45" i="68"/>
  <c r="E42" i="68"/>
  <c r="E43" i="68"/>
  <c r="E41" i="68"/>
  <c r="E40"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F9" i="69"/>
  <c r="F8" i="69"/>
  <c r="F36" i="69"/>
  <c r="M22" i="69"/>
  <c r="F8" i="70"/>
  <c r="F42" i="69"/>
  <c r="M24" i="69"/>
  <c r="F9" i="70"/>
  <c r="M28" i="69"/>
  <c r="F7" i="70"/>
  <c r="M17" i="3" l="1"/>
  <c r="G22" i="6" s="1"/>
  <c r="F49" i="70"/>
  <c r="M7" i="70"/>
  <c r="F50" i="70"/>
  <c r="C48" i="70" s="1"/>
  <c r="P62" i="70"/>
  <c r="F50" i="69"/>
  <c r="F63" i="69"/>
  <c r="F61" i="69"/>
  <c r="J51" i="69"/>
  <c r="P62" i="69"/>
  <c r="B35" i="1"/>
  <c r="L14" i="1"/>
  <c r="C22" i="6"/>
  <c r="C21" i="6"/>
  <c r="C20" i="6"/>
  <c r="C19" i="6"/>
  <c r="F21" i="6"/>
  <c r="F19" i="6"/>
  <c r="F27" i="68"/>
  <c r="F26" i="68"/>
  <c r="F25" i="68"/>
  <c r="F24" i="68"/>
  <c r="F23" i="68"/>
  <c r="F22" i="68"/>
  <c r="F21" i="68"/>
  <c r="F20" i="68"/>
  <c r="D19" i="68"/>
  <c r="F19" i="68" s="1"/>
  <c r="E18" i="68"/>
  <c r="D18" i="68"/>
  <c r="F18" i="68" s="1"/>
  <c r="E12" i="68"/>
  <c r="C12" i="68"/>
  <c r="B7" i="4"/>
  <c r="D3" i="4"/>
  <c r="M23" i="69"/>
  <c r="F13" i="69"/>
  <c r="F40" i="70"/>
  <c r="M23" i="70"/>
  <c r="M9" i="69"/>
  <c r="M27" i="70"/>
  <c r="M28" i="70"/>
  <c r="F37" i="70"/>
  <c r="M22" i="70"/>
  <c r="F6" i="70"/>
  <c r="F26" i="69"/>
  <c r="F13" i="70"/>
  <c r="J15" i="69"/>
  <c r="F16" i="70"/>
  <c r="F38" i="70"/>
  <c r="F37" i="69"/>
  <c r="J15" i="70"/>
  <c r="M8" i="69"/>
  <c r="M6" i="69"/>
  <c r="F6" i="69"/>
  <c r="F40" i="69"/>
  <c r="F38" i="69"/>
  <c r="M27" i="69"/>
  <c r="M24" i="70"/>
  <c r="M26" i="69"/>
  <c r="J36" i="70"/>
  <c r="F36" i="70"/>
  <c r="J36" i="69"/>
  <c r="F42" i="70"/>
  <c r="M26" i="70"/>
  <c r="M9" i="70"/>
  <c r="F26" i="70"/>
  <c r="M8" i="70"/>
  <c r="F16" i="69"/>
  <c r="M6" i="70"/>
  <c r="F63" i="70" l="1"/>
  <c r="F67" i="70"/>
  <c r="F64" i="70"/>
  <c r="J6" i="70"/>
  <c r="F65" i="70"/>
  <c r="Q72" i="70"/>
  <c r="C27" i="70"/>
  <c r="C6" i="70"/>
  <c r="F20" i="6"/>
  <c r="F67" i="69"/>
  <c r="F64" i="69"/>
  <c r="C27" i="69"/>
  <c r="F65" i="69"/>
  <c r="Q72" i="69"/>
  <c r="I54" i="69"/>
  <c r="F12" i="68"/>
  <c r="G12"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c r="H10" i="39"/>
  <c r="AB10" i="39" s="1"/>
  <c r="H11" i="39"/>
  <c r="AB11" i="39" s="1"/>
  <c r="H36" i="39"/>
  <c r="AB36" i="39" s="1"/>
  <c r="H42" i="39"/>
  <c r="AB42" i="39"/>
  <c r="J10" i="39"/>
  <c r="AC10" i="39" s="1"/>
  <c r="J11" i="39"/>
  <c r="AC11" i="39" s="1"/>
  <c r="J36" i="39"/>
  <c r="AC36"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H34" i="39"/>
  <c r="AB34" i="39" s="1"/>
  <c r="F39" i="39"/>
  <c r="H39" i="39"/>
  <c r="AB39" i="39"/>
  <c r="J39" i="39"/>
  <c r="J29" i="35"/>
  <c r="AC29" i="35"/>
  <c r="F29" i="35"/>
  <c r="S29" i="35"/>
  <c r="W30" i="36"/>
  <c r="AC30" i="36"/>
  <c r="F37" i="39"/>
  <c r="S37" i="39"/>
  <c r="H37" i="39"/>
  <c r="U37" i="39" s="1"/>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c r="F47" i="39"/>
  <c r="AA47" i="39" s="1"/>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U37" i="34"/>
  <c r="AB37" i="34"/>
  <c r="AC41" i="40"/>
  <c r="W41" i="40"/>
  <c r="U41" i="40"/>
  <c r="J23" i="40"/>
  <c r="AC23" i="40"/>
  <c r="G92" i="40"/>
  <c r="F23" i="40"/>
  <c r="S23" i="40"/>
  <c r="AC15" i="40"/>
  <c r="W15" i="40"/>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W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AA21" i="39"/>
  <c r="AC38" i="39"/>
  <c r="S29" i="39"/>
  <c r="AC17" i="39"/>
  <c r="S14" i="39"/>
  <c r="AB15" i="39"/>
  <c r="U11" i="39"/>
  <c r="U23" i="39"/>
  <c r="AB38" i="39"/>
  <c r="U31" i="39"/>
  <c r="AB31" i="39"/>
  <c r="S25" i="39"/>
  <c r="S38" i="39"/>
  <c r="S22" i="31"/>
  <c r="M20" i="15"/>
  <c r="D96" i="9"/>
  <c r="F28" i="15"/>
  <c r="C28" i="15" s="1"/>
  <c r="M18" i="15"/>
  <c r="A18" i="64"/>
  <c r="B74" i="63"/>
  <c r="C53" i="10"/>
  <c r="A25" i="64" s="1"/>
  <c r="A18" i="51"/>
  <c r="B14" i="63"/>
  <c r="BA16" i="3"/>
  <c r="BA17" i="3"/>
  <c r="AZ17" i="3" s="1"/>
  <c r="F3" i="35"/>
  <c r="K1" i="43"/>
  <c r="K1" i="12"/>
  <c r="G1" i="44"/>
  <c r="I4" i="6"/>
  <c r="G3" i="46" s="1"/>
  <c r="H22" i="46" s="1"/>
  <c r="AZ15" i="3"/>
  <c r="G5" i="3"/>
  <c r="B3" i="3" s="1"/>
  <c r="E547" i="3" s="1"/>
  <c r="BK5" i="3"/>
  <c r="BO5" i="3"/>
  <c r="BP5" i="3"/>
  <c r="BN5" i="3"/>
  <c r="BL18" i="3"/>
  <c r="AZ18" i="3"/>
  <c r="BC5" i="3"/>
  <c r="E8" i="6" s="1"/>
  <c r="BD5" i="3"/>
  <c r="BR5" i="3"/>
  <c r="G28" i="6" s="1"/>
  <c r="BS5" i="3"/>
  <c r="BQ5" i="3"/>
  <c r="BL16" i="3"/>
  <c r="AZ16" i="3" s="1"/>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W31" i="39" s="1"/>
  <c r="S45" i="39"/>
  <c r="W41" i="39"/>
  <c r="AC46" i="39"/>
  <c r="W42" i="39"/>
  <c r="W36" i="39"/>
  <c r="W23"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G6" i="1"/>
  <c r="AE11" i="46"/>
  <c r="AE13" i="46" s="1"/>
  <c r="F29" i="6"/>
  <c r="F28" i="6"/>
  <c r="H101" i="46"/>
  <c r="H104"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401" i="3"/>
  <c r="AI6" i="3"/>
  <c r="E525" i="3"/>
  <c r="E246" i="3"/>
  <c r="AJ6" i="3"/>
  <c r="E546" i="3"/>
  <c r="E15" i="3"/>
  <c r="E251" i="3"/>
  <c r="E56" i="3"/>
  <c r="E122" i="3"/>
  <c r="E208" i="3"/>
  <c r="E338" i="3"/>
  <c r="E506" i="3"/>
  <c r="E562" i="3"/>
  <c r="E571" i="3"/>
  <c r="E518" i="3"/>
  <c r="E497" i="3"/>
  <c r="E167" i="3"/>
  <c r="E566" i="3"/>
  <c r="E515" i="3"/>
  <c r="E553" i="3"/>
  <c r="E494" i="3"/>
  <c r="E273" i="3"/>
  <c r="E542" i="3"/>
  <c r="E563" i="3"/>
  <c r="E254" i="3"/>
  <c r="E112" i="3"/>
  <c r="E519" i="3"/>
  <c r="E341" i="3"/>
  <c r="E155" i="3"/>
  <c r="E268" i="3"/>
  <c r="E252" i="3"/>
  <c r="E316" i="3"/>
  <c r="E346" i="3"/>
  <c r="E175" i="3"/>
  <c r="E544" i="3"/>
  <c r="E318" i="3"/>
  <c r="E541" i="3"/>
  <c r="E565" i="3"/>
  <c r="E523" i="3"/>
  <c r="E380" i="3"/>
  <c r="E557" i="3"/>
  <c r="E503" i="3"/>
  <c r="E13" i="3"/>
  <c r="G29" i="6"/>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J6" i="65"/>
  <c r="M23" i="44"/>
  <c r="F11" i="67"/>
  <c r="N5" i="65"/>
  <c r="F43" i="70"/>
  <c r="C19" i="44"/>
  <c r="M22" i="15"/>
  <c r="N3" i="65"/>
  <c r="N7" i="65"/>
  <c r="I7" i="65"/>
  <c r="L48" i="44"/>
  <c r="F9" i="67"/>
  <c r="J7" i="65"/>
  <c r="F14" i="67"/>
  <c r="F8" i="44"/>
  <c r="J36" i="15"/>
  <c r="L49" i="44"/>
  <c r="E9" i="67"/>
  <c r="L47" i="15"/>
  <c r="L48" i="69"/>
  <c r="E10" i="67"/>
  <c r="F8" i="67"/>
  <c r="F8" i="15"/>
  <c r="L48" i="70"/>
  <c r="E13" i="67"/>
  <c r="F7" i="69"/>
  <c r="J15" i="15"/>
  <c r="F45" i="44"/>
  <c r="F13" i="67"/>
  <c r="L47" i="69"/>
  <c r="M28" i="44"/>
  <c r="M25" i="44"/>
  <c r="F11" i="44"/>
  <c r="F43" i="44"/>
  <c r="I3" i="65"/>
  <c r="B8" i="67"/>
  <c r="I4" i="65"/>
  <c r="M10" i="44"/>
  <c r="F39" i="44"/>
  <c r="M23" i="15"/>
  <c r="F26" i="15"/>
  <c r="M8" i="44"/>
  <c r="M26" i="15"/>
  <c r="B10" i="67"/>
  <c r="L47" i="70"/>
  <c r="M24" i="44"/>
  <c r="F9" i="44"/>
  <c r="F7" i="15"/>
  <c r="M8" i="15"/>
  <c r="M29" i="70"/>
  <c r="F37" i="44"/>
  <c r="F40" i="15"/>
  <c r="L48" i="15"/>
  <c r="F10" i="44"/>
  <c r="J17" i="44"/>
  <c r="F38" i="44"/>
  <c r="F38" i="15"/>
  <c r="M29" i="15"/>
  <c r="J3" i="65"/>
  <c r="F46" i="44"/>
  <c r="M26" i="44"/>
  <c r="F6" i="15"/>
  <c r="N4" i="65"/>
  <c r="B13" i="67"/>
  <c r="M11" i="44"/>
  <c r="I5" i="65"/>
  <c r="I6" i="65"/>
  <c r="F10" i="67"/>
  <c r="F13" i="15"/>
  <c r="F12" i="67"/>
  <c r="B11" i="67"/>
  <c r="E12" i="67"/>
  <c r="F40" i="44"/>
  <c r="F36" i="15"/>
  <c r="F42" i="15"/>
  <c r="F43" i="15"/>
  <c r="N6" i="65"/>
  <c r="M24" i="15"/>
  <c r="M29" i="44"/>
  <c r="E8" i="67"/>
  <c r="M9" i="15"/>
  <c r="F28" i="44"/>
  <c r="F15" i="44"/>
  <c r="M31" i="44"/>
  <c r="F37" i="15"/>
  <c r="M6" i="15"/>
  <c r="J4" i="65"/>
  <c r="M28" i="15"/>
  <c r="B9" i="67"/>
  <c r="M30" i="44"/>
  <c r="B14" i="67"/>
  <c r="B12" i="67"/>
  <c r="E11" i="67"/>
  <c r="F9" i="15"/>
  <c r="M27" i="15"/>
  <c r="J5" i="65"/>
  <c r="M29" i="69"/>
  <c r="E14" i="67"/>
  <c r="F18" i="44"/>
  <c r="F43" i="69"/>
  <c r="F16" i="15"/>
  <c r="J53" i="69" l="1"/>
  <c r="Q53" i="69" s="1"/>
  <c r="D18" i="9"/>
  <c r="M44" i="9" s="1"/>
  <c r="M43" i="9"/>
  <c r="A30" i="64"/>
  <c r="A30" i="51"/>
  <c r="B22" i="63" s="1"/>
  <c r="AC21" i="39"/>
  <c r="F43" i="39"/>
  <c r="J43" i="39"/>
  <c r="H126" i="39"/>
  <c r="I126" i="39" s="1"/>
  <c r="J126" i="39" s="1"/>
  <c r="K126" i="39" s="1"/>
  <c r="L126" i="39" s="1"/>
  <c r="M126" i="39" s="1"/>
  <c r="H43" i="39"/>
  <c r="F109" i="39"/>
  <c r="F34" i="39"/>
  <c r="AB29" i="39"/>
  <c r="F101" i="39"/>
  <c r="G101" i="39" s="1"/>
  <c r="J27" i="39"/>
  <c r="AC27" i="39" s="1"/>
  <c r="F93" i="39"/>
  <c r="G93" i="39" s="1"/>
  <c r="F19" i="39"/>
  <c r="H19" i="39"/>
  <c r="AC19" i="39"/>
  <c r="F83" i="39"/>
  <c r="G83" i="39" s="1"/>
  <c r="H83" i="39" s="1"/>
  <c r="I83" i="39" s="1"/>
  <c r="J83" i="39" s="1"/>
  <c r="K83" i="39" s="1"/>
  <c r="L83" i="39" s="1"/>
  <c r="M83" i="39" s="1"/>
  <c r="S31" i="39"/>
  <c r="AC31" i="39"/>
  <c r="W25" i="39"/>
  <c r="AC29" i="39"/>
  <c r="AB33" i="39"/>
  <c r="U41" i="39"/>
  <c r="AB45" i="39"/>
  <c r="AB44" i="39"/>
  <c r="AB37" i="39"/>
  <c r="AB25" i="39"/>
  <c r="S41" i="39"/>
  <c r="S47" i="39"/>
  <c r="AC44" i="39"/>
  <c r="U34" i="39"/>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495" i="3"/>
  <c r="E531" i="3"/>
  <c r="E354" i="3"/>
  <c r="E171" i="3"/>
  <c r="E474" i="3"/>
  <c r="E236" i="3"/>
  <c r="E50" i="3"/>
  <c r="E551" i="3"/>
  <c r="E176" i="3"/>
  <c r="E370" i="3"/>
  <c r="E164" i="3"/>
  <c r="J22" i="46"/>
  <c r="G22" i="46"/>
  <c r="AG11" i="46"/>
  <c r="AG13" i="46" s="1"/>
  <c r="E219" i="3"/>
  <c r="E269" i="3"/>
  <c r="E144" i="3"/>
  <c r="E181" i="3"/>
  <c r="T6" i="3"/>
  <c r="E42" i="3"/>
  <c r="E360" i="3"/>
  <c r="E284" i="3"/>
  <c r="E373" i="3"/>
  <c r="E45" i="3"/>
  <c r="E392" i="3"/>
  <c r="E320" i="3"/>
  <c r="E216" i="3"/>
  <c r="E183" i="3"/>
  <c r="E81" i="3"/>
  <c r="E108" i="3"/>
  <c r="E493" i="3"/>
  <c r="E554" i="3"/>
  <c r="E234" i="3"/>
  <c r="E540" i="3"/>
  <c r="E258" i="3"/>
  <c r="E119" i="3"/>
  <c r="E128" i="3"/>
  <c r="E239" i="3"/>
  <c r="E134" i="3"/>
  <c r="E477" i="3"/>
  <c r="E43" i="3"/>
  <c r="E102" i="3"/>
  <c r="E289" i="3"/>
  <c r="F30" i="6"/>
  <c r="F70" i="70"/>
  <c r="M9" i="1"/>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L20" i="6" s="1"/>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G35" i="46" s="1"/>
  <c r="I35" i="46" s="1"/>
  <c r="AB10" i="21"/>
  <c r="W9" i="21"/>
  <c r="U9" i="21"/>
  <c r="AA9" i="21"/>
  <c r="W8" i="21"/>
  <c r="W7" i="21"/>
  <c r="B6" i="52"/>
  <c r="E9" i="52"/>
  <c r="B10" i="52"/>
  <c r="D23" i="15"/>
  <c r="C33" i="46"/>
  <c r="G33" i="46" s="1"/>
  <c r="I33" i="46" s="1"/>
  <c r="E35" i="4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3"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E37" i="46"/>
  <c r="F12" i="40"/>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C16" i="15"/>
  <c r="E2" i="65"/>
  <c r="C18" i="44"/>
  <c r="C16" i="69"/>
  <c r="C16" i="70"/>
  <c r="E3" i="65"/>
  <c r="F1" i="69" l="1"/>
  <c r="U43" i="39"/>
  <c r="AB43" i="39"/>
  <c r="AC43" i="39"/>
  <c r="W43" i="39"/>
  <c r="AA43" i="39"/>
  <c r="S43" i="39"/>
  <c r="AA34" i="39"/>
  <c r="S34" i="39"/>
  <c r="G109" i="39"/>
  <c r="H109" i="39" s="1"/>
  <c r="I109" i="39" s="1"/>
  <c r="J109" i="39" s="1"/>
  <c r="K109" i="39" s="1"/>
  <c r="L109" i="39" s="1"/>
  <c r="M109" i="39" s="1"/>
  <c r="J34" i="39"/>
  <c r="W27" i="39"/>
  <c r="U19" i="39"/>
  <c r="AB19" i="39"/>
  <c r="S19" i="39"/>
  <c r="AA19" i="39"/>
  <c r="Q74" i="69"/>
  <c r="C15" i="43"/>
  <c r="F12" i="39"/>
  <c r="AA12" i="39" s="1"/>
  <c r="J12" i="39"/>
  <c r="H12" i="39"/>
  <c r="U12" i="39" s="1"/>
  <c r="F24" i="43"/>
  <c r="C26" i="43" s="1"/>
  <c r="D24" i="43" s="1"/>
  <c r="Q53" i="70"/>
  <c r="D105" i="46"/>
  <c r="D109" i="46"/>
  <c r="D107" i="46"/>
  <c r="AC6" i="3"/>
  <c r="H6" i="3"/>
  <c r="Q67" i="70"/>
  <c r="Q61"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3" i="6"/>
  <c r="AY6" i="3"/>
  <c r="E60" i="40"/>
  <c r="E65" i="39"/>
  <c r="E16" i="6"/>
  <c r="E62" i="40"/>
  <c r="E67" i="39"/>
  <c r="E63" i="39"/>
  <c r="E58" i="40"/>
  <c r="E59" i="40"/>
  <c r="E64" i="39"/>
  <c r="K14" i="1"/>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AB12" i="39"/>
  <c r="U12" i="40"/>
  <c r="AB12" i="40"/>
  <c r="S12" i="40"/>
  <c r="AA12" i="40"/>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AE7" i="1"/>
  <c r="F7" i="67"/>
  <c r="AE8" i="1"/>
  <c r="F41" i="69"/>
  <c r="F68" i="69" l="1"/>
  <c r="AC34" i="39"/>
  <c r="W34" i="39"/>
  <c r="E6" i="3"/>
  <c r="K20" i="6"/>
  <c r="M20" i="6" s="1"/>
  <c r="I20" i="6" s="1"/>
  <c r="S20" i="6" s="1"/>
  <c r="J26" i="70"/>
  <c r="J24" i="70"/>
  <c r="J18" i="70"/>
  <c r="F24" i="69"/>
  <c r="C24" i="69" s="1"/>
  <c r="F24" i="70"/>
  <c r="C52" i="70"/>
  <c r="C47" i="70" s="1"/>
  <c r="C10" i="70"/>
  <c r="C5" i="70" s="1"/>
  <c r="E31" i="6"/>
  <c r="C52" i="69"/>
  <c r="C47" i="69" s="1"/>
  <c r="C10" i="69"/>
  <c r="C5" i="69" s="1"/>
  <c r="J24" i="69"/>
  <c r="J18" i="69"/>
  <c r="J26" i="69"/>
  <c r="J29" i="69" s="1"/>
  <c r="J7" i="44"/>
  <c r="J28" i="44" s="1"/>
  <c r="J31" i="44" s="1"/>
  <c r="S7" i="1"/>
  <c r="K21" i="6"/>
  <c r="K23" i="6"/>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E7" i="67"/>
  <c r="F41" i="15"/>
  <c r="L52" i="44"/>
  <c r="C17" i="69"/>
  <c r="J26" i="44" l="1"/>
  <c r="F40" i="39"/>
  <c r="H40" i="39"/>
  <c r="J40" i="39"/>
  <c r="F68" i="15"/>
  <c r="M23" i="6"/>
  <c r="I23" i="6" s="1"/>
  <c r="S23" i="6" s="1"/>
  <c r="S10" i="1"/>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D6" i="6"/>
  <c r="D14" i="6"/>
  <c r="D20" i="6"/>
  <c r="H23" i="6"/>
  <c r="E68" i="39"/>
  <c r="K38" i="9"/>
  <c r="C14" i="66" s="1"/>
  <c r="B2" i="66" s="1"/>
  <c r="D26" i="6"/>
  <c r="D11" i="6"/>
  <c r="H20" i="6"/>
  <c r="D9" i="6"/>
  <c r="D29" i="6"/>
  <c r="D15" i="6"/>
  <c r="F46" i="9"/>
  <c r="E63" i="40"/>
  <c r="D19" i="6"/>
  <c r="D25" i="6"/>
  <c r="D13" i="6"/>
  <c r="H24" i="6"/>
  <c r="D23" i="6"/>
  <c r="D28" i="6"/>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15"/>
  <c r="B7" i="67"/>
  <c r="C17" i="70"/>
  <c r="AB40" i="39" l="1"/>
  <c r="U40" i="39"/>
  <c r="AC40" i="39"/>
  <c r="W40" i="39"/>
  <c r="AA40" i="39"/>
  <c r="S40" i="39"/>
  <c r="R25" i="6"/>
  <c r="R26" i="6"/>
  <c r="D30" i="6"/>
  <c r="H21" i="6"/>
  <c r="S16" i="1"/>
  <c r="T12" i="1" s="1"/>
  <c r="D16" i="6"/>
  <c r="T10" i="1"/>
  <c r="T7" i="1"/>
  <c r="T8" i="1"/>
  <c r="T6" i="1"/>
  <c r="R23" i="6"/>
  <c r="R10" i="1" s="1"/>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M21" i="15"/>
  <c r="C14" i="15"/>
  <c r="F35" i="15"/>
  <c r="M21" i="69"/>
  <c r="F35" i="69"/>
  <c r="F35" i="70"/>
  <c r="C14" i="69"/>
  <c r="M21" i="70"/>
  <c r="T11" i="1" l="1"/>
  <c r="T9" i="1"/>
  <c r="T13" i="1"/>
  <c r="J20" i="70"/>
  <c r="F62" i="70"/>
  <c r="C61" i="70" s="1"/>
  <c r="C34" i="70"/>
  <c r="F62" i="69"/>
  <c r="C61" i="69" s="1"/>
  <c r="C34" i="69"/>
  <c r="J20" i="69"/>
  <c r="J20" i="15"/>
  <c r="F62" i="15"/>
  <c r="C61" i="15" s="1"/>
  <c r="C34" i="15"/>
  <c r="C18" i="69"/>
  <c r="C15" i="69"/>
  <c r="C15" i="15"/>
  <c r="C18" i="15"/>
  <c r="C14" i="43"/>
  <c r="C17" i="43"/>
  <c r="I6" i="6"/>
  <c r="I7" i="6" s="1"/>
  <c r="I5" i="6"/>
  <c r="C17" i="12"/>
  <c r="C14" i="12"/>
  <c r="R19" i="6"/>
  <c r="B3" i="40"/>
  <c r="B5" i="40"/>
  <c r="B4" i="40"/>
  <c r="K46" i="36"/>
  <c r="B3" i="67"/>
  <c r="B4" i="67"/>
  <c r="C14" i="70"/>
  <c r="C16" i="44"/>
  <c r="C11" i="21" l="1"/>
  <c r="C13" i="39"/>
  <c r="C17" i="44"/>
  <c r="C20" i="44"/>
  <c r="T16" i="1"/>
  <c r="C18" i="70"/>
  <c r="C15" i="70"/>
  <c r="C19" i="69"/>
  <c r="C20" i="69" s="1"/>
  <c r="C23" i="69" s="1"/>
  <c r="H11" i="21"/>
  <c r="F11" i="21"/>
  <c r="J11" i="21"/>
  <c r="C19" i="15"/>
  <c r="C20" i="15" s="1"/>
  <c r="C23" i="15" s="1"/>
  <c r="R27" i="6"/>
  <c r="R6" i="1"/>
  <c r="R16" i="1" s="1"/>
  <c r="C18" i="12"/>
  <c r="C23" i="12" s="1"/>
  <c r="C18" i="43"/>
  <c r="C19" i="43" s="1"/>
  <c r="C25" i="43" s="1"/>
  <c r="C24" i="43" s="1"/>
  <c r="L46" i="36"/>
  <c r="J13" i="39" l="1"/>
  <c r="H13" i="39"/>
  <c r="F13" i="39"/>
  <c r="C21" i="44"/>
  <c r="C22" i="44" s="1"/>
  <c r="C28" i="44" s="1"/>
  <c r="C19" i="70"/>
  <c r="C20" i="70" s="1"/>
  <c r="C26" i="70" s="1"/>
  <c r="C26" i="69"/>
  <c r="C29" i="69" s="1"/>
  <c r="W11" i="21"/>
  <c r="AC11" i="21"/>
  <c r="V48" i="21" s="1"/>
  <c r="I48" i="21" s="1"/>
  <c r="U11" i="21"/>
  <c r="AB11" i="21"/>
  <c r="T48" i="21" s="1"/>
  <c r="G48" i="21" s="1"/>
  <c r="S11" i="21"/>
  <c r="AA11" i="21"/>
  <c r="R48" i="21" s="1"/>
  <c r="C26" i="15"/>
  <c r="C29" i="15" s="1"/>
  <c r="Q50" i="15" s="1"/>
  <c r="C25" i="44"/>
  <c r="C31" i="44" s="1"/>
  <c r="C38" i="44" s="1"/>
  <c r="C22" i="43"/>
  <c r="C21" i="43" s="1"/>
  <c r="C28" i="43" s="1"/>
  <c r="C30" i="43" s="1"/>
  <c r="C32" i="43" s="1"/>
  <c r="B2" i="43" s="1"/>
  <c r="M46" i="36"/>
  <c r="J14" i="15" l="1"/>
  <c r="J13" i="15" s="1"/>
  <c r="J23" i="15" s="1"/>
  <c r="U13" i="39"/>
  <c r="AB13" i="39"/>
  <c r="T49" i="39" s="1"/>
  <c r="G49" i="39" s="1"/>
  <c r="AA13" i="39"/>
  <c r="R49" i="39" s="1"/>
  <c r="S13" i="39"/>
  <c r="W13" i="39"/>
  <c r="AC13" i="39"/>
  <c r="V49" i="39" s="1"/>
  <c r="I49" i="39" s="1"/>
  <c r="C23" i="70"/>
  <c r="C29" i="70" s="1"/>
  <c r="J19" i="70" s="1"/>
  <c r="J17" i="70" s="1"/>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B3" i="43"/>
  <c r="B5" i="43"/>
  <c r="B4" i="43"/>
  <c r="N46" i="36"/>
  <c r="I53" i="39" l="1"/>
  <c r="J53" i="39" s="1"/>
  <c r="G54" i="39"/>
  <c r="H54" i="39" s="1"/>
  <c r="G53" i="39"/>
  <c r="H53" i="39" s="1"/>
  <c r="R50" i="39"/>
  <c r="E49" i="39"/>
  <c r="C33" i="70"/>
  <c r="C31" i="70" s="1"/>
  <c r="C56" i="70"/>
  <c r="C63" i="70" s="1"/>
  <c r="C13" i="70"/>
  <c r="J35" i="70" s="1"/>
  <c r="C36" i="70"/>
  <c r="J14" i="70"/>
  <c r="J22" i="70" s="1"/>
  <c r="Q50" i="70"/>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15"/>
  <c r="L51" i="69"/>
  <c r="C60" i="70" l="1"/>
  <c r="C58" i="70" s="1"/>
  <c r="E53" i="39"/>
  <c r="F53" i="39" s="1"/>
  <c r="E54" i="39"/>
  <c r="F54" i="39" s="1"/>
  <c r="I54" i="39"/>
  <c r="J54" i="39" s="1"/>
  <c r="C50" i="39"/>
  <c r="C49" i="39"/>
  <c r="Q71" i="70"/>
  <c r="J13" i="70"/>
  <c r="J23" i="70" s="1"/>
  <c r="J16" i="70" s="1"/>
  <c r="J25" i="70" s="1"/>
  <c r="C37" i="70"/>
  <c r="C30" i="70" s="1"/>
  <c r="C39" i="70" s="1"/>
  <c r="Q70" i="70" s="1"/>
  <c r="Q69" i="70" s="1"/>
  <c r="C55" i="70"/>
  <c r="C64" i="70" s="1"/>
  <c r="J16" i="69"/>
  <c r="J25" i="69" s="1"/>
  <c r="C40" i="15"/>
  <c r="C46" i="15" s="1"/>
  <c r="Q68" i="69"/>
  <c r="L57" i="69"/>
  <c r="L60" i="69" s="1"/>
  <c r="C40" i="69"/>
  <c r="Q70" i="69"/>
  <c r="Q69" i="69" s="1"/>
  <c r="J39" i="69"/>
  <c r="J40" i="69" s="1"/>
  <c r="C57" i="69"/>
  <c r="C66" i="69" s="1"/>
  <c r="C67" i="69" s="1"/>
  <c r="B2" i="21"/>
  <c r="C8" i="12"/>
  <c r="C10" i="12" s="1"/>
  <c r="Q69" i="15"/>
  <c r="J39" i="15"/>
  <c r="J40" i="15" s="1"/>
  <c r="Q68" i="15"/>
  <c r="L57" i="15"/>
  <c r="L60" i="15" s="1"/>
  <c r="J18" i="44"/>
  <c r="J27" i="44" s="1"/>
  <c r="C44" i="44"/>
  <c r="C45" i="44" s="1"/>
  <c r="B2" i="44" s="1"/>
  <c r="Q71" i="44"/>
  <c r="Q70" i="44" s="1"/>
  <c r="C70" i="15"/>
  <c r="W7" i="36"/>
  <c r="AC7" i="36"/>
  <c r="V36" i="36" s="1"/>
  <c r="I36" i="36" s="1"/>
  <c r="AB7" i="36"/>
  <c r="T36" i="36" s="1"/>
  <c r="G36" i="36" s="1"/>
  <c r="U7" i="36"/>
  <c r="S7" i="36"/>
  <c r="AA7" i="36"/>
  <c r="R36" i="36" s="1"/>
  <c r="L51" i="70"/>
  <c r="C57" i="70" l="1"/>
  <c r="C66" i="70" s="1"/>
  <c r="B64" i="39"/>
  <c r="F64" i="39" s="1"/>
  <c r="B65" i="39"/>
  <c r="F65" i="39" s="1"/>
  <c r="B58" i="39"/>
  <c r="F58" i="39" s="1"/>
  <c r="B62" i="39"/>
  <c r="F62" i="39" s="1"/>
  <c r="B67" i="39"/>
  <c r="F67" i="39" s="1"/>
  <c r="B66" i="39"/>
  <c r="F66" i="39" s="1"/>
  <c r="B61" i="39"/>
  <c r="F61" i="39" s="1"/>
  <c r="B59" i="39"/>
  <c r="F59" i="39" s="1"/>
  <c r="B63" i="39"/>
  <c r="F63" i="39" s="1"/>
  <c r="B60" i="39"/>
  <c r="F60" i="39" s="1"/>
  <c r="Q68" i="70"/>
  <c r="J39" i="70"/>
  <c r="J40" i="70" s="1"/>
  <c r="Q57" i="15"/>
  <c r="Q67" i="15"/>
  <c r="L46" i="15"/>
  <c r="B2" i="15" s="1"/>
  <c r="C43" i="15"/>
  <c r="Q58" i="15"/>
  <c r="Q63" i="15" s="1"/>
  <c r="J42" i="15"/>
  <c r="J43" i="15" s="1"/>
  <c r="Q48" i="15"/>
  <c r="Q54" i="15" s="1"/>
  <c r="Q66" i="15"/>
  <c r="Q76" i="15" s="1"/>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F68" i="39"/>
  <c r="B2" i="39" s="1"/>
  <c r="B3" i="69"/>
  <c r="D8" i="12" s="1"/>
  <c r="D10" i="12"/>
  <c r="Q76" i="69"/>
  <c r="Q63" i="69"/>
  <c r="C37" i="36"/>
  <c r="B3" i="36" s="1"/>
  <c r="B2" i="36" s="1"/>
  <c r="C36" i="36"/>
  <c r="E40" i="36"/>
  <c r="F40" i="36" s="1"/>
  <c r="E41" i="36"/>
  <c r="F41" i="36" s="1"/>
  <c r="AE9" i="1"/>
  <c r="B3" i="39" l="1"/>
  <c r="B4" i="39"/>
  <c r="B5" i="39"/>
  <c r="F41" i="70"/>
  <c r="J29" i="70" l="1"/>
  <c r="F68" i="70"/>
  <c r="C67" i="70" s="1"/>
  <c r="C40" i="70"/>
  <c r="C43" i="70" s="1"/>
  <c r="C70" i="70"/>
  <c r="C46" i="70" l="1"/>
  <c r="Q48" i="70"/>
  <c r="Q54" i="70" s="1"/>
  <c r="B2" i="70"/>
  <c r="F8" i="12" s="1"/>
  <c r="Q66" i="70"/>
  <c r="Q76" i="70" s="1"/>
  <c r="J42" i="70"/>
  <c r="J43" i="70" s="1"/>
  <c r="Q57" i="70"/>
  <c r="Q63" i="70" s="1"/>
  <c r="F10" i="12"/>
  <c r="C6" i="12" s="1"/>
  <c r="C24" i="12" s="1"/>
  <c r="B3" i="70" l="1"/>
  <c r="C29" i="12"/>
  <c r="C28" i="12"/>
  <c r="C26" i="12" s="1"/>
  <c r="C35" i="12"/>
  <c r="C33" i="12" s="1"/>
  <c r="C31" i="12" l="1"/>
  <c r="C30" i="12" s="1"/>
  <c r="C36" i="12" s="1"/>
  <c r="B2" i="12" s="1"/>
  <c r="C19" i="9"/>
  <c r="D19" i="9"/>
  <c r="L44" i="9" l="1"/>
  <c r="L43" i="9"/>
  <c r="D22" i="9"/>
  <c r="G19" i="9"/>
  <c r="B3" i="12"/>
  <c r="B5" i="12"/>
  <c r="B4" i="12"/>
  <c r="C21" i="9"/>
  <c r="C20" i="9"/>
  <c r="D21" i="9"/>
  <c r="D20" i="9"/>
  <c r="G21" i="9" l="1"/>
  <c r="G20" i="9"/>
  <c r="C32" i="9"/>
  <c r="N43" i="9"/>
  <c r="G22" i="9"/>
  <c r="C42" i="9" l="1"/>
  <c r="O38" i="9"/>
  <c r="C33" i="9"/>
  <c r="O43" i="9"/>
  <c r="C35" i="9"/>
  <c r="F42" i="9" s="1"/>
  <c r="C34" i="9"/>
  <c r="E42" i="9" l="1"/>
  <c r="P5" i="54" s="1"/>
  <c r="B46" i="63" s="1"/>
  <c r="M38" i="9"/>
  <c r="K27" i="9" s="1"/>
  <c r="K26" i="9"/>
  <c r="K25" i="9"/>
  <c r="D42" i="9"/>
  <c r="Q5" i="54" s="1"/>
  <c r="B47" i="63" s="1"/>
  <c r="N38" i="9"/>
  <c r="K28" i="9" s="1"/>
  <c r="C44" i="9"/>
  <c r="N68" i="9"/>
  <c r="R5" i="54"/>
  <c r="B48" i="63" s="1"/>
  <c r="D14" i="66"/>
  <c r="D63" i="9"/>
  <c r="D71" i="9" l="1"/>
  <c r="D66" i="9" s="1"/>
  <c r="N72" i="9" s="1"/>
  <c r="D70" i="9"/>
  <c r="C96" i="9"/>
  <c r="C91" i="9" s="1"/>
  <c r="C90" i="9"/>
  <c r="C111" i="9"/>
  <c r="C104" i="9" s="1"/>
  <c r="D77" i="9"/>
  <c r="N75" i="9" s="1"/>
  <c r="C82" i="9"/>
  <c r="C81" i="9" s="1"/>
  <c r="C85" i="9" s="1"/>
  <c r="C86" i="9" s="1"/>
  <c r="D72" i="9" s="1"/>
  <c r="C103" i="9"/>
  <c r="B5" i="66"/>
  <c r="F14" i="66"/>
  <c r="E14" i="66"/>
  <c r="N69" i="9"/>
  <c r="O39" i="9"/>
  <c r="F44" i="9"/>
  <c r="G14" i="66"/>
  <c r="B6" i="66" s="1"/>
  <c r="E44" i="9"/>
  <c r="D44" i="9"/>
  <c r="M86" i="9" l="1"/>
  <c r="N86" i="9" s="1"/>
  <c r="M88" i="9"/>
  <c r="N88" i="9" s="1"/>
  <c r="M85" i="9"/>
  <c r="N85" i="9" s="1"/>
  <c r="M84" i="9"/>
  <c r="N84" i="9" s="1"/>
  <c r="M87" i="9"/>
  <c r="N87" i="9" s="1"/>
  <c r="M83" i="9"/>
  <c r="N83" i="9" s="1"/>
  <c r="C113" i="9"/>
  <c r="C97" i="9"/>
  <c r="D6" i="66"/>
  <c r="C6" i="66"/>
  <c r="K29" i="9"/>
  <c r="K30" i="9" s="1"/>
  <c r="R6" i="54"/>
  <c r="B50" i="63" s="1"/>
  <c r="C5" i="66"/>
  <c r="D5" i="66"/>
  <c r="N89" i="9" l="1"/>
  <c r="O89" i="9" s="1"/>
  <c r="C114" i="9"/>
  <c r="E114" i="9" s="1"/>
  <c r="E115" i="9" s="1"/>
  <c r="C98" i="9"/>
  <c r="E98" i="9" s="1"/>
  <c r="E99"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<sst xmlns="http://schemas.openxmlformats.org/spreadsheetml/2006/main" count="7974" uniqueCount="3210">
  <si>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</si>
  <si>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</si>
  <si>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</si>
  <si>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</si>
  <si>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</si>
  <si>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</si>
  <si>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</si>
  <si>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</si>
  <si>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</si>
  <si>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</si>
  <si>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</si>
  <si>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</si>
  <si>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</si>
  <si>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</si>
  <si>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</si>
  <si>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</si>
  <si>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</si>
  <si>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</si>
  <si>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</si>
  <si>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</si>
  <si>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</si>
  <si>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</si>
  <si>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</si>
  <si>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</si>
  <si>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</si>
  <si>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</si>
  <si>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</si>
  <si>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</si>
  <si>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</si>
  <si>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</si>
  <si>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</si>
  <si>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</si>
  <si>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</si>
  <si>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</si>
  <si>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</si>
  <si>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</si>
  <si>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</si>
  <si>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</si>
  <si>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</si>
  <si>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</si>
  <si>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</si>
  <si>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</si>
  <si>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</si>
  <si>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</si>
  <si>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</si>
  <si>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</si>
  <si>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</si>
  <si>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</si>
  <si>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</si>
  <si>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</si>
  <si>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</si>
  <si>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</si>
  <si>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</si>
  <si>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</si>
  <si>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</si>
  <si>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</si>
  <si>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</si>
  <si>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</si>
  <si>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</si>
  <si>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</si>
  <si>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</si>
  <si>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</si>
  <si>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</si>
  <si>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</si>
  <si>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</si>
  <si>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</si>
  <si>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</si>
  <si>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</si>
  <si>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</si>
  <si>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</si>
  <si>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</si>
  <si>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</si>
  <si>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</si>
  <si>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</si>
  <si>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</si>
  <si>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</si>
  <si>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</si>
  <si>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</si>
  <si>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</si>
  <si>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</si>
  <si>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</si>
  <si>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</si>
  <si>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</si>
  <si>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</si>
  <si>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</si>
  <si>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</si>
  <si>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</si>
  <si>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</si>
  <si>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</si>
  <si>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</si>
  <si>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</si>
  <si>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</si>
  <si>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</si>
  <si>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</si>
  <si>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</si>
  <si>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</si>
  <si>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</si>
  <si>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</si>
  <si>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</si>
  <si>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</si>
  <si>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</si>
  <si>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</si>
  <si>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</si>
  <si>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</si>
  <si>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</si>
  <si>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</si>
  <si>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</si>
  <si>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</si>
  <si>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</si>
  <si>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</si>
  <si>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</si>
  <si>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</si>
  <si>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</si>
  <si>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</si>
  <si>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</si>
  <si>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</si>
  <si>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</si>
  <si>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</si>
  <si>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</si>
  <si>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</si>
  <si>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</si>
  <si>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</si>
  <si>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</si>
  <si>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</si>
  <si>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</si>
  <si>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</si>
  <si>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</si>
  <si>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</si>
  <si>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</si>
  <si>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</si>
  <si>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</si>
  <si>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</si>
  <si>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</si>
  <si>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</si>
  <si>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</si>
  <si>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</si>
  <si>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</si>
  <si>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</si>
  <si>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</si>
  <si>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</si>
  <si>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</si>
  <si>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</si>
  <si>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</si>
  <si>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</si>
  <si>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</si>
  <si>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</si>
  <si>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</si>
  <si>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</si>
  <si>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</si>
  <si>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</si>
  <si>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</si>
  <si>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</si>
  <si>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</si>
  <si>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</si>
  <si>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</si>
  <si>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</si>
  <si>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</si>
  <si>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</si>
  <si>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</si>
  <si>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</si>
  <si>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</si>
  <si>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</si>
  <si>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</si>
  <si>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</si>
  <si>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</si>
  <si>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</si>
  <si>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</si>
  <si>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</si>
  <si>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</si>
  <si>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</si>
  <si>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</si>
  <si>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</si>
  <si>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</si>
  <si>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</si>
  <si>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</si>
  <si>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</si>
  <si>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</si>
  <si>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</si>
  <si>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</si>
  <si>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</si>
  <si>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</si>
  <si>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</si>
  <si>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</si>
  <si>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</si>
  <si>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</si>
  <si>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</si>
  <si>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</si>
  <si>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</si>
  <si>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</si>
  <si>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</si>
  <si>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</si>
  <si>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</si>
  <si>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</si>
  <si>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</si>
  <si>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</si>
  <si>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</si>
  <si>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</si>
  <si>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</si>
  <si>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</si>
  <si>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</si>
  <si>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</si>
  <si>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</si>
  <si>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</si>
  <si>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</si>
  <si>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</si>
  <si>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</si>
  <si>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</si>
  <si>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</si>
  <si>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</si>
  <si>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</si>
  <si>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</si>
  <si>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</si>
  <si>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</si>
  <si>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</si>
  <si>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</si>
  <si>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</si>
  <si>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</si>
  <si>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</si>
  <si>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</si>
  <si>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</si>
  <si>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</si>
  <si>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</si>
  <si>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</si>
  <si>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</si>
  <si>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</si>
  <si>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</si>
  <si>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</si>
  <si>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</si>
  <si>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</si>
  <si>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</si>
  <si>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</si>
  <si>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</si>
  <si>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</si>
  <si>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</si>
  <si>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</si>
  <si>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</si>
  <si>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</si>
  <si>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</si>
  <si>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</si>
  <si>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</si>
  <si>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</si>
  <si>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</si>
  <si>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</si>
  <si>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</si>
  <si>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</si>
  <si>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</si>
  <si>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</si>
  <si>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</si>
  <si>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</si>
  <si>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</si>
  <si>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</si>
  <si>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</si>
  <si>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</si>
  <si>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</si>
  <si>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</si>
  <si>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</si>
  <si>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</si>
  <si>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</si>
  <si>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</si>
  <si>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</si>
  <si>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</si>
  <si>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</si>
  <si>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</si>
  <si>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</si>
  <si>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</si>
  <si>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</si>
  <si>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</si>
  <si>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</si>
  <si>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</si>
  <si>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</si>
  <si>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</si>
  <si>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</si>
  <si>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</si>
  <si>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</si>
  <si>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</si>
  <si>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</si>
  <si>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</si>
  <si>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</si>
  <si>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</si>
  <si>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</si>
  <si>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</si>
  <si>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</si>
  <si>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</si>
  <si>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</si>
  <si>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</si>
  <si>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</si>
  <si>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</si>
  <si>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</si>
  <si>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</si>
  <si>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</si>
  <si>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</si>
  <si>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</si>
  <si>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</si>
  <si>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</si>
  <si>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</si>
  <si>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</si>
  <si>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</si>
  <si>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</si>
  <si>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</si>
  <si>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</si>
  <si>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</si>
  <si>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</si>
  <si>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</si>
  <si>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</si>
  <si>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</si>
  <si>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</si>
  <si>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</si>
  <si>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</si>
  <si>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</si>
  <si>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</si>
  <si>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</si>
  <si>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</si>
  <si>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</si>
  <si>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</si>
  <si>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</si>
  <si>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</si>
  <si>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</si>
  <si>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</si>
  <si>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</si>
  <si>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</si>
  <si>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</si>
  <si>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</si>
  <si>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</si>
  <si>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</si>
  <si>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</si>
  <si>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</si>
  <si>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</si>
  <si>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</si>
  <si>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</si>
  <si>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</si>
  <si>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</si>
  <si>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</si>
  <si>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</si>
  <si>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</si>
  <si>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</si>
  <si>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</si>
  <si>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</si>
  <si>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</si>
  <si>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</si>
  <si>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</si>
  <si>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</si>
  <si>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</si>
  <si>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</si>
  <si>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</si>
  <si>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</si>
  <si>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</si>
  <si>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</si>
  <si>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</si>
  <si>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</si>
  <si>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</si>
  <si>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</si>
  <si>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</si>
  <si>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</si>
  <si>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</si>
  <si>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</si>
  <si>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</si>
  <si>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</si>
  <si>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</si>
  <si>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</si>
  <si>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</si>
  <si>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</si>
  <si>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</si>
  <si>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</si>
  <si>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</si>
  <si>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</si>
  <si>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</si>
  <si>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</si>
  <si>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</si>
  <si>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</si>
  <si>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</si>
  <si>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</si>
  <si>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</si>
  <si>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</si>
  <si>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</si>
  <si>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</si>
  <si>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</si>
  <si>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</si>
  <si>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</si>
  <si>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</si>
  <si>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</si>
  <si>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</si>
  <si>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</si>
  <si>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</si>
  <si>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</si>
  <si>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</si>
  <si>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</si>
  <si>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</si>
  <si>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</si>
  <si>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</si>
  <si>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</si>
  <si>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</si>
  <si>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</si>
  <si>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</si>
  <si>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</si>
  <si>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</si>
  <si>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</si>
  <si>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</si>
  <si>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</si>
  <si>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</si>
  <si>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</si>
  <si>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</si>
  <si>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</si>
  <si>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</si>
  <si>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</si>
  <si>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</si>
  <si>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</si>
  <si>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</si>
  <si>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</si>
  <si>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</si>
  <si>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</si>
  <si>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</si>
  <si>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</si>
  <si>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</si>
  <si>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</si>
  <si>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</si>
  <si>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</si>
  <si>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</si>
  <si>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</si>
  <si>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</si>
  <si>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</si>
  <si>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</si>
  <si>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</si>
  <si>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</si>
  <si>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</si>
  <si>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</si>
  <si>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</si>
  <si>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</si>
  <si>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</si>
  <si>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</si>
  <si>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</si>
  <si>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</si>
  <si>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</si>
  <si>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</si>
  <si>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</si>
  <si>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</si>
  <si>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</si>
  <si>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</si>
  <si>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</si>
  <si>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</si>
  <si>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</si>
  <si>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</si>
  <si>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</si>
  <si>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</si>
  <si>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</si>
  <si>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</si>
  <si>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</si>
  <si>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</si>
  <si>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</si>
  <si>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</si>
  <si>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</si>
  <si>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</si>
  <si>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</si>
  <si>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</si>
  <si>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</si>
  <si>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</si>
  <si>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</si>
  <si>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</si>
  <si>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</si>
  <si>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</si>
  <si>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</si>
  <si>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</si>
  <si>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</si>
  <si>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</si>
  <si>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</si>
  <si>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</si>
  <si>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</si>
  <si>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</si>
  <si>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</si>
  <si>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</si>
  <si>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</si>
  <si>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</si>
  <si>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</si>
  <si>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</si>
  <si>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</si>
  <si>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</si>
  <si>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</si>
  <si>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</si>
  <si>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</si>
  <si>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</si>
  <si>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</si>
  <si>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</si>
  <si>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</si>
  <si>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</si>
  <si>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</si>
  <si>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</si>
  <si>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</si>
  <si>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</si>
  <si>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</si>
  <si>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</si>
  <si>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</si>
  <si>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</si>
  <si>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</si>
  <si>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</si>
  <si>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</si>
  <si>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</si>
  <si>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</si>
  <si>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</si>
  <si>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</si>
  <si>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</si>
  <si>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</si>
  <si>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</si>
  <si>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</si>
  <si>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</si>
  <si>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</si>
  <si>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</si>
  <si>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</si>
  <si>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</si>
  <si>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</si>
  <si>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</si>
  <si>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</si>
  <si>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</si>
  <si>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</si>
  <si>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</si>
  <si>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</si>
  <si>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</si>
  <si>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</si>
  <si>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</si>
  <si>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</si>
  <si>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</si>
  <si>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</si>
  <si>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</si>
  <si>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</si>
  <si>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</si>
  <si>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</si>
  <si>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</si>
  <si>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</si>
  <si>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</si>
  <si>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</si>
  <si>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</si>
  <si>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</si>
  <si>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</si>
  <si>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</si>
  <si>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</si>
  <si>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</si>
  <si>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</si>
  <si>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</si>
  <si>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</si>
  <si>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</si>
  <si>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</si>
  <si>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</si>
  <si>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</si>
  <si>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</si>
  <si>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</si>
  <si>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</si>
  <si>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</si>
  <si>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</si>
  <si>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</si>
  <si>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</si>
  <si>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</si>
  <si>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</si>
  <si>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</si>
  <si>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</si>
  <si>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</si>
  <si>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</si>
  <si>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</si>
  <si>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</si>
  <si>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</si>
  <si>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</si>
  <si>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</si>
  <si>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</si>
  <si>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</si>
  <si>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</si>
  <si>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</si>
  <si>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</si>
  <si>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</si>
  <si>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</si>
  <si>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</si>
  <si>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</si>
  <si>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</si>
  <si>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</si>
  <si>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</si>
  <si>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</si>
  <si>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</si>
  <si>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</si>
  <si>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</si>
  <si>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</si>
  <si>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</si>
  <si>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</si>
  <si>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</si>
  <si>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</si>
  <si>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</si>
  <si>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</si>
  <si>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</si>
  <si>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</si>
  <si>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</si>
  <si>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</si>
  <si>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</si>
  <si>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</si>
  <si>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</si>
  <si>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</si>
  <si>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</si>
  <si>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</si>
  <si>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</si>
  <si>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</si>
  <si>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</si>
  <si>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</si>
  <si>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</si>
  <si>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</si>
  <si>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</si>
  <si>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</si>
  <si>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</si>
  <si>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</si>
  <si>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</si>
  <si>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</si>
  <si>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</si>
  <si>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</si>
  <si>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</si>
  <si>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</si>
  <si>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</si>
  <si>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</si>
  <si>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</si>
  <si>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</si>
  <si>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</si>
  <si>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</si>
  <si>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</si>
  <si>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</si>
  <si>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</si>
  <si>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</si>
  <si>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</si>
  <si>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</si>
  <si>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</si>
  <si>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</si>
  <si>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</si>
  <si>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</si>
  <si>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</si>
  <si>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</si>
  <si>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</si>
  <si>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</si>
  <si>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</si>
  <si>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</si>
  <si>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</si>
  <si>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</si>
  <si>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</si>
  <si>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</si>
  <si>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</si>
  <si>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</si>
  <si>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</si>
  <si>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</si>
  <si>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</si>
  <si>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</si>
  <si>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</si>
  <si>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</si>
  <si>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</si>
  <si>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</si>
  <si>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</si>
  <si>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</si>
  <si>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</si>
  <si>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</si>
  <si>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</si>
  <si>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</si>
  <si>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</si>
  <si>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</si>
  <si>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</si>
  <si>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</si>
  <si>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</si>
  <si>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</si>
  <si>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</si>
  <si>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</si>
  <si>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</si>
  <si>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</si>
  <si>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</si>
  <si>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</si>
  <si>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</si>
  <si>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</si>
  <si>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</si>
  <si>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</si>
  <si>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</si>
  <si>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</si>
  <si>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</si>
  <si>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</si>
  <si>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</si>
  <si>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</si>
  <si>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</si>
  <si>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</si>
  <si>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</si>
  <si>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</si>
  <si>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</si>
  <si>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</si>
  <si>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</si>
  <si>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</si>
  <si>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</si>
  <si>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</si>
  <si>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</si>
  <si>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</si>
  <si>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</si>
  <si>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</si>
  <si>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</si>
  <si>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</si>
  <si>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</si>
  <si>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</si>
  <si>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</si>
  <si>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</si>
  <si>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</si>
  <si>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</si>
  <si>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</si>
  <si>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</si>
  <si>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</si>
  <si>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</si>
  <si>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</si>
  <si>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</si>
  <si>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</si>
  <si>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</si>
  <si>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</si>
  <si>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</si>
  <si>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</si>
  <si>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</si>
  <si>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</si>
  <si>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</si>
  <si>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</si>
  <si>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</si>
  <si>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</si>
  <si>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</si>
  <si>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</si>
  <si>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</si>
  <si>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</si>
  <si>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</si>
  <si>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</si>
  <si>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</si>
  <si>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</si>
  <si>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</si>
  <si>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</si>
  <si>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</si>
  <si>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</si>
  <si>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</si>
  <si>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</si>
  <si>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</si>
  <si>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</si>
  <si>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</si>
  <si>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</si>
  <si>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</si>
  <si>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</si>
  <si>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</si>
  <si>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</si>
  <si>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</si>
  <si>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</si>
  <si>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</si>
  <si>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</si>
  <si>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</si>
  <si>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</si>
  <si>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</si>
  <si>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</si>
  <si>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</si>
  <si>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</si>
  <si>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</si>
  <si>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</si>
  <si>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</si>
  <si>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</si>
  <si>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</si>
  <si>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</si>
  <si>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</si>
  <si>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</si>
  <si>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</si>
  <si>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</si>
  <si>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</si>
  <si>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</si>
  <si>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</si>
  <si>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</si>
  <si>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</si>
  <si>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</si>
  <si>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</si>
  <si>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</si>
  <si>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</si>
  <si>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</si>
  <si>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</si>
  <si>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</si>
  <si>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</si>
  <si>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</si>
  <si>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</si>
  <si>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</si>
  <si>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</si>
  <si>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</si>
  <si>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</si>
  <si>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</si>
  <si>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</si>
  <si>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</si>
  <si>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</si>
  <si>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</si>
  <si>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</si>
  <si>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</si>
  <si>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</si>
  <si>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</si>
  <si>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</si>
  <si>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</si>
  <si>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</si>
  <si>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</si>
  <si>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</si>
  <si>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</si>
  <si>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</si>
  <si>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</si>
  <si>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</si>
  <si>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</si>
  <si>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</si>
  <si>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</si>
  <si>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</si>
  <si>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</si>
  <si>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</si>
  <si>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</si>
  <si>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</si>
  <si>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</si>
  <si>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</si>
  <si>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</si>
  <si>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</si>
  <si>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</si>
  <si>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</si>
  <si>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</si>
  <si>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</si>
  <si>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</si>
  <si>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</si>
  <si>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</si>
  <si>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</si>
  <si>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</si>
  <si>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</si>
  <si>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</si>
  <si>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</si>
  <si>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</si>
  <si>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</si>
  <si>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</si>
  <si>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</si>
  <si>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</si>
  <si>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</si>
  <si>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</si>
  <si>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</si>
  <si>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</si>
  <si>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</si>
  <si>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</si>
  <si>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</si>
  <si>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</si>
  <si>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</si>
  <si>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</si>
  <si>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</si>
  <si>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</si>
  <si>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</si>
  <si>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</si>
  <si>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</si>
  <si>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</si>
  <si>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</si>
  <si>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</si>
  <si>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</si>
  <si>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</si>
  <si>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</si>
  <si>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</si>
  <si>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</si>
  <si>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</si>
  <si>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</si>
  <si>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</si>
  <si>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</si>
  <si>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</si>
  <si>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</si>
  <si>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</si>
  <si>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</si>
  <si>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</si>
  <si>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</si>
  <si>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</si>
  <si>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</si>
  <si>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</si>
  <si>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</si>
  <si>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</si>
  <si>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</si>
  <si>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</si>
  <si>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</si>
  <si>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</si>
  <si>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</si>
  <si>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</si>
  <si>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</si>
  <si>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</si>
  <si>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</si>
  <si>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</si>
  <si>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</si>
  <si>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</si>
  <si>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</si>
  <si>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</si>
  <si>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</si>
  <si>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</si>
  <si>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</si>
  <si>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</si>
  <si>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</si>
  <si>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</si>
  <si>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</si>
  <si>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</si>
  <si>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</si>
  <si>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</si>
  <si>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</si>
  <si>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</si>
  <si>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</si>
  <si>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</si>
  <si>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</si>
  <si>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</si>
  <si>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</si>
  <si>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</si>
  <si>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</si>
  <si>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</si>
  <si>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</si>
  <si>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</si>
  <si>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</si>
  <si>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</si>
  <si>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</si>
  <si>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</si>
  <si>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</si>
  <si>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</si>
  <si>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</si>
  <si>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</si>
  <si>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</si>
  <si>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</si>
  <si>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</si>
  <si>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</si>
  <si>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</si>
  <si>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</si>
  <si>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</si>
  <si>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</si>
  <si>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</si>
  <si>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</si>
  <si>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</si>
  <si>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</si>
  <si>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</si>
  <si>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</si>
  <si>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</si>
  <si>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</si>
  <si>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</si>
  <si>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</si>
  <si>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</si>
  <si>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</si>
  <si>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</si>
  <si>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</si>
  <si>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</si>
  <si>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</si>
  <si>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</si>
  <si>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</si>
  <si>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</si>
  <si>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</si>
  <si>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</si>
  <si>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</si>
  <si>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</si>
  <si>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</si>
  <si>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</si>
  <si>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</si>
  <si>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</si>
  <si>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</si>
  <si>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</si>
  <si>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</si>
  <si>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</si>
  <si>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</si>
  <si>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</si>
  <si>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</si>
  <si>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</si>
  <si>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</si>
  <si>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</si>
  <si>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</si>
  <si>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</si>
  <si>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</si>
  <si>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</si>
  <si>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</si>
  <si>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</si>
  <si>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</si>
  <si>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</si>
  <si>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</si>
  <si>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</si>
  <si>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</si>
  <si>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</si>
  <si>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</si>
  <si>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</si>
  <si>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</si>
  <si>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</si>
  <si>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</si>
  <si>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</si>
  <si>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</si>
  <si>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</si>
  <si>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</si>
  <si>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</si>
  <si>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</si>
  <si>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</si>
  <si>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</si>
  <si>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</si>
  <si>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</si>
  <si>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</si>
  <si>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</si>
  <si>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</si>
  <si>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</si>
  <si>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</si>
  <si>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</si>
  <si>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</si>
  <si>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</si>
  <si>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</si>
  <si>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</si>
  <si>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</si>
  <si>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</si>
  <si>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</si>
  <si>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</si>
  <si>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</si>
  <si>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</si>
  <si>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</si>
  <si>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</si>
  <si>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</si>
  <si>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</si>
  <si>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</si>
  <si>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</si>
  <si>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</si>
  <si>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</si>
  <si>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</si>
  <si>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</si>
  <si>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</si>
  <si>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</si>
  <si>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</si>
  <si>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</si>
  <si>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</si>
  <si>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</si>
  <si>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</si>
  <si>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</si>
  <si>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</si>
  <si>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</si>
  <si>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</si>
  <si>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</si>
  <si>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</si>
  <si>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</si>
  <si>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</si>
  <si>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</si>
  <si>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</si>
  <si>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</si>
  <si>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</si>
  <si>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</si>
  <si>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</si>
  <si>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</si>
  <si>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</si>
  <si>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</si>
  <si>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</si>
  <si>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</si>
  <si>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</si>
  <si>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</si>
  <si>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</si>
  <si>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</si>
  <si>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</si>
  <si>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</si>
  <si>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</si>
  <si>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</si>
  <si>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</si>
  <si>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</si>
  <si>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</si>
  <si>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</si>
  <si>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</si>
  <si>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</si>
  <si>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</si>
  <si>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</si>
  <si>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</si>
  <si>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</si>
  <si>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</si>
  <si>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</si>
  <si>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</si>
  <si>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</si>
  <si>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</si>
  <si>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</si>
  <si>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</si>
  <si>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</si>
  <si>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</si>
  <si>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</si>
  <si>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</si>
  <si>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</si>
  <si>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</si>
  <si>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</si>
  <si>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</si>
  <si>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</si>
  <si>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</si>
  <si>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</si>
  <si>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</si>
  <si>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</si>
  <si>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</si>
  <si>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</si>
  <si>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</si>
  <si>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</si>
  <si>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</si>
  <si>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</si>
  <si>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</si>
  <si>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</si>
  <si>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</si>
  <si>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</si>
  <si>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</si>
  <si>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</si>
  <si>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</si>
  <si>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</si>
  <si>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</si>
  <si>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</si>
  <si>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</si>
  <si>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</si>
  <si>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</si>
  <si>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</si>
  <si>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</si>
  <si>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</si>
  <si>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</si>
  <si>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</si>
  <si>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</si>
  <si>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</si>
  <si>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</si>
  <si>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</si>
  <si>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</si>
  <si>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</si>
  <si>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</si>
  <si>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</si>
  <si>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</si>
  <si>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</si>
  <si>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</si>
  <si>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</si>
  <si>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</si>
  <si>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</si>
  <si>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</si>
  <si>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</si>
  <si>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</si>
  <si>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</si>
  <si>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</si>
  <si>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</si>
  <si>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</si>
  <si>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</si>
  <si>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</si>
  <si>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</si>
  <si>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</si>
  <si>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</si>
  <si>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</si>
  <si>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</si>
  <si>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</si>
  <si>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</si>
  <si>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</si>
  <si>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</si>
  <si>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</si>
  <si>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</si>
  <si>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</si>
  <si>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</si>
  <si>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</si>
  <si>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</si>
  <si>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</si>
  <si>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</si>
  <si>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</si>
  <si>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</si>
  <si>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</si>
  <si>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</si>
  <si>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</si>
  <si>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</si>
  <si>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</si>
  <si>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</si>
  <si>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</si>
  <si>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</si>
  <si>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</si>
  <si>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</si>
  <si>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</si>
  <si>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</si>
  <si>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</si>
  <si>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</si>
  <si>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</si>
  <si>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</si>
  <si>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</si>
  <si>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</si>
  <si>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</si>
  <si>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</si>
  <si>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</si>
  <si>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</si>
  <si>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</si>
  <si>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</si>
  <si>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</si>
  <si>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</si>
  <si>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</si>
  <si>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</si>
  <si>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</si>
  <si>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</si>
  <si>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</si>
  <si>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</si>
  <si>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</si>
  <si>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</si>
  <si>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</si>
  <si>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</si>
  <si>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</si>
  <si>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</si>
  <si>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</si>
  <si>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</si>
  <si>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</si>
  <si>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</si>
  <si>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</si>
  <si>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</si>
  <si>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</si>
  <si>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</si>
  <si>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</si>
  <si>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</si>
  <si>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</si>
  <si>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</si>
  <si>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</si>
  <si>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</si>
  <si>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</si>
  <si>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</si>
  <si>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</si>
  <si>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</si>
  <si>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</si>
  <si>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</si>
  <si>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</si>
  <si>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</si>
  <si>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</si>
  <si>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</si>
  <si>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</si>
  <si>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</si>
  <si>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</si>
  <si>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</si>
  <si>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</si>
  <si>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</si>
  <si>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</si>
  <si>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</si>
  <si>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</si>
  <si>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</si>
  <si>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</si>
  <si>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</si>
  <si>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</si>
  <si>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</si>
  <si>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</si>
  <si>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</si>
  <si>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</si>
  <si>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</si>
  <si>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</si>
  <si>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</si>
  <si>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</si>
  <si>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</si>
  <si>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</si>
  <si>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</si>
  <si>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</si>
  <si>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</si>
  <si>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</si>
  <si>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</si>
  <si>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</si>
  <si>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</si>
  <si>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</si>
  <si>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</si>
  <si>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</si>
  <si>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</si>
  <si>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</si>
  <si>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</si>
  <si>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</si>
  <si>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</si>
  <si>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</si>
  <si>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</si>
  <si>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</si>
  <si>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</si>
  <si>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</si>
  <si>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</si>
  <si>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</si>
  <si>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</si>
  <si>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</si>
  <si>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</si>
  <si>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</si>
  <si>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</si>
  <si>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</si>
  <si>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</si>
  <si>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</si>
  <si>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</si>
  <si>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</si>
  <si>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</si>
  <si>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</si>
  <si>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</si>
  <si>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</si>
  <si>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</si>
  <si>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</si>
  <si>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</si>
  <si>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</si>
  <si>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</si>
  <si>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</si>
  <si>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</si>
  <si>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</si>
  <si>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</si>
  <si>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</si>
  <si>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</si>
  <si>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</si>
  <si>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</si>
  <si>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</si>
  <si>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</si>
  <si>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</si>
  <si>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</si>
  <si>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</si>
  <si>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</si>
  <si>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</si>
  <si>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</si>
  <si>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</si>
  <si>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</si>
  <si>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</si>
  <si>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</si>
  <si>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</si>
  <si>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</si>
  <si>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</si>
  <si>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</si>
  <si>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</si>
  <si>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</si>
  <si>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</si>
  <si>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</si>
  <si>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</si>
  <si>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</si>
  <si>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</si>
  <si>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</si>
  <si>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</si>
  <si>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</si>
  <si>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</si>
  <si>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</si>
  <si>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</si>
  <si>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</si>
  <si>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</si>
  <si>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</si>
  <si>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</si>
  <si>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</si>
  <si>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</si>
  <si>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</si>
  <si>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</si>
  <si>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</si>
  <si>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</si>
  <si>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</si>
  <si>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</si>
  <si>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</si>
  <si>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</si>
  <si>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</si>
  <si>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</si>
  <si>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</si>
  <si>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</si>
  <si>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</si>
  <si>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</si>
  <si>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</si>
  <si>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</si>
  <si>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</si>
  <si>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</si>
  <si>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</si>
  <si>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</si>
  <si>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</si>
  <si>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</si>
  <si>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</si>
  <si>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</si>
  <si>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</si>
  <si>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</si>
  <si>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</si>
  <si>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</si>
  <si>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</si>
  <si>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</si>
  <si>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</si>
  <si>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</si>
  <si>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</si>
  <si>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</si>
  <si>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</si>
  <si>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</si>
  <si>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</si>
  <si>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</si>
  <si>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</si>
  <si>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</si>
  <si>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</si>
  <si>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</si>
  <si>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</si>
  <si>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</si>
  <si>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</si>
  <si>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</si>
  <si>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</si>
  <si>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</si>
  <si>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</si>
  <si>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</si>
  <si>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</si>
  <si>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</si>
  <si>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</si>
  <si>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</si>
  <si>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</si>
  <si>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</si>
  <si>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</si>
  <si>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</si>
  <si>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</si>
  <si>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</si>
  <si>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</si>
  <si>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</si>
  <si>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</si>
  <si>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</si>
  <si>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</si>
  <si>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</si>
  <si>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</si>
  <si>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</si>
  <si>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</si>
  <si>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</si>
  <si>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</si>
  <si>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</si>
  <si>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</si>
  <si>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</si>
  <si>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</si>
  <si>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</si>
  <si>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</si>
  <si>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</si>
  <si>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</si>
  <si>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</si>
  <si>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</si>
  <si>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</si>
  <si>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</si>
  <si>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</si>
  <si>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</si>
  <si>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</si>
  <si>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</si>
  <si>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</si>
  <si>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</si>
  <si>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</si>
  <si>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</si>
  <si>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</si>
  <si>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</si>
  <si>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</si>
  <si>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</si>
  <si>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</si>
  <si>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</si>
  <si>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</si>
  <si>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</si>
  <si>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</si>
  <si>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</si>
  <si>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</si>
  <si>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</si>
  <si>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</si>
  <si>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</si>
  <si>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</si>
  <si>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</si>
  <si>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</si>
  <si>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</si>
  <si>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</si>
  <si>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</si>
  <si>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</si>
  <si>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</si>
  <si>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</si>
  <si>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</si>
  <si>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</si>
  <si>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</si>
  <si>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</si>
  <si>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</si>
  <si>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</si>
  <si>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</si>
  <si>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</si>
  <si>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</si>
  <si>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</si>
  <si>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</si>
  <si>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</si>
  <si>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</si>
  <si>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</si>
  <si>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</si>
  <si>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</si>
  <si>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</si>
  <si>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</si>
  <si>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</si>
  <si>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</si>
  <si>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</si>
  <si>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</si>
  <si>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</si>
  <si>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</si>
  <si>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</si>
  <si>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</si>
  <si>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</si>
  <si>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</si>
  <si>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</si>
  <si>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</si>
  <si>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</si>
  <si>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</si>
  <si>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</si>
  <si>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</si>
  <si>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</si>
  <si>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</si>
  <si>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</si>
  <si>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</si>
  <si>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</si>
  <si>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</si>
  <si>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</si>
  <si>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</si>
  <si>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</si>
  <si>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</si>
  <si>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</si>
  <si>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</si>
  <si>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</si>
  <si>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</si>
  <si>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</si>
  <si>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</si>
  <si>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</si>
  <si>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</si>
  <si>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</si>
  <si>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</si>
  <si>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</si>
  <si>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</si>
  <si>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</si>
  <si>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</si>
  <si>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</si>
  <si>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</si>
  <si>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</si>
  <si>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</si>
  <si>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</si>
  <si>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</si>
  <si>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</si>
  <si>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</si>
  <si>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</si>
  <si>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</si>
  <si>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</si>
  <si>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</si>
  <si>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</si>
  <si>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</si>
  <si>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</si>
  <si>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</si>
  <si>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</si>
  <si>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</si>
  <si>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</si>
  <si>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</si>
  <si>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</si>
  <si>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</si>
  <si>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</si>
  <si>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</si>
  <si>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</si>
  <si>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</si>
  <si>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</si>
  <si>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</si>
  <si>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</si>
  <si>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</si>
  <si>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</si>
  <si>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</si>
  <si>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</si>
  <si>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</si>
  <si>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</si>
  <si>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</si>
  <si>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</si>
  <si>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</si>
  <si>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</si>
  <si>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</si>
  <si>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</si>
  <si>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</si>
  <si>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</si>
  <si>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</si>
  <si>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</si>
  <si>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</si>
  <si>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</si>
  <si>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</si>
  <si>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</si>
  <si>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</si>
  <si>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</si>
  <si>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</si>
  <si>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</si>
  <si>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</si>
  <si>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</si>
  <si>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</si>
  <si>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</si>
  <si>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</si>
  <si>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</si>
  <si>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</si>
  <si>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</si>
  <si>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</si>
  <si>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</si>
  <si>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</si>
  <si>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</si>
  <si>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</si>
  <si>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</si>
  <si>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</si>
  <si>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</si>
  <si>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</si>
  <si>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</si>
  <si>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</si>
  <si>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</si>
  <si>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</si>
  <si>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</si>
  <si>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</si>
  <si>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</si>
  <si>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</si>
  <si>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</si>
  <si>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</si>
  <si>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</si>
  <si>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</si>
  <si>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</si>
  <si>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</si>
  <si>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</si>
  <si>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</si>
  <si>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</si>
  <si>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</si>
  <si>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</si>
  <si>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</si>
  <si>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</si>
  <si>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</si>
  <si>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</si>
  <si>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</si>
  <si>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</si>
  <si>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</si>
  <si>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</si>
  <si>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</si>
  <si>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</si>
  <si>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</si>
  <si>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</si>
  <si>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</si>
  <si>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</si>
  <si>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</si>
  <si>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</si>
  <si>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</si>
  <si>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</si>
  <si>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</si>
  <si>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</si>
  <si>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</si>
  <si>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</si>
  <si>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</si>
  <si>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</si>
  <si>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</si>
  <si>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</si>
  <si>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</si>
  <si>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</si>
  <si>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</si>
  <si>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</si>
  <si>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</si>
  <si>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</si>
  <si>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</si>
  <si>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</si>
  <si>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</si>
  <si>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</si>
  <si>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</si>
  <si>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</si>
  <si>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</si>
  <si>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</si>
  <si>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</si>
  <si>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</si>
  <si>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</si>
  <si>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</si>
  <si>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</si>
  <si>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</si>
  <si>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</si>
  <si>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</si>
  <si>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</si>
  <si>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</si>
  <si>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</si>
  <si>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</si>
  <si>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</si>
  <si>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</si>
  <si>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</si>
  <si>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</si>
  <si>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</si>
  <si>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</si>
  <si>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</si>
  <si>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</si>
  <si>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</si>
  <si>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</si>
  <si>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</si>
  <si>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</si>
  <si>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</si>
  <si>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</si>
  <si>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</si>
  <si>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</si>
  <si>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</si>
  <si>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</si>
  <si>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</si>
  <si>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</si>
  <si>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</si>
  <si>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</si>
  <si>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</si>
  <si>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</si>
  <si>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</si>
  <si>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</si>
  <si>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</si>
  <si>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</si>
  <si>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</si>
  <si>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</si>
  <si>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</si>
  <si>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</si>
  <si>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</si>
  <si>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</si>
  <si>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</si>
  <si>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</si>
  <si>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</si>
  <si>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</si>
  <si>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</si>
  <si>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</si>
  <si>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</si>
  <si>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</si>
  <si>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</si>
  <si>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</si>
  <si>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</si>
  <si>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</si>
  <si>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</si>
  <si>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</si>
  <si>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</si>
  <si>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</si>
  <si>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</si>
  <si>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</si>
  <si>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</si>
  <si>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</si>
  <si>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</si>
  <si>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</si>
  <si>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</si>
  <si>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</si>
  <si>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</si>
  <si>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</si>
  <si>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</si>
  <si>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</si>
  <si>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</si>
  <si>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</si>
  <si>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</si>
  <si>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</si>
  <si>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</si>
  <si>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</si>
  <si>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</si>
  <si>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</si>
  <si>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</si>
  <si>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</si>
  <si>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</si>
  <si>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</si>
  <si>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</si>
  <si>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</si>
  <si>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</si>
  <si>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</si>
  <si>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</si>
  <si>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</si>
  <si>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</si>
  <si>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</si>
  <si>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</si>
  <si>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</si>
  <si>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</si>
  <si>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</si>
  <si>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</si>
  <si>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</si>
  <si>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</si>
  <si>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</si>
  <si>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</si>
  <si>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</si>
  <si>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</si>
  <si>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</si>
  <si>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</si>
  <si>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</si>
  <si>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</si>
  <si>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</si>
  <si>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</si>
  <si>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</si>
  <si>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</si>
  <si>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</si>
  <si>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</si>
  <si>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</si>
  <si>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</si>
  <si>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</si>
  <si>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</si>
  <si>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</si>
  <si>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</si>
  <si>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</si>
  <si>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</si>
  <si>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</si>
  <si>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</si>
  <si>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</si>
  <si>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</si>
  <si>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</si>
  <si>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</si>
  <si>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</si>
  <si>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</si>
  <si>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</si>
  <si>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</si>
  <si>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</si>
  <si>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</si>
  <si>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</si>
  <si>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</si>
  <si>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</si>
  <si>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</si>
  <si>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</si>
  <si>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</si>
  <si>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</si>
  <si>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</si>
  <si>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</si>
  <si>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</si>
  <si>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</si>
  <si>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</si>
  <si>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</si>
  <si>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</si>
  <si>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</si>
  <si>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</si>
  <si>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</si>
  <si>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</si>
  <si>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</si>
  <si>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</si>
  <si>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</si>
  <si>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</si>
  <si>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</si>
  <si>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</si>
  <si>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</si>
  <si>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</si>
  <si>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</si>
  <si>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</si>
  <si>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</si>
  <si>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</si>
  <si>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</si>
  <si>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</si>
  <si>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</si>
  <si>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</si>
  <si>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</si>
  <si>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</si>
  <si>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</si>
  <si>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</si>
  <si>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</si>
  <si>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</si>
  <si>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</si>
  <si>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</si>
  <si>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</si>
  <si>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</si>
  <si>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</si>
  <si>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</si>
  <si>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</si>
  <si>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</si>
  <si>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</si>
  <si>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</si>
  <si>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</si>
  <si>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</si>
  <si>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</si>
  <si>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</si>
  <si>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</si>
  <si>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</si>
  <si>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</si>
  <si>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</si>
  <si>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</si>
  <si>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</si>
  <si>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</si>
  <si>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</si>
  <si>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</si>
  <si>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</si>
  <si>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</si>
  <si>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</si>
  <si>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</si>
  <si>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</si>
  <si>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</si>
  <si>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</si>
  <si>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</si>
  <si>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</si>
  <si>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</si>
  <si>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</si>
  <si>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</si>
  <si>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</si>
  <si>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</si>
  <si>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</si>
  <si>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</si>
  <si>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</si>
  <si>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</si>
  <si>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</si>
  <si>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</si>
  <si>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</si>
  <si>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</si>
  <si>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</si>
  <si>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</si>
  <si>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</si>
  <si>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</si>
  <si>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</si>
  <si>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</si>
  <si>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</si>
  <si>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</si>
  <si>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</si>
  <si>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</si>
  <si>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</si>
  <si>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</si>
  <si>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</si>
  <si>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</si>
  <si>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</si>
  <si>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</si>
  <si>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</si>
  <si>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</si>
  <si>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</si>
  <si>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</si>
  <si>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</si>
  <si>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</si>
  <si>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</si>
  <si>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</si>
  <si>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</si>
  <si>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</si>
  <si>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</si>
  <si>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</si>
  <si>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</si>
  <si>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</si>
  <si>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</si>
  <si>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</si>
  <si>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</si>
  <si>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</si>
  <si>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</si>
  <si>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</si>
  <si>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</si>
  <si>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</si>
  <si>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</si>
  <si>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</si>
  <si>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</si>
  <si>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</si>
  <si>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</si>
  <si>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</si>
  <si>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</si>
  <si>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</si>
  <si>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</si>
  <si>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</si>
  <si>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</si>
  <si>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</si>
  <si>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</si>
  <si>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</si>
  <si>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</si>
  <si>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</si>
  <si>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</si>
  <si>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</si>
  <si>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</si>
  <si>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</si>
  <si>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</si>
  <si>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</si>
  <si>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</si>
  <si>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</si>
  <si>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</si>
  <si>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</si>
  <si>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</si>
  <si>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</si>
  <si>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</si>
  <si>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</si>
  <si>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</si>
  <si>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</si>
  <si>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</si>
  <si>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</si>
  <si>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</si>
  <si>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</si>
  <si>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</si>
  <si>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</si>
  <si>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</si>
  <si>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</si>
  <si>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</si>
  <si>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</si>
  <si>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</si>
  <si>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</si>
  <si>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</si>
  <si>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</si>
  <si>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</si>
  <si>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</si>
  <si>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</si>
  <si>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</si>
  <si>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</si>
  <si>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</si>
  <si>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</si>
  <si>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</si>
  <si>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</si>
  <si>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</si>
  <si>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</si>
  <si>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</si>
  <si>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</si>
  <si>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</si>
  <si>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</si>
  <si>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</si>
  <si>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</si>
  <si>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</si>
  <si>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</si>
  <si>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</si>
  <si>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</si>
  <si>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</si>
  <si>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</si>
  <si>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</si>
  <si>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</si>
  <si>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</si>
  <si>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</si>
  <si>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</si>
  <si>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</si>
  <si>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</si>
  <si>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</si>
  <si>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</si>
  <si>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</si>
  <si>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</si>
  <si>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</si>
  <si>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</si>
  <si>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</si>
  <si>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</si>
  <si>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</si>
  <si>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</si>
  <si>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</si>
  <si>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</si>
  <si>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</si>
  <si>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</si>
  <si>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</si>
  <si>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</si>
  <si>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</si>
  <si>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</si>
  <si>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</si>
  <si>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</si>
  <si>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</si>
  <si>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</si>
  <si>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</si>
  <si>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</si>
  <si>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</si>
  <si>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</si>
  <si>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</si>
  <si>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</si>
  <si>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</si>
  <si>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</si>
  <si>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</si>
  <si>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</si>
  <si>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</si>
  <si>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</si>
  <si>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</si>
  <si>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</si>
  <si>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</si>
  <si>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</si>
  <si>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</si>
  <si>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</si>
  <si>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</si>
  <si>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</si>
  <si>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</si>
  <si>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</si>
  <si>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</si>
  <si>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</si>
  <si>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</si>
  <si>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</si>
  <si>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</si>
  <si>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</si>
  <si>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</si>
  <si>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</si>
  <si>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</si>
  <si>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</si>
  <si>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</si>
  <si>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</si>
  <si>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</si>
  <si>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</si>
  <si>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</si>
  <si>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</si>
  <si>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</si>
  <si>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</si>
  <si>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</si>
  <si>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</si>
  <si>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</si>
  <si>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</si>
  <si>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</si>
  <si>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</si>
  <si>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</si>
  <si>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</si>
  <si>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</si>
  <si>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</si>
  <si>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</si>
  <si>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</si>
  <si>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</si>
  <si>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</si>
  <si>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</si>
  <si>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</si>
  <si>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</si>
  <si>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</si>
  <si>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</si>
  <si>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</si>
  <si>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</si>
  <si>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</si>
  <si>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</si>
  <si>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</si>
  <si>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</si>
  <si>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</si>
  <si>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</si>
  <si>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</si>
  <si>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</si>
  <si>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</si>
  <si>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</si>
  <si>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</si>
  <si>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</si>
  <si>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</si>
  <si>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</si>
  <si>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</si>
  <si>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</si>
  <si>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</si>
  <si>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</si>
  <si>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</si>
  <si>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</si>
  <si>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</si>
  <si>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</si>
  <si>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</si>
  <si>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</si>
  <si>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</si>
  <si>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</si>
  <si>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</si>
  <si>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</si>
  <si>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</si>
  <si>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</si>
  <si>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</si>
  <si>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</si>
  <si>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</si>
  <si>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</si>
  <si>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</si>
  <si>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</si>
  <si>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</si>
  <si>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</si>
  <si>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</si>
  <si>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</si>
  <si>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</si>
  <si>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</si>
  <si>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</si>
  <si>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</si>
  <si>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</si>
  <si>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</si>
  <si>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</si>
  <si>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</si>
  <si>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</si>
  <si>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</si>
  <si>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</si>
  <si>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</si>
  <si>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</si>
  <si>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</si>
  <si>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</si>
  <si>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</si>
  <si>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</si>
  <si>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</si>
  <si>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</si>
  <si>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</si>
  <si>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</si>
  <si>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</si>
  <si>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</si>
  <si>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</si>
  <si>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</si>
  <si>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</si>
  <si>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</si>
  <si>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</si>
  <si>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</si>
  <si>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</si>
  <si>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</si>
  <si>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</si>
  <si>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</si>
  <si>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</si>
  <si>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</si>
  <si>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</si>
  <si>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</si>
  <si>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</si>
  <si>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</si>
  <si>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</si>
  <si>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</si>
  <si>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</si>
  <si>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</si>
  <si>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</si>
  <si>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</si>
  <si>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</si>
  <si>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</si>
  <si>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</si>
  <si>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</si>
  <si>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</si>
  <si>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</si>
  <si>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</si>
  <si>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</si>
  <si>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</si>
  <si>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</si>
  <si>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</si>
  <si>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</si>
  <si>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</si>
  <si>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</si>
  <si>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</si>
  <si>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</si>
  <si>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</si>
  <si>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</si>
  <si>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</si>
  <si>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</si>
  <si>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</si>
  <si>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</si>
  <si>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</si>
  <si>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</si>
  <si>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</si>
  <si>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</si>
  <si>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</si>
  <si>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</si>
  <si>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</si>
  <si>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</si>
  <si>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</si>
  <si>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</si>
  <si>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</si>
  <si>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</si>
  <si>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</si>
  <si>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</si>
  <si>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</si>
  <si>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</si>
  <si>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</si>
  <si>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</si>
  <si>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</si>
  <si>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</si>
  <si>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</si>
  <si>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</si>
  <si>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</si>
  <si>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</si>
  <si>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</si>
  <si>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</si>
  <si>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</si>
  <si>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</si>
  <si>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</si>
  <si>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</si>
  <si>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</si>
  <si>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</si>
  <si>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</si>
  <si>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</si>
  <si>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</si>
  <si>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</si>
  <si>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</si>
  <si>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</si>
  <si>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</si>
  <si>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</si>
  <si>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</si>
  <si>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</si>
  <si>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</si>
  <si>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</si>
  <si>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</si>
  <si>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</si>
  <si>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</si>
  <si>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</si>
  <si>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</si>
  <si>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</si>
  <si>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</si>
  <si>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</si>
  <si>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</si>
  <si>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</si>
  <si>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</si>
  <si>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</si>
  <si>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</si>
  <si>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</si>
  <si>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</si>
  <si>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</si>
  <si>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</si>
  <si>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</si>
  <si>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</si>
  <si>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</si>
  <si>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</si>
  <si>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</si>
  <si>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</si>
  <si>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</si>
  <si>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</si>
  <si>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</si>
  <si>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</si>
  <si>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</si>
  <si>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</si>
  <si>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</si>
  <si>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</si>
  <si>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</si>
  <si>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</si>
  <si>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</si>
  <si>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</si>
  <si>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</si>
  <si>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</si>
  <si>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</si>
  <si>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</si>
  <si>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</si>
  <si>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</si>
  <si>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</si>
  <si>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</si>
  <si>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</si>
  <si>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</si>
  <si>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</si>
  <si>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</si>
  <si>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</si>
  <si>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</si>
  <si>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</si>
  <si>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</si>
  <si>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</si>
  <si>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</si>
  <si>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</si>
  <si>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</si>
  <si>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</si>
  <si>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</si>
  <si>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</si>
  <si>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</si>
  <si>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</si>
  <si>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</si>
  <si>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</si>
  <si>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</si>
  <si>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</si>
  <si>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</si>
  <si>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</si>
  <si>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</si>
  <si>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</si>
  <si>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</si>
  <si>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</si>
  <si>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</si>
  <si>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</si>
  <si>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</si>
  <si>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</si>
  <si>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</si>
  <si>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</si>
  <si>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</si>
  <si>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</si>
  <si>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</si>
  <si>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</si>
  <si>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</si>
  <si>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</si>
  <si>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</si>
  <si>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</si>
  <si>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</si>
  <si>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</si>
  <si>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</si>
  <si>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</si>
  <si>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</si>
  <si>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</si>
  <si>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</si>
  <si>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</si>
  <si>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</si>
  <si>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</si>
  <si>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</si>
  <si>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</si>
  <si>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</si>
  <si>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</si>
  <si>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</si>
  <si>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</si>
  <si>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</si>
  <si>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</si>
  <si>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</si>
  <si>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</si>
  <si>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</si>
  <si>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</si>
  <si>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</si>
  <si>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</si>
  <si>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</si>
  <si>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</si>
  <si>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</si>
  <si>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</si>
  <si>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</si>
  <si>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</si>
  <si>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</si>
  <si>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</si>
  <si>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</si>
  <si>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</si>
  <si>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</si>
  <si>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</si>
  <si>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</si>
  <si>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</si>
  <si>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</si>
  <si>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</si>
  <si>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</si>
  <si>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</si>
  <si>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</si>
  <si>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</si>
  <si>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</si>
  <si>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</si>
  <si>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</si>
  <si>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</si>
  <si>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</si>
  <si>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</si>
  <si>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</si>
  <si>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</si>
  <si>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</si>
  <si>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</si>
  <si>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</si>
  <si>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</si>
  <si>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</si>
  <si>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</si>
  <si>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</si>
  <si>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</si>
  <si>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</si>
  <si>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</si>
  <si>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</si>
  <si>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</si>
  <si>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</si>
  <si>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</si>
  <si>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</si>
  <si>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</si>
  <si>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</si>
  <si>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</si>
  <si>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</si>
  <si>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</si>
  <si>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</si>
  <si>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</si>
  <si>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</si>
  <si>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</si>
  <si>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</si>
  <si>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</si>
  <si>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</si>
  <si>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</si>
  <si>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</si>
  <si>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</si>
  <si>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</si>
  <si>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</si>
  <si>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</si>
  <si>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</si>
  <si>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</si>
  <si>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</si>
  <si>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</si>
  <si>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</si>
  <si>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</si>
  <si>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</si>
  <si>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</si>
  <si>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</si>
  <si>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</si>
  <si>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</si>
  <si>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</si>
  <si>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</si>
  <si>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</si>
  <si>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</si>
  <si>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</si>
  <si>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</si>
  <si>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</si>
  <si>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</si>
  <si>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</si>
  <si>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</si>
  <si>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</si>
  <si>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</si>
  <si>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</si>
  <si>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</si>
  <si>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</si>
  <si>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</si>
  <si>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</si>
  <si>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</si>
  <si>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</si>
  <si>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</si>
  <si>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</si>
  <si>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</si>
  <si>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</si>
  <si>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</si>
  <si>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</si>
  <si>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</si>
  <si>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</si>
  <si>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</si>
  <si>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</si>
  <si>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</si>
  <si>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</si>
  <si>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</si>
  <si>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</si>
  <si>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</si>
  <si>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</si>
  <si>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</si>
  <si>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</si>
  <si>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</si>
  <si>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</si>
  <si>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</si>
  <si>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</si>
  <si>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</si>
  <si>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</si>
  <si>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</si>
  <si>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</si>
  <si>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</si>
  <si>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</si>
  <si>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</si>
  <si>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</si>
  <si>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</si>
  <si>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</si>
  <si>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</si>
  <si>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</si>
  <si>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</si>
  <si>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</si>
  <si>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</si>
  <si>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</si>
  <si>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</si>
  <si>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</si>
  <si>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</si>
  <si>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</si>
  <si>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</si>
  <si>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</si>
  <si>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</si>
  <si>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</si>
  <si>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</si>
  <si>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</si>
  <si>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</si>
  <si>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</si>
  <si>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</si>
  <si>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</si>
  <si>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</si>
  <si>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</si>
  <si>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</si>
  <si>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</si>
  <si>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</si>
  <si>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</si>
  <si>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</si>
  <si>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</si>
  <si>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</si>
  <si>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</si>
  <si>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</si>
  <si>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</si>
  <si>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</si>
  <si>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</si>
  <si>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</si>
  <si>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</si>
  <si>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</si>
  <si>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</si>
  <si>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</si>
  <si>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</si>
  <si>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</si>
  <si>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</si>
  <si>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</si>
  <si>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</si>
  <si>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</si>
  <si>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</si>
  <si>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</si>
  <si>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</si>
  <si>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</si>
  <si>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</si>
  <si>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</si>
  <si>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</si>
  <si>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</si>
  <si>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</si>
  <si>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</si>
  <si>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</si>
  <si>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</si>
  <si>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</si>
  <si>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</si>
  <si>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</si>
  <si>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</si>
  <si>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</si>
  <si>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</si>
  <si>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</si>
  <si>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</si>
  <si>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</si>
  <si>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</si>
  <si>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</si>
  <si>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</si>
  <si>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</si>
  <si>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</si>
  <si>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</si>
  <si>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</si>
  <si>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</si>
  <si>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</si>
  <si>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</si>
  <si>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</si>
  <si>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</si>
  <si>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</si>
  <si>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</si>
  <si>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</si>
  <si>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</si>
  <si>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</si>
  <si>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</si>
  <si>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</si>
  <si>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</si>
  <si>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</si>
  <si>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</si>
  <si>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</si>
  <si>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</si>
  <si>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</si>
  <si>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</si>
  <si>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</si>
  <si>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</si>
  <si>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</si>
  <si>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</si>
  <si>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</si>
  <si>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</si>
  <si>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</si>
  <si>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</si>
  <si>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</si>
  <si>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</si>
  <si>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</si>
  <si>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</si>
  <si>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</si>
  <si>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</si>
  <si>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</si>
  <si>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</si>
  <si>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</si>
  <si>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</si>
  <si>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</si>
  <si>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</si>
  <si>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</si>
  <si>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</si>
  <si>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</si>
  <si>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</si>
  <si>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</si>
  <si>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</si>
  <si>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</si>
  <si>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</si>
  <si>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</si>
  <si>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</si>
  <si>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</si>
  <si>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</si>
  <si>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</si>
  <si>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</si>
  <si>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</si>
  <si>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</si>
  <si>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</si>
  <si>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</si>
  <si>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</si>
  <si>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</si>
  <si>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</si>
  <si>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</si>
  <si>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</si>
  <si>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</si>
  <si>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</si>
  <si>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</si>
  <si>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</si>
  <si>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</si>
  <si>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</si>
  <si>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</si>
  <si>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</si>
  <si>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</si>
  <si>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</si>
  <si>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</si>
  <si>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</si>
  <si>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</si>
  <si>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</si>
  <si>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</si>
  <si>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</si>
  <si>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</si>
  <si>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</si>
  <si>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</si>
  <si>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</si>
  <si>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</si>
  <si>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</si>
  <si>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</si>
  <si>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</si>
  <si>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</si>
  <si>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</si>
  <si>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</si>
  <si>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</si>
  <si>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</si>
  <si>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</si>
  <si>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</si>
  <si>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</si>
  <si>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</si>
  <si>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</si>
  <si>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</si>
  <si>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</si>
  <si>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</si>
  <si>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</si>
  <si>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</si>
  <si>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</si>
  <si>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</si>
  <si>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</si>
  <si>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</si>
  <si>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</si>
  <si>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</si>
  <si>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</si>
  <si>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</si>
  <si>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</si>
  <si>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</si>
  <si>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</si>
  <si>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</si>
  <si>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</si>
  <si>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</si>
  <si>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</si>
  <si>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</si>
  <si>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</si>
  <si>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</si>
  <si>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</si>
  <si>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</si>
  <si>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</si>
  <si>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</si>
  <si>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</si>
  <si>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</si>
  <si>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</si>
  <si>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</si>
  <si>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</si>
  <si>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</si>
  <si>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</si>
  <si>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</si>
  <si>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</si>
  <si>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</si>
  <si>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</si>
  <si>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</si>
  <si>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</si>
  <si>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</si>
  <si>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</si>
  <si>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</si>
  <si>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</si>
  <si>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</si>
  <si>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</si>
  <si>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</si>
  <si>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</si>
  <si>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</si>
  <si>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</si>
  <si>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</si>
  <si>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</si>
  <si>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</si>
  <si>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</si>
  <si>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</si>
  <si>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</si>
  <si>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</si>
  <si>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</si>
  <si>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</si>
  <si>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</si>
  <si>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</si>
  <si>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</si>
  <si>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</si>
  <si>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</si>
  <si>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</si>
  <si>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</si>
  <si>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</si>
  <si>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</si>
  <si>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</si>
  <si>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</si>
  <si>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</si>
  <si>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</si>
  <si>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</si>
  <si>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</si>
  <si>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</si>
  <si>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</si>
  <si>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</si>
  <si>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</si>
  <si>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</si>
  <si>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</si>
  <si>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</si>
  <si>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</si>
  <si>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</si>
  <si>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</si>
  <si>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</si>
  <si>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</si>
  <si>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</si>
  <si>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</si>
  <si>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</si>
  <si>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</si>
  <si>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</si>
  <si>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</si>
  <si>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</si>
  <si>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</si>
  <si>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</si>
  <si>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</si>
  <si>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</si>
  <si>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</si>
  <si>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</si>
  <si>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</si>
  <si>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</si>
  <si>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</si>
  <si>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</si>
  <si>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</si>
  <si>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</si>
  <si>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</si>
  <si>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</si>
  <si>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</si>
  <si>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</si>
  <si>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</si>
  <si>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</si>
  <si>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</si>
  <si>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</si>
  <si>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</si>
  <si>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</si>
  <si>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</si>
  <si>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</si>
  <si>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</si>
  <si>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</si>
  <si>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</si>
  <si>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</si>
  <si>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</si>
  <si>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</si>
  <si>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</si>
  <si>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</si>
  <si>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</si>
  <si>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</si>
  <si>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</si>
  <si>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</si>
  <si>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</si>
  <si>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</si>
  <si>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</si>
  <si>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</si>
  <si>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</si>
  <si>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</si>
  <si>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</si>
  <si>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</si>
  <si>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</si>
  <si>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</si>
  <si>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</si>
  <si>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</si>
  <si>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</si>
  <si>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</si>
  <si>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</si>
  <si>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</si>
  <si>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</si>
  <si>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</si>
  <si>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</si>
  <si>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</si>
  <si>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</si>
  <si>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</si>
  <si>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</si>
  <si>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</si>
  <si>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</si>
  <si>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</si>
  <si>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</si>
  <si>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</si>
  <si>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</si>
  <si>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</si>
  <si>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</si>
  <si>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</si>
  <si>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</si>
  <si>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</si>
  <si>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</si>
  <si>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</si>
  <si>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</si>
  <si>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</si>
  <si>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</si>
  <si>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</si>
  <si>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</si>
  <si>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</si>
  <si>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</si>
  <si>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</si>
  <si>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</si>
  <si>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</si>
  <si>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</si>
  <si>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</si>
  <si>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</si>
  <si>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</si>
  <si>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</si>
  <si>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</si>
  <si>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</si>
  <si>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</si>
  <si>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</si>
  <si>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</si>
  <si>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</si>
  <si>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</si>
  <si>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</si>
  <si>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</si>
  <si>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</si>
  <si>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</si>
  <si>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</si>
  <si>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</si>
  <si>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</si>
  <si>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</si>
  <si>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</si>
  <si>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</si>
  <si>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</si>
  <si>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</si>
  <si>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</si>
  <si>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</si>
  <si>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</si>
  <si>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</si>
  <si>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</si>
  <si>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</si>
  <si>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</si>
  <si>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</si>
  <si>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</si>
  <si>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</si>
  <si>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</si>
  <si>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</si>
  <si>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</si>
  <si>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</si>
  <si>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</si>
  <si>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</si>
  <si>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</si>
  <si>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</si>
  <si>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</si>
  <si>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</si>
  <si>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</si>
  <si>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</si>
  <si>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</si>
  <si>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</si>
  <si>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</si>
  <si>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</si>
  <si>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</si>
  <si>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</si>
  <si>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</si>
  <si>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</si>
  <si>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</si>
  <si>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</si>
  <si>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</si>
  <si>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</si>
  <si>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</si>
  <si>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</si>
  <si>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</si>
  <si>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</si>
  <si>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</si>
  <si>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</si>
  <si>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</si>
  <si>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</si>
  <si>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</si>
  <si>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</si>
  <si>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</si>
  <si>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</si>
  <si>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</si>
  <si>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</si>
  <si>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</si>
  <si>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</si>
  <si>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</si>
  <si>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</si>
  <si>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</si>
  <si>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</si>
  <si>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</si>
  <si>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</si>
  <si>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</si>
  <si>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</si>
  <si>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</si>
  <si>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</si>
  <si>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</si>
  <si>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</si>
  <si>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</si>
  <si>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</si>
  <si>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</si>
  <si>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</si>
  <si>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</si>
  <si>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</si>
  <si>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</si>
  <si>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</si>
  <si>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</si>
  <si>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</si>
  <si>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</si>
  <si>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</si>
  <si>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</si>
  <si>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</si>
  <si>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</si>
  <si>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</si>
  <si>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</si>
  <si>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</si>
  <si>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</si>
  <si>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</si>
  <si>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</si>
  <si>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</si>
  <si>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</si>
  <si>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</si>
  <si>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</si>
  <si>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</si>
  <si>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</si>
  <si>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</si>
  <si>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</si>
  <si>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</si>
  <si>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</si>
  <si>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</si>
  <si>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</si>
  <si>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</si>
  <si>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</si>
  <si>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</si>
  <si>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</si>
  <si>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</si>
  <si>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</si>
  <si>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</si>
  <si>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</si>
  <si>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</si>
  <si>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</si>
  <si>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</si>
  <si>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</si>
  <si>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</si>
  <si>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</si>
  <si>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</si>
  <si>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</si>
  <si>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</si>
  <si>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</si>
  <si>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</si>
  <si>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</si>
  <si>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</si>
  <si>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</si>
  <si>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</si>
  <si>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</si>
  <si>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</si>
  <si>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</si>
  <si>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</si>
  <si>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</si>
  <si>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</si>
  <si>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</si>
  <si>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</si>
  <si>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</si>
  <si>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</si>
  <si>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</si>
  <si>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</si>
  <si>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</si>
  <si>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</si>
  <si>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</si>
  <si>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</si>
  <si>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</si>
  <si>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</si>
  <si>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</si>
  <si>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</si>
  <si>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</si>
  <si>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</si>
  <si>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</si>
  <si>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</si>
  <si>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</si>
  <si>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</si>
  <si>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</si>
  <si>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</si>
  <si>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</si>
  <si>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</si>
  <si>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</si>
  <si>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</si>
  <si>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</si>
  <si>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</si>
  <si>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</si>
  <si>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</si>
  <si>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</si>
  <si>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</si>
  <si>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</si>
  <si>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</si>
  <si>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</si>
  <si>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</si>
  <si>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</si>
  <si>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</si>
  <si>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</si>
  <si>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</si>
  <si>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</si>
  <si>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</si>
  <si>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</si>
  <si>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</si>
  <si>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</si>
  <si>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</si>
  <si>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</si>
  <si>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</si>
  <si>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</si>
  <si>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</si>
  <si>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</si>
  <si>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</si>
  <si>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</si>
  <si>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</si>
  <si>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</si>
  <si>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</si>
  <si>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</si>
  <si>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</si>
  <si>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</si>
  <si>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</si>
  <si>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</si>
  <si>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</si>
  <si>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</si>
  <si>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</si>
  <si>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</si>
  <si>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</si>
  <si>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</si>
  <si>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</si>
  <si>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</si>
  <si>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</si>
  <si>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</si>
  <si>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</si>
  <si>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</si>
  <si>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</si>
  <si>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</si>
  <si>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</si>
  <si>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</si>
  <si>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</si>
  <si>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</si>
  <si>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</si>
  <si>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</si>
  <si>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</si>
  <si>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</si>
  <si>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</si>
  <si>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</si>
  <si>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</si>
  <si>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</si>
  <si>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</si>
  <si>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</si>
  <si>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</si>
  <si>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</si>
  <si>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</si>
  <si>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</si>
  <si>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</si>
  <si>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</si>
  <si>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</si>
  <si>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</si>
  <si>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</si>
  <si>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</si>
  <si>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</si>
  <si>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</si>
  <si>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</si>
  <si>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</si>
  <si>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</si>
  <si>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</si>
  <si>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</si>
  <si>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</si>
  <si>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</si>
  <si>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</si>
  <si>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</si>
  <si>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</si>
  <si>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</si>
  <si>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</si>
  <si>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</si>
  <si>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</si>
  <si>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</si>
  <si>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</si>
  <si>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</si>
  <si>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</si>
  <si>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</si>
  <si>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</si>
  <si>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</si>
  <si>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</si>
  <si>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</si>
  <si>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</si>
  <si>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</si>
  <si>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</si>
  <si>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</si>
  <si>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</si>
  <si>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</si>
  <si>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</si>
  <si>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</si>
  <si>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</si>
  <si>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</si>
  <si>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</si>
  <si>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</si>
  <si>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</si>
  <si>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</si>
  <si>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</si>
  <si>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</si>
  <si>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</si>
  <si>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</si>
  <si>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</si>
  <si>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</si>
  <si>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</si>
  <si>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</si>
  <si>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</si>
  <si>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</si>
  <si>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</si>
  <si>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</si>
  <si>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</si>
  <si>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</si>
  <si>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</si>
  <si>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</si>
  <si>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</si>
  <si>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</si>
  <si>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</si>
  <si>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</si>
  <si>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</si>
  <si>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</si>
  <si>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</si>
  <si>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</si>
  <si>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</si>
  <si>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</si>
  <si>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</si>
  <si>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</si>
  <si>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</si>
  <si>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</si>
  <si>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</si>
  <si>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</si>
  <si>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</si>
  <si>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</si>
  <si>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</si>
  <si>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</si>
  <si>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</si>
  <si>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</si>
  <si>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</si>
  <si>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</si>
  <si>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</si>
  <si>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</si>
  <si>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</si>
  <si>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</si>
  <si>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</si>
  <si>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</si>
  <si>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</si>
  <si>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</si>
  <si>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</si>
  <si>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</si>
  <si>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</si>
  <si>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</si>
  <si>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</si>
  <si>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</si>
  <si>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</si>
  <si>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</si>
  <si>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</si>
  <si>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</si>
  <si>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</si>
  <si>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</si>
  <si>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</si>
  <si>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</si>
  <si>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</si>
  <si>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</si>
  <si>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</si>
  <si>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</si>
  <si>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</si>
  <si>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</si>
  <si>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</si>
  <si>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</si>
  <si>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</si>
  <si>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</si>
  <si>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</si>
  <si>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</si>
  <si>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</si>
  <si>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</si>
  <si>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</si>
  <si>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</si>
  <si>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</si>
  <si>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</si>
  <si>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</si>
  <si>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</si>
  <si>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</si>
  <si>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</si>
  <si>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</si>
  <si>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</si>
  <si>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</si>
  <si>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</si>
  <si>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</si>
  <si>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</si>
  <si>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保障房</t>
    <phoneticPr fontId="3" type="noConversion"/>
  </si>
  <si>
    <t>保障房</t>
    <phoneticPr fontId="7" type="noConversion"/>
  </si>
  <si>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</si>
  <si>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</si>
  <si>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</si>
  <si>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</si>
  <si>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</si>
  <si>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</si>
  <si>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</si>
  <si>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</si>
  <si>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</si>
  <si>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</si>
  <si>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</si>
  <si>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</si>
  <si>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</si>
  <si>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</si>
  <si>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</si>
  <si>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</si>
  <si>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</si>
  <si>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</si>
  <si>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</si>
  <si>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</si>
  <si>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</si>
  <si>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</si>
  <si>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</si>
  <si>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</si>
  <si>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</si>
  <si>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</si>
  <si>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</si>
  <si>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</si>
  <si>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</si>
  <si>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</si>
  <si>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</si>
  <si>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</si>
  <si>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</si>
  <si>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</si>
  <si>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</si>
  <si>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</si>
  <si>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</si>
  <si>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</si>
  <si>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杨浦区新江湾城N091104单元C1-02(D7)地块</t>
  </si>
  <si>
    <t>2015-11-25</t>
  </si>
  <si>
    <t>上海信达银泰置业有限公司、上海坤瓴投资有限公司</t>
  </si>
  <si>
    <t>住宅、商业</t>
    <phoneticPr fontId="3" type="noConversion"/>
  </si>
  <si>
    <t>住宅</t>
    <phoneticPr fontId="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</si>
  <si>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</si>
  <si>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</si>
  <si>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</si>
  <si>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</si>
  <si>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</si>
  <si>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七通</t>
  </si>
  <si>
    <t>五通</t>
  </si>
  <si>
    <t>四通</t>
  </si>
  <si>
    <t>三通</t>
  </si>
  <si>
    <t>一般</t>
  </si>
  <si>
    <t>较差</t>
  </si>
  <si>
    <t>差</t>
  </si>
  <si>
    <t>正常</t>
  </si>
  <si>
    <t>住宅、商业</t>
  </si>
  <si>
    <t>大宁金茂府、水木年华花园</t>
    <phoneticPr fontId="3" type="noConversion"/>
  </si>
  <si>
    <t>宝华现代商业街、凤珠百货店</t>
    <phoneticPr fontId="3" type="noConversion"/>
  </si>
  <si>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3" type="noConversion"/>
  </si>
  <si>
    <t>自然环境：鲁迅公园、凉城公园；人文环境：上海大学</t>
    <phoneticPr fontId="3" type="noConversion"/>
  </si>
  <si>
    <t>中环路</t>
    <phoneticPr fontId="3" type="noConversion"/>
  </si>
  <si>
    <t>主</t>
  </si>
  <si>
    <t>新江湾城、嘉誉湾</t>
    <phoneticPr fontId="3" type="noConversion"/>
  </si>
  <si>
    <t>新江湾生活广场</t>
    <phoneticPr fontId="3"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</si>
  <si>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3" type="noConversion"/>
  </si>
  <si>
    <t>自然环境：新江湾城公园；人文环境：复旦大学</t>
    <phoneticPr fontId="3" type="noConversion"/>
  </si>
  <si>
    <t>少医院</t>
    <phoneticPr fontId="3" type="noConversion"/>
  </si>
  <si>
    <t>逸仙高架桥</t>
    <phoneticPr fontId="3" type="noConversion"/>
  </si>
  <si>
    <t>快速</t>
  </si>
  <si>
    <t>尚浦名邸、盛世御珑湾</t>
    <phoneticPr fontId="3" type="noConversion"/>
  </si>
  <si>
    <t>悠方购物公园、上海星汇广场</t>
    <phoneticPr fontId="3"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</si>
  <si>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3" type="noConversion"/>
  </si>
  <si>
    <t>自然环境：安徒生童话乐园；人文环境：/</t>
    <phoneticPr fontId="3" type="noConversion"/>
  </si>
  <si>
    <t>殷行路</t>
    <phoneticPr fontId="3" type="noConversion"/>
  </si>
  <si>
    <t>次</t>
  </si>
  <si>
    <t>剩余法-待开发</t>
  </si>
  <si>
    <t>比较法-住宅、综合</t>
  </si>
  <si>
    <t>楼面地价</t>
  </si>
  <si>
    <t>权重</t>
    <phoneticPr fontId="3" type="noConversion"/>
  </si>
  <si>
    <t>按合同面积</t>
    <phoneticPr fontId="233" type="noConversion"/>
  </si>
  <si>
    <t>0-100</t>
    <phoneticPr fontId="3" type="noConversion"/>
  </si>
  <si>
    <t>100-200</t>
    <phoneticPr fontId="3" type="noConversion"/>
  </si>
  <si>
    <t>200-300</t>
    <phoneticPr fontId="21" type="noConversion"/>
  </si>
  <si>
    <t>200-300</t>
    <phoneticPr fontId="3" type="noConversion"/>
  </si>
  <si>
    <t>300-400</t>
    <phoneticPr fontId="3" type="noConversion"/>
  </si>
  <si>
    <t>0-100</t>
    <phoneticPr fontId="21" type="noConversion"/>
  </si>
  <si>
    <t>300-400</t>
    <phoneticPr fontId="21" type="noConversion"/>
  </si>
  <si>
    <t>豪华装修</t>
  </si>
  <si>
    <t>豪华装修</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</si>
</sst>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177" fontId="81" fillId="0" borderId="2" xfId="2" applyNumberFormat="1" applyFont="1" applyFill="1" applyBorder="1" applyAlignment="1" applyProtection="1">
      <alignment vertical="center"/>
      <protection locked="0"/>
    </xf>
    <xf numFmtId="0" fontId="0" fillId="21" borderId="0" xfId="0" applyFill="1" applyAlignment="1"/>
    <xf numFmtId="0" fontId="0" fillId="6" borderId="0" xfId="0" applyFill="1" applyAlignment="1"/>
    <xf numFmtId="0" fontId="0" fillId="0" borderId="0" xfId="0" applyFill="1" applyAlignment="1"/>
    <xf numFmtId="0" fontId="0" fillId="6" borderId="0" xfId="0" applyFill="1" applyBorder="1" applyAlignment="1"/>
    <xf numFmtId="49" fontId="144" fillId="0" borderId="2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106" fillId="18" borderId="83"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F5">
            <v>39805.800000000003</v>
          </cell>
        </row>
        <row r="6">
          <cell r="F6">
            <v>131998.1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根据《国有土地使用证》[]，估价对象（分摊）出让国有建设用地使用权面积为11382.9平方米。根据《建设工程规划许可证》[]、《出让合同》[]，估价对象规划建筑面积为56746.02平方米。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11382.9</v>
      </c>
    </row>
    <row r="44" spans="1:2">
      <c r="A44" s="2903" t="s">
        <v>2740</v>
      </c>
      <c r="B44" s="2904" t="str">
        <f>'预评函-2'!O3</f>
        <v>规划建筑面积/㎡</v>
      </c>
    </row>
    <row r="45" spans="1:2">
      <c r="A45" s="2903" t="s">
        <v>2722</v>
      </c>
      <c r="B45" s="2904">
        <f>'预评函-2'!O5</f>
        <v>56746.020000000004</v>
      </c>
    </row>
    <row r="46" spans="1:2">
      <c r="A46" s="2903" t="s">
        <v>2723</v>
      </c>
      <c r="B46" s="2904">
        <f ca="1">'预评函-2'!P5</f>
        <v>297011</v>
      </c>
    </row>
    <row r="47" spans="1:2">
      <c r="A47" s="2903" t="s">
        <v>2724</v>
      </c>
      <c r="B47" s="2904">
        <f ca="1">'预评函-2'!Q5</f>
        <v>59579</v>
      </c>
    </row>
    <row r="48" spans="1:2">
      <c r="A48" s="2903" t="s">
        <v>2725</v>
      </c>
      <c r="B48" s="2904">
        <f ca="1">'预评函-2'!R5</f>
        <v>338085</v>
      </c>
    </row>
    <row r="49" spans="1:2">
      <c r="A49" s="2903" t="s">
        <v>2741</v>
      </c>
      <c r="B49" s="2904" t="str">
        <f>'预评函-2'!A6</f>
        <v>抵押价格</v>
      </c>
    </row>
    <row r="50" spans="1:2">
      <c r="A50" s="2903" t="s">
        <v>2726</v>
      </c>
      <c r="B50" s="2904">
        <f ca="1">'预评函-2'!R6</f>
        <v>338085</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56" t="str">
        <f>IF(B10="北京市","北京市",C10)&amp;F10&amp;B16&amp;"国有建设用地使用权"&amp;B9&amp;"预评估"</f>
        <v>上海市静安区宝山路街道147街坊11丘出让国有建设用地使用权抵押价格预评估</v>
      </c>
      <c r="C1" s="3257"/>
      <c r="D1" s="3257"/>
      <c r="E1" s="3257"/>
      <c r="F1" s="3257"/>
      <c r="G1" s="3257"/>
      <c r="H1" s="3257"/>
      <c r="I1" s="3258"/>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62"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63"/>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59" t="s">
        <v>2991</v>
      </c>
      <c r="C12" s="3260"/>
      <c r="D12" s="3261"/>
      <c r="E12" s="1699" t="s">
        <v>2060</v>
      </c>
      <c r="F12" s="3277" t="s">
        <v>2889</v>
      </c>
      <c r="G12" s="3278"/>
      <c r="H12" s="3278"/>
      <c r="I12" s="3279"/>
      <c r="J12" s="1694"/>
      <c r="K12" s="1774"/>
      <c r="L12" s="1723"/>
      <c r="M12" s="1723"/>
      <c r="N12" s="1694"/>
      <c r="O12" s="1695"/>
      <c r="P12" s="1694"/>
      <c r="Q12" s="1694"/>
      <c r="R12" s="1694"/>
      <c r="S12" s="1694"/>
      <c r="T12" s="1694"/>
      <c r="U12" s="1694"/>
    </row>
    <row r="13" spans="1:21">
      <c r="A13" s="1687" t="s">
        <v>2058</v>
      </c>
      <c r="B13" s="3259" t="s">
        <v>2992</v>
      </c>
      <c r="C13" s="3260"/>
      <c r="D13" s="3261"/>
      <c r="E13" s="1699" t="s">
        <v>2060</v>
      </c>
      <c r="F13" s="3277" t="s">
        <v>2890</v>
      </c>
      <c r="G13" s="3278"/>
      <c r="H13" s="3278"/>
      <c r="I13" s="3279"/>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74"/>
      <c r="E20" s="3275"/>
      <c r="F20" s="3275"/>
      <c r="G20" s="3275"/>
      <c r="H20" s="3275"/>
      <c r="I20" s="3276"/>
      <c r="J20" s="1694"/>
      <c r="K20" s="1774"/>
      <c r="L20" s="1723"/>
      <c r="M20" s="1723"/>
      <c r="N20" s="1694"/>
      <c r="O20" s="1695"/>
      <c r="P20" s="1694"/>
      <c r="Q20" s="1694"/>
      <c r="R20" s="1694"/>
      <c r="S20" s="1694"/>
      <c r="T20" s="1694"/>
      <c r="U20" s="1694"/>
    </row>
    <row r="21" spans="1:21">
      <c r="A21" s="1763" t="s">
        <v>1958</v>
      </c>
      <c r="B21" s="1764" t="s">
        <v>1959</v>
      </c>
      <c r="C21" s="1759">
        <f>'数据-汇总表'!E3</f>
        <v>56746.020000000004</v>
      </c>
      <c r="D21" s="1760" t="s">
        <v>1960</v>
      </c>
      <c r="E21" s="3264" t="s">
        <v>1997</v>
      </c>
      <c r="F21" s="3265"/>
      <c r="G21" s="3265"/>
      <c r="H21" s="3265"/>
      <c r="I21" s="3266"/>
      <c r="J21" s="1694"/>
      <c r="K21" s="1774"/>
      <c r="L21" s="1723"/>
      <c r="M21" s="1723"/>
      <c r="N21" s="1694"/>
      <c r="O21" s="1695"/>
      <c r="P21" s="1694"/>
      <c r="Q21" s="1694"/>
      <c r="R21" s="1694"/>
      <c r="S21" s="1694"/>
      <c r="T21" s="1694"/>
      <c r="U21" s="1694"/>
    </row>
    <row r="22" spans="1:21">
      <c r="A22" s="3177" t="s">
        <v>952</v>
      </c>
      <c r="B22" s="1661" t="s">
        <v>1961</v>
      </c>
      <c r="C22" s="1686">
        <f>'数据-汇总表'!D3</f>
        <v>11382.9</v>
      </c>
      <c r="D22" s="1687" t="s">
        <v>1960</v>
      </c>
      <c r="E22" s="3264" t="s">
        <v>2891</v>
      </c>
      <c r="F22" s="3265"/>
      <c r="G22" s="3265"/>
      <c r="H22" s="3265"/>
      <c r="I22" s="3266"/>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67" t="s">
        <v>1966</v>
      </c>
      <c r="C24" s="3268"/>
      <c r="D24" s="3269" t="s">
        <v>1967</v>
      </c>
      <c r="E24" s="3270"/>
      <c r="F24" s="1708" t="s">
        <v>1968</v>
      </c>
      <c r="G24" s="1694"/>
      <c r="H24" s="1694"/>
      <c r="I24" s="1707"/>
      <c r="J24" s="1694"/>
      <c r="K24" s="3255"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5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5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82" t="s">
        <v>2000</v>
      </c>
      <c r="B31" s="1764" t="s">
        <v>2001</v>
      </c>
      <c r="C31" s="3280" t="s">
        <v>2998</v>
      </c>
      <c r="D31" s="3281"/>
      <c r="E31" s="1694"/>
      <c r="F31" s="1694"/>
      <c r="G31" s="1694"/>
      <c r="H31" s="1694"/>
      <c r="I31" s="1707"/>
      <c r="J31" s="1694"/>
      <c r="K31" s="2483"/>
      <c r="L31" s="1694"/>
      <c r="M31" s="1694"/>
      <c r="N31" s="1694"/>
      <c r="O31" s="1694"/>
      <c r="P31" s="1694"/>
      <c r="Q31" s="1694"/>
      <c r="R31" s="1694"/>
      <c r="S31" s="1694"/>
      <c r="T31" s="1694"/>
      <c r="U31" s="1694"/>
    </row>
    <row r="32" spans="1:21">
      <c r="A32" s="3282"/>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82"/>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83"/>
      <c r="B34" s="1661" t="s">
        <v>2004</v>
      </c>
      <c r="C34" s="3284" t="s">
        <v>3001</v>
      </c>
      <c r="D34" s="3285"/>
      <c r="E34" s="1694"/>
      <c r="F34" s="1694"/>
      <c r="G34" s="1694"/>
      <c r="H34" s="1694"/>
      <c r="I34" s="1707"/>
      <c r="J34" s="1694"/>
      <c r="K34" s="2483"/>
      <c r="L34" s="1694"/>
      <c r="M34" s="1694"/>
      <c r="N34" s="1694"/>
      <c r="O34" s="1694"/>
      <c r="P34" s="1694"/>
      <c r="Q34" s="1694"/>
      <c r="R34" s="1694"/>
      <c r="S34" s="1694"/>
      <c r="T34" s="1694"/>
      <c r="U34" s="1694"/>
    </row>
    <row r="35" spans="1:21" ht="28.5">
      <c r="A35" s="3286" t="s">
        <v>847</v>
      </c>
      <c r="B35" s="1722" t="s">
        <v>3002</v>
      </c>
      <c r="C35" s="1776" t="str">
        <f>IF(B35="场地平整","——","具体情况：")</f>
        <v>具体情况：</v>
      </c>
      <c r="D35" s="3288"/>
      <c r="E35" s="3289"/>
      <c r="F35" s="3289"/>
      <c r="G35" s="3289"/>
      <c r="H35" s="3289"/>
      <c r="I35" s="3290"/>
      <c r="J35" s="1694"/>
      <c r="K35" s="1775"/>
      <c r="L35" s="1723"/>
      <c r="M35" s="1723"/>
      <c r="N35" s="1694"/>
      <c r="O35" s="1695"/>
      <c r="P35" s="1694"/>
      <c r="Q35" s="1694"/>
      <c r="R35" s="1694"/>
      <c r="S35" s="1694"/>
      <c r="T35" s="1694"/>
      <c r="U35" s="1694"/>
    </row>
    <row r="36" spans="1:21">
      <c r="A36" s="3282"/>
      <c r="B36" s="3291" t="s">
        <v>2053</v>
      </c>
      <c r="C36" s="3292"/>
      <c r="D36" s="1792" t="s">
        <v>3003</v>
      </c>
      <c r="E36" s="3293"/>
      <c r="F36" s="3293"/>
      <c r="G36" s="1687" t="str">
        <f>IF(B35="场地未平整","估价结果处理","")</f>
        <v/>
      </c>
      <c r="H36" s="3294"/>
      <c r="I36" s="3294"/>
      <c r="J36" s="1694"/>
      <c r="K36" s="1775"/>
      <c r="L36" s="1723"/>
      <c r="M36" s="1723"/>
      <c r="N36" s="1694"/>
      <c r="O36" s="1695"/>
      <c r="P36" s="1694"/>
      <c r="Q36" s="1694"/>
      <c r="R36" s="1694"/>
      <c r="S36" s="1694"/>
      <c r="T36" s="1694"/>
      <c r="U36" s="1694"/>
    </row>
    <row r="37" spans="1:21" ht="28.5">
      <c r="A37" s="3282"/>
      <c r="B37" s="327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82"/>
      <c r="B38" s="3272"/>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83"/>
      <c r="B39" s="3273"/>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54" t="s">
        <v>1984</v>
      </c>
      <c r="T40" s="1731" t="str">
        <f>NUMBERSTRING(7-K40,1)&amp;"通"</f>
        <v>七通</v>
      </c>
      <c r="U40" s="1694"/>
    </row>
    <row r="41" spans="1:21">
      <c r="A41" s="1663"/>
      <c r="B41" s="3287" t="s">
        <v>1719</v>
      </c>
      <c r="C41" s="3287"/>
      <c r="D41" s="3287"/>
      <c r="E41" s="3287"/>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54"/>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13" workbookViewId="0">
      <selection activeCell="I32" sqref="I32"/>
    </sheetView>
  </sheetViews>
  <sheetFormatPr defaultRowHeight="13.5"/>
  <cols>
    <col min="1" max="1" width="5.5" style="3187" customWidth="1"/>
    <col min="2" max="2" width="14" style="3187" customWidth="1"/>
    <col min="3" max="3" width="16.5" style="3187" customWidth="1"/>
    <col min="4" max="4" width="9" style="3187"/>
    <col min="5" max="6" width="10.25" style="3187" customWidth="1"/>
    <col min="7" max="7" width="9" style="3187"/>
    <col min="8" max="8" width="11.25" style="3187" customWidth="1"/>
    <col min="9" max="9" width="16.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6384" width="9" style="3187"/>
  </cols>
  <sheetData>
    <row r="1" spans="1:19" s="2965" customFormat="1">
      <c r="A1" s="2965" t="s">
        <v>3120</v>
      </c>
      <c r="B1" s="2965" t="s">
        <v>3121</v>
      </c>
      <c r="C1" s="2965" t="s">
        <v>3122</v>
      </c>
      <c r="D1" s="2965" t="s">
        <v>3123</v>
      </c>
      <c r="E1" s="2965" t="s">
        <v>3124</v>
      </c>
      <c r="F1" s="2965" t="s">
        <v>3125</v>
      </c>
      <c r="G1" s="2965" t="s">
        <v>3126</v>
      </c>
      <c r="H1" s="2965" t="s">
        <v>2031</v>
      </c>
      <c r="I1" s="2965" t="s">
        <v>3127</v>
      </c>
      <c r="J1" s="2965" t="s">
        <v>3128</v>
      </c>
      <c r="K1" s="2965" t="s">
        <v>3129</v>
      </c>
      <c r="L1" s="2965" t="s">
        <v>3130</v>
      </c>
      <c r="M1" s="2965" t="s">
        <v>3131</v>
      </c>
      <c r="N1" s="2965" t="s">
        <v>3132</v>
      </c>
      <c r="O1" s="2965" t="s">
        <v>3133</v>
      </c>
      <c r="P1" s="2965" t="s">
        <v>3134</v>
      </c>
      <c r="Q1" s="2965" t="s">
        <v>3135</v>
      </c>
      <c r="R1" s="2965" t="s">
        <v>3136</v>
      </c>
      <c r="S1" s="2965" t="s">
        <v>3137</v>
      </c>
    </row>
    <row r="2" spans="1:19" s="3219" customFormat="1">
      <c r="A2" s="3219" t="s">
        <v>3138</v>
      </c>
      <c r="B2" s="3219" t="s">
        <v>3139</v>
      </c>
      <c r="C2" s="3219" t="s">
        <v>3140</v>
      </c>
      <c r="D2" s="3219" t="s">
        <v>3141</v>
      </c>
      <c r="E2" s="3219" t="s">
        <v>3142</v>
      </c>
      <c r="F2" s="3219">
        <v>31034.1</v>
      </c>
      <c r="G2" s="3219">
        <v>109860.7</v>
      </c>
      <c r="H2" s="3219">
        <v>3.54</v>
      </c>
      <c r="I2" s="3219" t="s">
        <v>2818</v>
      </c>
      <c r="J2" s="3219" t="s">
        <v>2818</v>
      </c>
      <c r="K2" s="3219" t="s">
        <v>2818</v>
      </c>
      <c r="L2" s="3219" t="s">
        <v>2818</v>
      </c>
      <c r="M2" s="3219" t="s">
        <v>3143</v>
      </c>
      <c r="N2" s="3219" t="s">
        <v>3144</v>
      </c>
      <c r="O2" s="3219">
        <v>1101000</v>
      </c>
      <c r="P2" s="3219">
        <v>23651.4</v>
      </c>
      <c r="Q2" s="3219">
        <v>100217.82</v>
      </c>
      <c r="R2" s="3219">
        <v>104935</v>
      </c>
      <c r="S2" s="3219">
        <v>139.35</v>
      </c>
    </row>
    <row r="3" spans="1:19" s="3220" customFormat="1">
      <c r="A3" s="3220" t="s">
        <v>3145</v>
      </c>
      <c r="B3" s="3220" t="s">
        <v>3139</v>
      </c>
      <c r="C3" s="3220" t="s">
        <v>3146</v>
      </c>
      <c r="D3" s="3220" t="s">
        <v>3147</v>
      </c>
      <c r="E3" s="3220" t="s">
        <v>3142</v>
      </c>
      <c r="F3" s="3220">
        <v>19959.5</v>
      </c>
      <c r="G3" s="3220">
        <v>54888.62</v>
      </c>
      <c r="H3" s="3220">
        <v>2.75</v>
      </c>
      <c r="I3" s="3220" t="s">
        <v>2818</v>
      </c>
      <c r="J3" s="3220" t="s">
        <v>2818</v>
      </c>
      <c r="K3" s="3220" t="s">
        <v>2818</v>
      </c>
      <c r="L3" s="3220" t="s">
        <v>2818</v>
      </c>
      <c r="M3" s="3220" t="s">
        <v>3148</v>
      </c>
      <c r="N3" s="3220" t="s">
        <v>3149</v>
      </c>
      <c r="O3" s="3220">
        <v>370000</v>
      </c>
      <c r="P3" s="3220">
        <v>12358.36</v>
      </c>
      <c r="Q3" s="3220">
        <v>67409.240000000005</v>
      </c>
      <c r="R3" s="3220">
        <v>70957</v>
      </c>
      <c r="S3" s="3220">
        <v>77.39</v>
      </c>
    </row>
    <row r="4" spans="1:19" s="3221" customFormat="1">
      <c r="A4" s="3221" t="s">
        <v>3150</v>
      </c>
      <c r="B4" s="3221" t="s">
        <v>3139</v>
      </c>
      <c r="C4" s="3221" t="s">
        <v>3146</v>
      </c>
      <c r="D4" s="3221" t="s">
        <v>3151</v>
      </c>
      <c r="E4" s="3221" t="s">
        <v>3142</v>
      </c>
      <c r="F4" s="3221">
        <v>6885.2</v>
      </c>
      <c r="G4" s="3221">
        <v>9639.2800000000007</v>
      </c>
      <c r="H4" s="3221">
        <v>1.4</v>
      </c>
      <c r="I4" s="3221" t="s">
        <v>2818</v>
      </c>
      <c r="J4" s="3221" t="s">
        <v>2818</v>
      </c>
      <c r="K4" s="3221" t="s">
        <v>2818</v>
      </c>
      <c r="L4" s="3221" t="s">
        <v>2818</v>
      </c>
      <c r="M4" s="3221" t="s">
        <v>3152</v>
      </c>
      <c r="N4" s="3221" t="s">
        <v>3153</v>
      </c>
      <c r="O4" s="3221">
        <v>57700</v>
      </c>
      <c r="P4" s="3221">
        <v>5586.86</v>
      </c>
      <c r="Q4" s="3221">
        <v>59859.23</v>
      </c>
      <c r="R4" s="3221">
        <v>85513</v>
      </c>
      <c r="S4" s="3221">
        <v>62.54</v>
      </c>
    </row>
    <row r="5" spans="1:19" s="3220" customFormat="1">
      <c r="A5" s="3220" t="s">
        <v>3154</v>
      </c>
      <c r="B5" s="3220" t="s">
        <v>3139</v>
      </c>
      <c r="C5" s="3220" t="s">
        <v>3146</v>
      </c>
      <c r="D5" s="3220" t="s">
        <v>3155</v>
      </c>
      <c r="E5" s="3220" t="s">
        <v>3142</v>
      </c>
      <c r="F5" s="3220">
        <v>39805.800000000003</v>
      </c>
      <c r="G5" s="3220">
        <v>59708.7</v>
      </c>
      <c r="H5" s="3220">
        <v>1.5</v>
      </c>
      <c r="I5" s="3220" t="s">
        <v>2818</v>
      </c>
      <c r="J5" s="3220" t="s">
        <v>2818</v>
      </c>
      <c r="K5" s="3220" t="s">
        <v>2818</v>
      </c>
      <c r="L5" s="3220" t="s">
        <v>2818</v>
      </c>
      <c r="M5" s="3220" t="s">
        <v>3156</v>
      </c>
      <c r="N5" s="3220" t="s">
        <v>3157</v>
      </c>
      <c r="O5" s="3220">
        <v>315500</v>
      </c>
      <c r="P5" s="3220">
        <v>5283.99</v>
      </c>
      <c r="Q5" s="3220">
        <v>52839.87</v>
      </c>
      <c r="R5" s="3220">
        <v>70453</v>
      </c>
      <c r="S5" s="3220">
        <v>50.97</v>
      </c>
    </row>
    <row r="6" spans="1:19" s="3220" customFormat="1">
      <c r="A6" s="3220" t="s">
        <v>3158</v>
      </c>
      <c r="B6" s="3222" t="s">
        <v>3139</v>
      </c>
      <c r="C6" s="3222" t="s">
        <v>3146</v>
      </c>
      <c r="D6" s="3222" t="s">
        <v>3155</v>
      </c>
      <c r="E6" s="3222" t="s">
        <v>3142</v>
      </c>
      <c r="F6" s="3222">
        <v>131998.1</v>
      </c>
      <c r="G6" s="3222">
        <v>148497.9</v>
      </c>
      <c r="H6" s="3222">
        <v>1.125</v>
      </c>
      <c r="I6" s="3222" t="s">
        <v>2818</v>
      </c>
      <c r="J6" s="3222" t="s">
        <v>2818</v>
      </c>
      <c r="K6" s="3222" t="s">
        <v>2818</v>
      </c>
      <c r="L6" s="3222" t="s">
        <v>2818</v>
      </c>
      <c r="M6" s="3222" t="s">
        <v>3159</v>
      </c>
      <c r="N6" s="3222" t="s">
        <v>3160</v>
      </c>
      <c r="O6" s="3222">
        <v>729900</v>
      </c>
      <c r="P6" s="3222">
        <v>3686.42</v>
      </c>
      <c r="Q6" s="3222">
        <v>49152.2</v>
      </c>
      <c r="R6" s="3222">
        <v>61440</v>
      </c>
      <c r="S6" s="3222">
        <v>81.69</v>
      </c>
    </row>
    <row r="9" spans="1:19" ht="36.75" customHeight="1">
      <c r="A9" s="3186" t="s">
        <v>3004</v>
      </c>
      <c r="B9" s="3186" t="s">
        <v>3005</v>
      </c>
      <c r="C9" s="3186" t="s">
        <v>3006</v>
      </c>
      <c r="D9" s="3186" t="s">
        <v>3007</v>
      </c>
      <c r="E9" s="3186" t="s">
        <v>3008</v>
      </c>
      <c r="F9" s="3186" t="s">
        <v>3009</v>
      </c>
      <c r="G9" s="3186" t="s">
        <v>3010</v>
      </c>
      <c r="H9" s="3186" t="s">
        <v>3011</v>
      </c>
      <c r="I9" s="3300" t="s">
        <v>3012</v>
      </c>
      <c r="J9" s="3300"/>
      <c r="K9" s="3300"/>
      <c r="L9" s="3301" t="s">
        <v>3013</v>
      </c>
      <c r="M9" s="3302"/>
      <c r="N9" s="3303"/>
      <c r="O9" s="3301" t="s">
        <v>3014</v>
      </c>
      <c r="P9" s="3302"/>
      <c r="Q9" s="3303"/>
    </row>
    <row r="10" spans="1:19" ht="74.25" customHeight="1">
      <c r="A10" s="3188">
        <v>1</v>
      </c>
      <c r="B10" s="3188" t="s">
        <v>3015</v>
      </c>
      <c r="C10" s="3188">
        <v>19651.2</v>
      </c>
      <c r="D10" s="3188">
        <v>3.54</v>
      </c>
      <c r="E10" s="3189">
        <v>69497.679999999993</v>
      </c>
      <c r="F10" s="3190">
        <v>0.9</v>
      </c>
      <c r="G10" s="3191">
        <v>0.1</v>
      </c>
      <c r="H10" s="3304" t="s">
        <v>3016</v>
      </c>
      <c r="I10" s="3192"/>
      <c r="J10" s="3300" t="s">
        <v>3017</v>
      </c>
      <c r="K10" s="3306" t="s">
        <v>3018</v>
      </c>
      <c r="L10" s="3307" t="s">
        <v>3019</v>
      </c>
      <c r="M10" s="3304" t="s">
        <v>3020</v>
      </c>
      <c r="N10" s="3304" t="s">
        <v>3021</v>
      </c>
      <c r="O10" s="3300" t="s">
        <v>3022</v>
      </c>
      <c r="P10" s="3295" t="s">
        <v>3023</v>
      </c>
      <c r="Q10" s="3296" t="s">
        <v>3024</v>
      </c>
    </row>
    <row r="11" spans="1:19" ht="93" customHeight="1">
      <c r="A11" s="3188">
        <v>2</v>
      </c>
      <c r="B11" s="3188" t="s">
        <v>3025</v>
      </c>
      <c r="C11" s="3188">
        <v>11382.9</v>
      </c>
      <c r="D11" s="3188">
        <v>3.54</v>
      </c>
      <c r="E11" s="3189">
        <v>40256.32</v>
      </c>
      <c r="F11" s="3190">
        <v>0.9</v>
      </c>
      <c r="G11" s="3191">
        <v>0.1</v>
      </c>
      <c r="H11" s="3305"/>
      <c r="I11" s="3193" t="s">
        <v>3026</v>
      </c>
      <c r="J11" s="3300"/>
      <c r="K11" s="3306"/>
      <c r="L11" s="3307"/>
      <c r="M11" s="3305"/>
      <c r="N11" s="3305"/>
      <c r="O11" s="3300"/>
      <c r="P11" s="3295"/>
      <c r="Q11" s="3296"/>
    </row>
    <row r="12" spans="1:19">
      <c r="A12" s="3194"/>
      <c r="B12" s="3194"/>
      <c r="C12" s="3194">
        <f>SUM(C10:C11)</f>
        <v>31034.1</v>
      </c>
      <c r="D12" s="3194"/>
      <c r="E12" s="3194">
        <f>SUM(E10:E11)</f>
        <v>109754</v>
      </c>
      <c r="F12" s="3187">
        <f>E12*F11</f>
        <v>98778.6</v>
      </c>
      <c r="G12" s="3187">
        <f>E12-F12</f>
        <v>10975.399999999994</v>
      </c>
    </row>
    <row r="17" spans="2:6">
      <c r="B17" s="3187" t="s">
        <v>3027</v>
      </c>
      <c r="C17" s="3195"/>
      <c r="D17" s="3188" t="s">
        <v>3028</v>
      </c>
      <c r="E17" s="3188" t="s">
        <v>3029</v>
      </c>
      <c r="F17" s="3195" t="s">
        <v>3030</v>
      </c>
    </row>
    <row r="18" spans="2:6">
      <c r="C18" s="3195" t="s">
        <v>3031</v>
      </c>
      <c r="D18" s="3195">
        <f>C10</f>
        <v>19651.2</v>
      </c>
      <c r="E18" s="3195">
        <f>C11</f>
        <v>11382.9</v>
      </c>
      <c r="F18" s="3195">
        <f>SUM(D18:E18)</f>
        <v>31034.1</v>
      </c>
    </row>
    <row r="19" spans="2:6">
      <c r="C19" s="3195" t="s">
        <v>3032</v>
      </c>
      <c r="D19" s="3195">
        <f>SUM(D20:D26)</f>
        <v>65991.88</v>
      </c>
      <c r="E19" s="3195">
        <f>SUM(E20:E26)</f>
        <v>43762.12</v>
      </c>
      <c r="F19" s="3195">
        <f t="shared" ref="F19:F27" si="0">SUM(D19:E19)</f>
        <v>109754</v>
      </c>
    </row>
    <row r="20" spans="2:6">
      <c r="C20" s="3195" t="s">
        <v>3033</v>
      </c>
      <c r="D20" s="3196">
        <v>59351.88</v>
      </c>
      <c r="E20" s="3196">
        <v>30630.720000000001</v>
      </c>
      <c r="F20" s="3196">
        <f t="shared" si="0"/>
        <v>89982.6</v>
      </c>
    </row>
    <row r="21" spans="2:6">
      <c r="C21" s="3195" t="s">
        <v>3034</v>
      </c>
      <c r="D21" s="3197">
        <v>0</v>
      </c>
      <c r="E21" s="3197">
        <v>4939</v>
      </c>
      <c r="F21" s="3197">
        <f t="shared" si="0"/>
        <v>4939</v>
      </c>
    </row>
    <row r="22" spans="2:6">
      <c r="C22" s="3195" t="s">
        <v>3035</v>
      </c>
      <c r="D22" s="3198">
        <v>0</v>
      </c>
      <c r="E22" s="3198">
        <v>2000</v>
      </c>
      <c r="F22" s="3198">
        <f t="shared" si="0"/>
        <v>2000</v>
      </c>
    </row>
    <row r="23" spans="2:6">
      <c r="C23" s="3195" t="s">
        <v>3036</v>
      </c>
      <c r="D23" s="3199">
        <v>0</v>
      </c>
      <c r="E23" s="3199">
        <v>572</v>
      </c>
      <c r="F23" s="3199">
        <f t="shared" si="0"/>
        <v>572</v>
      </c>
    </row>
    <row r="24" spans="2:6">
      <c r="C24" s="3195" t="s">
        <v>3037</v>
      </c>
      <c r="D24" s="3195">
        <v>440</v>
      </c>
      <c r="E24" s="3195">
        <v>845</v>
      </c>
      <c r="F24" s="3195">
        <f t="shared" si="0"/>
        <v>1285</v>
      </c>
    </row>
    <row r="25" spans="2:6">
      <c r="C25" s="3195" t="s">
        <v>3038</v>
      </c>
      <c r="D25" s="3200">
        <v>6200</v>
      </c>
      <c r="E25" s="3200">
        <v>2775.4</v>
      </c>
      <c r="F25" s="3200">
        <f t="shared" si="0"/>
        <v>8975.4</v>
      </c>
    </row>
    <row r="26" spans="2:6">
      <c r="C26" s="3195" t="s">
        <v>3039</v>
      </c>
      <c r="D26" s="3198">
        <v>0</v>
      </c>
      <c r="E26" s="3198">
        <v>2000</v>
      </c>
      <c r="F26" s="3198">
        <f t="shared" si="0"/>
        <v>2000</v>
      </c>
    </row>
    <row r="27" spans="2:6">
      <c r="C27" s="3195" t="s">
        <v>3040</v>
      </c>
      <c r="D27" s="3201">
        <v>1456.67</v>
      </c>
      <c r="E27" s="3201">
        <v>12619.33</v>
      </c>
      <c r="F27" s="3201">
        <f t="shared" si="0"/>
        <v>14076</v>
      </c>
    </row>
    <row r="28" spans="2:6">
      <c r="C28" s="3195" t="s">
        <v>3113</v>
      </c>
      <c r="D28" s="3188">
        <v>34085.599999999999</v>
      </c>
      <c r="E28" s="3188">
        <v>19876.14</v>
      </c>
      <c r="F28" s="3195">
        <f>SUM(D28:E28)</f>
        <v>53961.74</v>
      </c>
    </row>
    <row r="29" spans="2:6">
      <c r="C29" s="3195" t="s">
        <v>3114</v>
      </c>
      <c r="D29" s="3188">
        <v>653</v>
      </c>
      <c r="E29" s="3188">
        <v>411</v>
      </c>
      <c r="F29" s="3195"/>
    </row>
    <row r="30" spans="2:6">
      <c r="C30" s="3195"/>
      <c r="D30" s="3188">
        <v>30</v>
      </c>
      <c r="E30" s="3188">
        <f>D30</f>
        <v>30</v>
      </c>
      <c r="F30" s="3195"/>
    </row>
    <row r="31" spans="2:6">
      <c r="C31" s="3195"/>
      <c r="D31" s="3188">
        <f>D29*D30</f>
        <v>19590</v>
      </c>
      <c r="E31" s="3188">
        <f>E30*E29</f>
        <v>12330</v>
      </c>
      <c r="F31" s="3195"/>
    </row>
    <row r="32" spans="2:6">
      <c r="C32" s="3195" t="s">
        <v>3200</v>
      </c>
      <c r="D32" s="3188">
        <f>ROUND(D28/F28*35250,2)</f>
        <v>22266.1</v>
      </c>
      <c r="E32" s="3188">
        <f>35250-D32</f>
        <v>12983.900000000001</v>
      </c>
      <c r="F32" s="3195">
        <f>SUM(D32:E32)</f>
        <v>35250</v>
      </c>
    </row>
    <row r="33" spans="2:6">
      <c r="C33" s="3195"/>
      <c r="D33" s="3188"/>
      <c r="E33" s="3188"/>
      <c r="F33" s="3195"/>
    </row>
    <row r="37" spans="2:6">
      <c r="C37" s="3187" t="s">
        <v>3090</v>
      </c>
    </row>
    <row r="39" spans="2:6">
      <c r="B39" s="3195" t="s">
        <v>3095</v>
      </c>
      <c r="C39" s="3195" t="s">
        <v>3091</v>
      </c>
      <c r="D39" s="3195" t="s">
        <v>3092</v>
      </c>
      <c r="E39" s="3195" t="s">
        <v>3093</v>
      </c>
    </row>
    <row r="40" spans="2:6">
      <c r="B40" s="3195"/>
      <c r="C40" s="3195">
        <v>400</v>
      </c>
      <c r="D40" s="3195">
        <v>150000</v>
      </c>
      <c r="E40" s="3212">
        <f t="shared" ref="E40:E46" si="1">D40/C40/30</f>
        <v>12.5</v>
      </c>
    </row>
    <row r="41" spans="2:6">
      <c r="B41" s="3195"/>
      <c r="C41" s="3195">
        <v>620</v>
      </c>
      <c r="D41" s="3195">
        <v>190000</v>
      </c>
      <c r="E41" s="3212">
        <f t="shared" si="1"/>
        <v>10.21505376344086</v>
      </c>
    </row>
    <row r="42" spans="2:6">
      <c r="B42" s="3195"/>
      <c r="C42" s="3195">
        <v>134</v>
      </c>
      <c r="D42" s="3195">
        <v>15000</v>
      </c>
      <c r="E42" s="3212">
        <f t="shared" si="1"/>
        <v>3.7313432835820897</v>
      </c>
    </row>
    <row r="43" spans="2:6">
      <c r="B43" s="3297" t="s">
        <v>3094</v>
      </c>
      <c r="C43" s="3195">
        <v>186</v>
      </c>
      <c r="D43" s="3195">
        <v>26000</v>
      </c>
      <c r="E43" s="3212">
        <f t="shared" si="1"/>
        <v>4.6594982078853047</v>
      </c>
    </row>
    <row r="44" spans="2:6">
      <c r="B44" s="3298"/>
      <c r="C44" s="3195">
        <v>108</v>
      </c>
      <c r="D44" s="3195">
        <v>17000</v>
      </c>
      <c r="E44" s="3212">
        <f t="shared" si="1"/>
        <v>5.2469135802469138</v>
      </c>
    </row>
    <row r="45" spans="2:6">
      <c r="B45" s="3299"/>
      <c r="C45" s="3195">
        <v>87</v>
      </c>
      <c r="D45" s="3195">
        <v>10000</v>
      </c>
      <c r="E45" s="3212">
        <f t="shared" si="1"/>
        <v>3.8314176245210727</v>
      </c>
    </row>
    <row r="46" spans="2:6">
      <c r="B46" s="3297" t="s">
        <v>3096</v>
      </c>
      <c r="C46" s="3195">
        <v>186</v>
      </c>
      <c r="D46" s="3195">
        <v>26000</v>
      </c>
      <c r="E46" s="3212">
        <f t="shared" si="1"/>
        <v>4.6594982078853047</v>
      </c>
    </row>
    <row r="47" spans="2:6">
      <c r="B47" s="3298"/>
      <c r="C47" s="3195">
        <v>109</v>
      </c>
      <c r="D47" s="3195">
        <v>19000</v>
      </c>
      <c r="E47" s="3212">
        <f t="shared" ref="E47:E48" si="2">D47/C47/30</f>
        <v>5.81039755351682</v>
      </c>
    </row>
    <row r="48" spans="2:6">
      <c r="B48" s="3299"/>
      <c r="C48" s="3195">
        <v>198</v>
      </c>
      <c r="D48" s="3195">
        <v>26000</v>
      </c>
      <c r="E48" s="3212">
        <f t="shared" si="2"/>
        <v>4.3771043771043772</v>
      </c>
    </row>
    <row r="49" spans="2:5">
      <c r="B49" s="3195"/>
      <c r="C49" s="3195"/>
      <c r="D49" s="3195"/>
      <c r="E49" s="3212"/>
    </row>
    <row r="50" spans="2:5">
      <c r="B50" s="3195"/>
      <c r="C50" s="3195"/>
      <c r="D50" s="3195"/>
      <c r="E50" s="3195"/>
    </row>
  </sheetData>
  <mergeCells count="14">
    <mergeCell ref="P10:P11"/>
    <mergeCell ref="Q10:Q11"/>
    <mergeCell ref="B43:B45"/>
    <mergeCell ref="B46:B48"/>
    <mergeCell ref="I9:K9"/>
    <mergeCell ref="L9:N9"/>
    <mergeCell ref="O9:Q9"/>
    <mergeCell ref="H10:H11"/>
    <mergeCell ref="J10:J11"/>
    <mergeCell ref="K10:K11"/>
    <mergeCell ref="L10:L11"/>
    <mergeCell ref="M10:M11"/>
    <mergeCell ref="N10:N11"/>
    <mergeCell ref="O10:O11"/>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面积表!E18</f>
        <v>11382.9</v>
      </c>
      <c r="B3" s="22">
        <f>IF(C3="否",G5-AT5,G5)</f>
        <v>56746.020000000004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56746.020000000004</v>
      </c>
      <c r="H5" s="27">
        <f t="shared" ref="H5:AT5" si="0">SUM(H13:H641)</f>
        <v>50675.12</v>
      </c>
      <c r="I5" s="27">
        <f t="shared" si="0"/>
        <v>30630.720000000001</v>
      </c>
      <c r="J5" s="27">
        <f t="shared" si="0"/>
        <v>0</v>
      </c>
      <c r="K5" s="27">
        <f t="shared" si="0"/>
        <v>2775.4</v>
      </c>
      <c r="L5" s="27">
        <f t="shared" si="0"/>
        <v>0</v>
      </c>
      <c r="M5" s="27">
        <f t="shared" si="0"/>
        <v>12330</v>
      </c>
      <c r="N5" s="27">
        <f t="shared" si="0"/>
        <v>0</v>
      </c>
      <c r="O5" s="27">
        <f t="shared" si="0"/>
        <v>4939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6070.9000000000015</v>
      </c>
      <c r="AD5" s="27">
        <f t="shared" si="0"/>
        <v>3417</v>
      </c>
      <c r="AE5" s="27">
        <f t="shared" si="0"/>
        <v>0</v>
      </c>
      <c r="AF5" s="27">
        <f t="shared" si="0"/>
        <v>0</v>
      </c>
      <c r="AG5" s="27">
        <f t="shared" si="0"/>
        <v>0</v>
      </c>
      <c r="AH5" s="27">
        <f t="shared" si="0"/>
        <v>0</v>
      </c>
      <c r="AI5" s="27">
        <f t="shared" si="0"/>
        <v>0</v>
      </c>
      <c r="AJ5" s="27">
        <f t="shared" si="0"/>
        <v>0</v>
      </c>
      <c r="AK5" s="27">
        <f t="shared" si="0"/>
        <v>0</v>
      </c>
      <c r="AL5" s="27">
        <f t="shared" si="0"/>
        <v>2000</v>
      </c>
      <c r="AM5" s="27">
        <f t="shared" si="0"/>
        <v>0</v>
      </c>
      <c r="AN5" s="27">
        <f t="shared" si="0"/>
        <v>653.90000000000146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56746.020000000004</v>
      </c>
      <c r="BA5" s="29">
        <f t="shared" si="1"/>
        <v>50675.12</v>
      </c>
      <c r="BB5" s="29">
        <f t="shared" si="1"/>
        <v>30630.720000000001</v>
      </c>
      <c r="BC5" s="29">
        <f t="shared" si="1"/>
        <v>2775.4</v>
      </c>
      <c r="BD5" s="29">
        <f t="shared" si="1"/>
        <v>12330</v>
      </c>
      <c r="BE5" s="29">
        <f t="shared" si="1"/>
        <v>4939</v>
      </c>
      <c r="BF5" s="29">
        <f t="shared" si="1"/>
        <v>0</v>
      </c>
      <c r="BG5" s="29">
        <f t="shared" si="1"/>
        <v>0</v>
      </c>
      <c r="BH5" s="29">
        <f t="shared" si="1"/>
        <v>0</v>
      </c>
      <c r="BI5" s="29">
        <f t="shared" si="1"/>
        <v>0</v>
      </c>
      <c r="BJ5" s="29">
        <f t="shared" si="1"/>
        <v>0</v>
      </c>
      <c r="BK5" s="29">
        <f t="shared" si="1"/>
        <v>0</v>
      </c>
      <c r="BL5" s="29">
        <f t="shared" si="1"/>
        <v>6070.9000000000015</v>
      </c>
      <c r="BM5" s="29">
        <f t="shared" si="1"/>
        <v>3417</v>
      </c>
      <c r="BN5" s="29">
        <f t="shared" si="1"/>
        <v>0</v>
      </c>
      <c r="BO5" s="29">
        <f t="shared" si="1"/>
        <v>0</v>
      </c>
      <c r="BP5" s="29">
        <f t="shared" si="1"/>
        <v>0</v>
      </c>
      <c r="BQ5" s="29">
        <f t="shared" si="1"/>
        <v>2000</v>
      </c>
      <c r="BR5" s="29">
        <f t="shared" si="1"/>
        <v>653.90000000000146</v>
      </c>
      <c r="BS5" s="29">
        <f t="shared" si="1"/>
        <v>0</v>
      </c>
      <c r="BT5" s="30">
        <f t="shared" si="1"/>
        <v>0</v>
      </c>
    </row>
    <row r="6" spans="1:72" s="37" customFormat="1" ht="12.75">
      <c r="A6" s="26" t="s">
        <v>169</v>
      </c>
      <c r="B6" s="31"/>
      <c r="C6" s="31"/>
      <c r="D6" s="32"/>
      <c r="E6" s="27">
        <f>H6+AC6+AT6</f>
        <v>11382.899999999998</v>
      </c>
      <c r="F6" s="27" t="s">
        <v>1</v>
      </c>
      <c r="G6" s="27" t="s">
        <v>2</v>
      </c>
      <c r="H6" s="33">
        <f>SUMIF(I$12:AB$12,"总值",I6:AB6)</f>
        <v>10165.109999999999</v>
      </c>
      <c r="I6" s="27">
        <f t="shared" ref="I6:AB6" si="2">ROUND($A$3*I5/$B$3,2)</f>
        <v>6144.33</v>
      </c>
      <c r="J6" s="27">
        <f t="shared" si="2"/>
        <v>0</v>
      </c>
      <c r="K6" s="27">
        <f t="shared" si="2"/>
        <v>556.73</v>
      </c>
      <c r="L6" s="27">
        <f t="shared" si="2"/>
        <v>0</v>
      </c>
      <c r="M6" s="27">
        <f t="shared" si="2"/>
        <v>2473.3200000000002</v>
      </c>
      <c r="N6" s="27">
        <f t="shared" si="2"/>
        <v>0</v>
      </c>
      <c r="O6" s="27">
        <f t="shared" si="2"/>
        <v>990.73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1217.79</v>
      </c>
      <c r="AD6" s="27">
        <f t="shared" ref="AD6:AS6" si="3">ROUND($A$3*AD5/$B$3,2)</f>
        <v>685.43</v>
      </c>
      <c r="AE6" s="27">
        <f t="shared" si="3"/>
        <v>0</v>
      </c>
      <c r="AF6" s="27">
        <f t="shared" si="3"/>
        <v>0</v>
      </c>
      <c r="AG6" s="27">
        <f t="shared" si="3"/>
        <v>0</v>
      </c>
      <c r="AH6" s="27">
        <f t="shared" si="3"/>
        <v>0</v>
      </c>
      <c r="AI6" s="27">
        <f t="shared" si="3"/>
        <v>0</v>
      </c>
      <c r="AJ6" s="27">
        <f t="shared" si="3"/>
        <v>0</v>
      </c>
      <c r="AK6" s="27">
        <f t="shared" si="3"/>
        <v>0</v>
      </c>
      <c r="AL6" s="27">
        <f t="shared" si="3"/>
        <v>401.19</v>
      </c>
      <c r="AM6" s="27">
        <f t="shared" si="3"/>
        <v>0</v>
      </c>
      <c r="AN6" s="27">
        <f t="shared" si="3"/>
        <v>131.16999999999999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11382.9</v>
      </c>
      <c r="AZ6" s="27" t="s">
        <v>3</v>
      </c>
      <c r="BA6" s="27">
        <f>ROUND($AY$6*BA5/$AZ$5,2)</f>
        <v>10165.120000000001</v>
      </c>
      <c r="BB6" s="27">
        <f>ROUND($AY$6*BB5/$AZ$5,2)</f>
        <v>6144.33</v>
      </c>
      <c r="BC6" s="27">
        <f t="shared" ref="BC6:BH6" si="4">ROUND($AY$6*BC5/$AZ$5,2)</f>
        <v>556.73</v>
      </c>
      <c r="BD6" s="27">
        <f t="shared" si="4"/>
        <v>2473.3200000000002</v>
      </c>
      <c r="BE6" s="27">
        <f t="shared" si="4"/>
        <v>990.73</v>
      </c>
      <c r="BF6" s="27">
        <f t="shared" si="4"/>
        <v>0</v>
      </c>
      <c r="BG6" s="27">
        <f t="shared" si="4"/>
        <v>0</v>
      </c>
      <c r="BH6" s="27">
        <f t="shared" si="4"/>
        <v>0</v>
      </c>
      <c r="BI6" s="27">
        <f t="shared" ref="BI6:BT6" si="5">ROUND($AY$6*BI5/$AZ$5,2)</f>
        <v>0</v>
      </c>
      <c r="BJ6" s="27">
        <f t="shared" si="5"/>
        <v>0</v>
      </c>
      <c r="BK6" s="27">
        <f t="shared" si="5"/>
        <v>0</v>
      </c>
      <c r="BL6" s="27">
        <f t="shared" si="5"/>
        <v>1217.78</v>
      </c>
      <c r="BM6" s="27">
        <f t="shared" si="5"/>
        <v>685.43</v>
      </c>
      <c r="BN6" s="27">
        <f t="shared" si="5"/>
        <v>0</v>
      </c>
      <c r="BO6" s="27">
        <f t="shared" si="5"/>
        <v>0</v>
      </c>
      <c r="BP6" s="27">
        <f t="shared" si="5"/>
        <v>0</v>
      </c>
      <c r="BQ6" s="27">
        <f t="shared" si="5"/>
        <v>401.19</v>
      </c>
      <c r="BR6" s="27">
        <f t="shared" si="5"/>
        <v>131.16999999999999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t="s">
        <v>923</v>
      </c>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t="s">
        <v>3043</v>
      </c>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3612.97</v>
      </c>
      <c r="F13" s="81"/>
      <c r="G13" s="82">
        <f t="shared" ref="G13:G20" si="7">H13+AC13+AT13</f>
        <v>18011.39</v>
      </c>
      <c r="H13" s="33">
        <f t="shared" ref="H13:H20" si="8">SUMIF(I$12:AB$12,"总值",I13:AB13)</f>
        <v>18011.39</v>
      </c>
      <c r="I13" s="3041">
        <f>面积表!E20-I14</f>
        <v>18011.39</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3612.97</v>
      </c>
      <c r="AZ13" s="27">
        <f t="shared" ref="AZ13:AZ20" si="12">BA13+BL13</f>
        <v>18011.39</v>
      </c>
      <c r="BA13" s="27">
        <f t="shared" ref="BA13:BA20" si="13">SUM(BB13:BK13)</f>
        <v>18011.39</v>
      </c>
      <c r="BB13" s="27">
        <f t="shared" ref="BB13:BB20" si="14">IF($D13="是",I13-J13,0)</f>
        <v>18011.39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2531.36</v>
      </c>
      <c r="F14" s="81"/>
      <c r="G14" s="82">
        <f t="shared" si="7"/>
        <v>12619.33</v>
      </c>
      <c r="H14" s="33">
        <f t="shared" si="8"/>
        <v>12619.33</v>
      </c>
      <c r="I14" s="3041">
        <f>面积表!E27</f>
        <v>12619.33</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2531.36</v>
      </c>
      <c r="AZ14" s="27">
        <f t="shared" si="12"/>
        <v>12619.33</v>
      </c>
      <c r="BA14" s="27">
        <f t="shared" si="13"/>
        <v>12619.33</v>
      </c>
      <c r="BB14" s="27">
        <f t="shared" si="14"/>
        <v>12619.33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556.73</v>
      </c>
      <c r="F15" s="81"/>
      <c r="G15" s="82">
        <f t="shared" si="7"/>
        <v>2775.4</v>
      </c>
      <c r="H15" s="33">
        <f t="shared" si="8"/>
        <v>2775.4</v>
      </c>
      <c r="I15" s="3041"/>
      <c r="J15" s="3041"/>
      <c r="K15" s="3041">
        <f>面积表!E25</f>
        <v>2775.4</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556.73</v>
      </c>
      <c r="AZ15" s="27">
        <f t="shared" si="12"/>
        <v>2775.4</v>
      </c>
      <c r="BA15" s="27">
        <f t="shared" si="13"/>
        <v>2775.4</v>
      </c>
      <c r="BB15" s="27">
        <f t="shared" si="14"/>
        <v>0</v>
      </c>
      <c r="BC15" s="27">
        <f t="shared" si="15"/>
        <v>2775.4</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1086.6199999999999</v>
      </c>
      <c r="F16" s="81"/>
      <c r="G16" s="82">
        <f t="shared" si="7"/>
        <v>5417</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5417</v>
      </c>
      <c r="AD16" s="3045">
        <f>面积表!E23+面积表!E24+面积表!E26</f>
        <v>3417</v>
      </c>
      <c r="AE16" s="3045"/>
      <c r="AF16" s="3045"/>
      <c r="AG16" s="3045"/>
      <c r="AH16" s="3045"/>
      <c r="AI16" s="3045"/>
      <c r="AJ16" s="3045"/>
      <c r="AK16" s="3045"/>
      <c r="AL16" s="3045">
        <f>面积表!E22</f>
        <v>2000</v>
      </c>
      <c r="AM16" s="3045"/>
      <c r="AN16" s="3045"/>
      <c r="AO16" s="3045"/>
      <c r="AP16" s="3045"/>
      <c r="AQ16" s="3045"/>
      <c r="AR16" s="3045"/>
      <c r="AS16" s="3045"/>
      <c r="AT16" s="3046"/>
      <c r="AU16" s="3047"/>
      <c r="AV16" s="17">
        <f t="shared" si="10"/>
        <v>0</v>
      </c>
      <c r="AW16" s="17">
        <f t="shared" si="10"/>
        <v>0</v>
      </c>
      <c r="AX16" s="17" t="str">
        <f t="shared" si="10"/>
        <v>配套及设备</v>
      </c>
      <c r="AY16" s="996">
        <f t="shared" si="11"/>
        <v>1086.6199999999999</v>
      </c>
      <c r="AZ16" s="27">
        <f t="shared" si="12"/>
        <v>5417</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5417</v>
      </c>
      <c r="BM16" s="27">
        <f t="shared" si="25"/>
        <v>3417</v>
      </c>
      <c r="BN16" s="27">
        <f t="shared" si="26"/>
        <v>0</v>
      </c>
      <c r="BO16" s="27">
        <f t="shared" si="27"/>
        <v>0</v>
      </c>
      <c r="BP16" s="27">
        <f t="shared" si="28"/>
        <v>0</v>
      </c>
      <c r="BQ16" s="27">
        <f t="shared" si="29"/>
        <v>2000</v>
      </c>
      <c r="BR16" s="27">
        <f t="shared" si="30"/>
        <v>0</v>
      </c>
      <c r="BS16" s="27">
        <f t="shared" si="31"/>
        <v>0</v>
      </c>
      <c r="BT16" s="36">
        <f t="shared" si="32"/>
        <v>0</v>
      </c>
    </row>
    <row r="17" spans="1:72" s="18" customFormat="1" ht="12.75">
      <c r="A17" s="3039"/>
      <c r="B17" s="3039"/>
      <c r="C17" s="3039" t="s">
        <v>3049</v>
      </c>
      <c r="D17" s="3040" t="s">
        <v>1679</v>
      </c>
      <c r="E17" s="27">
        <f t="shared" si="6"/>
        <v>2604.4899999999998</v>
      </c>
      <c r="F17" s="81"/>
      <c r="G17" s="82">
        <f t="shared" si="7"/>
        <v>12983.900000000001</v>
      </c>
      <c r="H17" s="33">
        <f t="shared" si="8"/>
        <v>12330</v>
      </c>
      <c r="I17" s="3041"/>
      <c r="J17" s="3041"/>
      <c r="K17" s="3041"/>
      <c r="L17" s="3041"/>
      <c r="M17" s="3041">
        <f>面积表!E31</f>
        <v>12330</v>
      </c>
      <c r="N17" s="83"/>
      <c r="O17" s="83"/>
      <c r="P17" s="83"/>
      <c r="Q17" s="83"/>
      <c r="R17" s="83"/>
      <c r="S17" s="83"/>
      <c r="T17" s="83"/>
      <c r="U17" s="83"/>
      <c r="V17" s="83"/>
      <c r="W17" s="83"/>
      <c r="X17" s="83"/>
      <c r="Y17" s="83"/>
      <c r="Z17" s="83"/>
      <c r="AA17" s="83"/>
      <c r="AB17" s="83"/>
      <c r="AC17" s="27">
        <f t="shared" si="9"/>
        <v>653.90000000000146</v>
      </c>
      <c r="AD17" s="3045"/>
      <c r="AE17" s="3045"/>
      <c r="AF17" s="3045"/>
      <c r="AG17" s="3045"/>
      <c r="AH17" s="3045"/>
      <c r="AI17" s="3045"/>
      <c r="AJ17" s="3045"/>
      <c r="AK17" s="3045"/>
      <c r="AL17" s="3045"/>
      <c r="AM17" s="3045"/>
      <c r="AN17" s="3045">
        <f>面积表!E32-'数据-基础表'!M17</f>
        <v>653.90000000000146</v>
      </c>
      <c r="AO17" s="3045"/>
      <c r="AP17" s="3045"/>
      <c r="AQ17" s="3045"/>
      <c r="AR17" s="3045"/>
      <c r="AS17" s="3045"/>
      <c r="AT17" s="3046"/>
      <c r="AU17" s="3047"/>
      <c r="AV17" s="17">
        <f t="shared" si="10"/>
        <v>0</v>
      </c>
      <c r="AW17" s="17">
        <f t="shared" si="10"/>
        <v>0</v>
      </c>
      <c r="AX17" s="17" t="str">
        <f t="shared" si="10"/>
        <v>地下车库</v>
      </c>
      <c r="AY17" s="996">
        <f t="shared" si="11"/>
        <v>2604.4899999999998</v>
      </c>
      <c r="AZ17" s="27">
        <f t="shared" si="12"/>
        <v>12983.900000000001</v>
      </c>
      <c r="BA17" s="27">
        <f t="shared" si="13"/>
        <v>12330</v>
      </c>
      <c r="BB17" s="27">
        <f t="shared" si="14"/>
        <v>0</v>
      </c>
      <c r="BC17" s="27">
        <f t="shared" si="15"/>
        <v>0</v>
      </c>
      <c r="BD17" s="27">
        <f t="shared" si="16"/>
        <v>12330</v>
      </c>
      <c r="BE17" s="27">
        <f t="shared" si="17"/>
        <v>0</v>
      </c>
      <c r="BF17" s="27">
        <f t="shared" si="18"/>
        <v>0</v>
      </c>
      <c r="BG17" s="27">
        <f t="shared" si="19"/>
        <v>0</v>
      </c>
      <c r="BH17" s="27">
        <f t="shared" si="20"/>
        <v>0</v>
      </c>
      <c r="BI17" s="27">
        <f t="shared" si="21"/>
        <v>0</v>
      </c>
      <c r="BJ17" s="27">
        <f t="shared" si="22"/>
        <v>0</v>
      </c>
      <c r="BK17" s="27">
        <f t="shared" si="23"/>
        <v>0</v>
      </c>
      <c r="BL17" s="27">
        <f t="shared" si="24"/>
        <v>653.90000000000146</v>
      </c>
      <c r="BM17" s="27">
        <f t="shared" si="25"/>
        <v>0</v>
      </c>
      <c r="BN17" s="27">
        <f t="shared" si="26"/>
        <v>0</v>
      </c>
      <c r="BO17" s="27">
        <f t="shared" si="27"/>
        <v>0</v>
      </c>
      <c r="BP17" s="27">
        <f t="shared" si="28"/>
        <v>0</v>
      </c>
      <c r="BQ17" s="27">
        <f t="shared" si="29"/>
        <v>0</v>
      </c>
      <c r="BR17" s="27">
        <f t="shared" si="30"/>
        <v>653.90000000000146</v>
      </c>
      <c r="BS17" s="27">
        <f t="shared" si="31"/>
        <v>0</v>
      </c>
      <c r="BT17" s="36">
        <f t="shared" si="32"/>
        <v>0</v>
      </c>
    </row>
    <row r="18" spans="1:72">
      <c r="A18" s="84"/>
      <c r="B18" s="85"/>
      <c r="C18" s="3039" t="s">
        <v>3118</v>
      </c>
      <c r="D18" s="3040" t="s">
        <v>1679</v>
      </c>
      <c r="E18" s="87">
        <f t="shared" si="6"/>
        <v>990.73</v>
      </c>
      <c r="F18" s="88"/>
      <c r="G18" s="89">
        <f t="shared" si="7"/>
        <v>4939</v>
      </c>
      <c r="H18" s="90">
        <f t="shared" si="8"/>
        <v>4939</v>
      </c>
      <c r="I18" s="1395"/>
      <c r="J18" s="91"/>
      <c r="K18" s="1395"/>
      <c r="L18" s="91"/>
      <c r="M18" s="91"/>
      <c r="N18" s="91"/>
      <c r="O18" s="3041">
        <f>面积表!E21</f>
        <v>4939</v>
      </c>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保障房</v>
      </c>
      <c r="AY18" s="95">
        <f t="shared" si="11"/>
        <v>990.73</v>
      </c>
      <c r="AZ18" s="87">
        <f t="shared" si="12"/>
        <v>4939</v>
      </c>
      <c r="BA18" s="87">
        <f t="shared" si="13"/>
        <v>4939</v>
      </c>
      <c r="BB18" s="87">
        <f t="shared" si="14"/>
        <v>0</v>
      </c>
      <c r="BC18" s="87">
        <f t="shared" si="15"/>
        <v>0</v>
      </c>
      <c r="BD18" s="87">
        <f t="shared" si="16"/>
        <v>0</v>
      </c>
      <c r="BE18" s="87">
        <f t="shared" si="17"/>
        <v>4939</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E30" sqref="E3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11382.9</v>
      </c>
      <c r="E3" s="107">
        <f>'数据-基础表'!AZ5</f>
        <v>56746.020000000004</v>
      </c>
      <c r="F3" s="1985"/>
      <c r="G3" s="280" t="s">
        <v>858</v>
      </c>
      <c r="H3" s="275" t="s">
        <v>859</v>
      </c>
      <c r="I3" s="1977">
        <f>ROUND('数据-基础表'!B3/'数据-基础表'!A3,2)</f>
        <v>4.99</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3.84</v>
      </c>
      <c r="J4" s="1985"/>
      <c r="K4" s="1985"/>
      <c r="L4" s="1985"/>
    </row>
    <row r="5" spans="1:16">
      <c r="A5" s="110" t="s">
        <v>207</v>
      </c>
      <c r="B5" s="3324" t="s">
        <v>230</v>
      </c>
      <c r="C5" s="3324"/>
      <c r="D5" s="111">
        <f>ROUND($D$3*E5/$E$3,2)</f>
        <v>7135.07</v>
      </c>
      <c r="E5" s="112">
        <f>SUMIF('数据-基础表'!$11:$11,"住宅",'数据-基础表'!$5:$5)</f>
        <v>35569.72</v>
      </c>
      <c r="F5" s="1985"/>
      <c r="G5" s="280" t="s">
        <v>861</v>
      </c>
      <c r="H5" s="275" t="s">
        <v>859</v>
      </c>
      <c r="I5" s="1977">
        <f>ROUND(E31/D31,2)</f>
        <v>4.99</v>
      </c>
      <c r="J5" s="1985"/>
      <c r="K5" s="1985"/>
      <c r="L5" s="1985"/>
    </row>
    <row r="6" spans="1:16" ht="15" thickBot="1">
      <c r="A6" s="113"/>
      <c r="B6" s="3324" t="s">
        <v>208</v>
      </c>
      <c r="C6" s="3324"/>
      <c r="D6" s="111">
        <f>ROUND($D$3*E6/$E$3,2)</f>
        <v>4247.83</v>
      </c>
      <c r="E6" s="112">
        <f>E3-E5</f>
        <v>21176.300000000003</v>
      </c>
      <c r="F6" s="1985"/>
      <c r="G6" s="1201"/>
      <c r="H6" s="275" t="s">
        <v>860</v>
      </c>
      <c r="I6" s="1977">
        <f>ROUND(F31/D31,2)</f>
        <v>3.84</v>
      </c>
      <c r="J6" s="1985"/>
      <c r="K6" s="1985"/>
      <c r="L6" s="1985"/>
    </row>
    <row r="7" spans="1:16" ht="15">
      <c r="A7" s="3316"/>
      <c r="B7" s="3317"/>
      <c r="C7" s="3318"/>
      <c r="D7" s="108" t="s">
        <v>204</v>
      </c>
      <c r="E7" s="114" t="s">
        <v>231</v>
      </c>
      <c r="F7" s="1985"/>
      <c r="G7" s="1156" t="s">
        <v>1646</v>
      </c>
      <c r="H7" s="1157"/>
      <c r="I7" s="1847">
        <f>I6</f>
        <v>3.84</v>
      </c>
      <c r="J7" s="1985"/>
      <c r="K7" s="1985"/>
      <c r="L7" s="1985"/>
    </row>
    <row r="8" spans="1:16">
      <c r="A8" s="110" t="s">
        <v>209</v>
      </c>
      <c r="B8" s="115" t="s">
        <v>210</v>
      </c>
      <c r="C8" s="111" t="s">
        <v>211</v>
      </c>
      <c r="D8" s="111">
        <f t="shared" ref="D8:D15" si="0">ROUND($D$3*E8/$E$3,2)</f>
        <v>7691.79</v>
      </c>
      <c r="E8" s="116">
        <f>SUMIF('数据-基础表'!BB10:BK10,"地上",'数据-基础表'!BB5:BK5)</f>
        <v>38345.120000000003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2473.3200000000002</v>
      </c>
      <c r="E13" s="116">
        <f>SUMPRODUCT(('数据-基础表'!BB10:BK10="地下")*('数据-基础表'!BB11:BK11="车库")*('数据-基础表'!BB5:BK5))</f>
        <v>12330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10165.11</v>
      </c>
      <c r="E16" s="120">
        <f>SUM(E8:E15)</f>
        <v>50675.12</v>
      </c>
      <c r="F16" s="1985"/>
      <c r="G16" s="1987"/>
      <c r="H16" s="968" t="s">
        <v>219</v>
      </c>
      <c r="I16" s="969"/>
      <c r="J16" s="1985"/>
      <c r="K16" s="3310" t="s">
        <v>2566</v>
      </c>
      <c r="L16" s="3311"/>
      <c r="M16" s="3311"/>
      <c r="N16" s="3311"/>
      <c r="O16" s="3311"/>
      <c r="P16" s="3312"/>
    </row>
    <row r="17" spans="1:19" ht="15">
      <c r="A17" s="121" t="s">
        <v>216</v>
      </c>
      <c r="B17" s="122" t="s">
        <v>217</v>
      </c>
      <c r="C17" s="2299" t="s">
        <v>2312</v>
      </c>
      <c r="D17" s="108" t="s">
        <v>204</v>
      </c>
      <c r="E17" s="124" t="s">
        <v>205</v>
      </c>
      <c r="F17" s="125"/>
      <c r="G17" s="1366"/>
      <c r="H17" s="970" t="s">
        <v>218</v>
      </c>
      <c r="I17" s="971" t="s">
        <v>2311</v>
      </c>
      <c r="J17" s="1985"/>
      <c r="K17" s="3313" t="s">
        <v>2567</v>
      </c>
      <c r="L17" s="3314"/>
      <c r="M17" s="3315"/>
      <c r="N17" s="3313" t="s">
        <v>2568</v>
      </c>
      <c r="O17" s="3314"/>
      <c r="P17" s="3315"/>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3612.97</v>
      </c>
      <c r="E19" s="134">
        <f t="shared" ref="E19:E26" si="2">SUM(F19:G19)</f>
        <v>18011.39</v>
      </c>
      <c r="F19" s="135">
        <f>'数据-基础表'!I13</f>
        <v>18011.39</v>
      </c>
      <c r="G19" s="1368"/>
      <c r="H19" s="974">
        <f>ROUND($D$3*I19/$E$3,2)</f>
        <v>592.26</v>
      </c>
      <c r="I19" s="116">
        <f>IF($I$17="自定义",P19,M19)</f>
        <v>2952.52</v>
      </c>
      <c r="J19" s="1985"/>
      <c r="K19" s="2633">
        <f t="shared" ref="K19:K26" si="3">ROUND(E$28*E19/E$27,2)</f>
        <v>943.27</v>
      </c>
      <c r="L19" s="275">
        <f t="shared" ref="L19:L26" si="4">ROUND(IF(COUNTIF(C19,"*住宅*")&gt;0,E$29*E19/E$32,0),2)</f>
        <v>2009.25</v>
      </c>
      <c r="M19" s="2634">
        <f>K19+L19</f>
        <v>2952.52</v>
      </c>
      <c r="N19" s="2635"/>
      <c r="O19" s="2636"/>
      <c r="P19" s="2637">
        <f>N19+O19</f>
        <v>0</v>
      </c>
      <c r="R19" s="275">
        <f t="shared" ref="R19:S26" si="5">D19+H19</f>
        <v>4205.2299999999996</v>
      </c>
      <c r="S19" s="2302">
        <f t="shared" si="5"/>
        <v>20963.91</v>
      </c>
    </row>
    <row r="20" spans="1:19">
      <c r="A20" s="138"/>
      <c r="B20" s="115" t="s">
        <v>226</v>
      </c>
      <c r="C20" s="3048" t="str">
        <f>'数据-基础表'!C14</f>
        <v>自持住宅</v>
      </c>
      <c r="D20" s="111">
        <f t="shared" si="1"/>
        <v>2531.36</v>
      </c>
      <c r="E20" s="134">
        <f t="shared" si="2"/>
        <v>12619.33</v>
      </c>
      <c r="F20" s="135">
        <f>'数据-基础表'!I14</f>
        <v>12619.33</v>
      </c>
      <c r="G20" s="1368"/>
      <c r="H20" s="974">
        <f t="shared" ref="H20:H26" si="6">ROUND($D$3*I20/$E$3,2)</f>
        <v>414.96</v>
      </c>
      <c r="I20" s="116">
        <f t="shared" ref="I20:I26" si="7">IF($I$17="自定义",P20,M20)</f>
        <v>2068.64</v>
      </c>
      <c r="J20" s="1985"/>
      <c r="K20" s="2633">
        <f t="shared" si="3"/>
        <v>660.89</v>
      </c>
      <c r="L20" s="275">
        <f t="shared" si="4"/>
        <v>1407.75</v>
      </c>
      <c r="M20" s="2634">
        <f t="shared" ref="M20:M26" si="8">K20+L20</f>
        <v>2068.64</v>
      </c>
      <c r="N20" s="2635"/>
      <c r="O20" s="2636"/>
      <c r="P20" s="2637">
        <f t="shared" ref="P20:P26" si="9">N20+O20</f>
        <v>0</v>
      </c>
      <c r="R20" s="275">
        <f t="shared" si="5"/>
        <v>2946.32</v>
      </c>
      <c r="S20" s="2302">
        <f t="shared" si="5"/>
        <v>14687.97</v>
      </c>
    </row>
    <row r="21" spans="1:19">
      <c r="A21" s="138"/>
      <c r="B21" s="115" t="s">
        <v>226</v>
      </c>
      <c r="C21" s="3048" t="str">
        <f>'数据-基础表'!C15</f>
        <v>商业</v>
      </c>
      <c r="D21" s="111">
        <f t="shared" si="1"/>
        <v>556.73</v>
      </c>
      <c r="E21" s="134">
        <f t="shared" si="2"/>
        <v>2775.4</v>
      </c>
      <c r="F21" s="135">
        <f>'数据-基础表'!K15</f>
        <v>2775.4</v>
      </c>
      <c r="G21" s="1368"/>
      <c r="H21" s="974">
        <f t="shared" si="6"/>
        <v>29.16</v>
      </c>
      <c r="I21" s="116">
        <f t="shared" si="7"/>
        <v>145.35</v>
      </c>
      <c r="J21" s="1985"/>
      <c r="K21" s="2633">
        <f t="shared" si="3"/>
        <v>145.35</v>
      </c>
      <c r="L21" s="275">
        <f t="shared" si="4"/>
        <v>0</v>
      </c>
      <c r="M21" s="2634">
        <f t="shared" si="8"/>
        <v>145.35</v>
      </c>
      <c r="N21" s="2635"/>
      <c r="O21" s="2636"/>
      <c r="P21" s="2637">
        <f t="shared" si="9"/>
        <v>0</v>
      </c>
      <c r="R21" s="275">
        <f t="shared" si="5"/>
        <v>585.89</v>
      </c>
      <c r="S21" s="2302">
        <f t="shared" si="5"/>
        <v>2920.75</v>
      </c>
    </row>
    <row r="22" spans="1:19">
      <c r="A22" s="138"/>
      <c r="B22" s="115" t="s">
        <v>226</v>
      </c>
      <c r="C22" s="1365" t="str">
        <f>'数据-基础表'!C17</f>
        <v>地下车库</v>
      </c>
      <c r="D22" s="111">
        <f t="shared" si="1"/>
        <v>2473.3200000000002</v>
      </c>
      <c r="E22" s="134">
        <f t="shared" si="2"/>
        <v>12330</v>
      </c>
      <c r="F22" s="140"/>
      <c r="G22" s="1369">
        <f>'数据-基础表'!M17</f>
        <v>12330</v>
      </c>
      <c r="H22" s="974">
        <f t="shared" si="6"/>
        <v>129.53</v>
      </c>
      <c r="I22" s="116">
        <f t="shared" si="7"/>
        <v>645.73</v>
      </c>
      <c r="J22" s="1985"/>
      <c r="K22" s="2633">
        <f t="shared" si="3"/>
        <v>645.73</v>
      </c>
      <c r="L22" s="275">
        <f t="shared" si="4"/>
        <v>0</v>
      </c>
      <c r="M22" s="2634">
        <f t="shared" si="8"/>
        <v>645.73</v>
      </c>
      <c r="N22" s="2635"/>
      <c r="O22" s="2636"/>
      <c r="P22" s="2637">
        <f t="shared" si="9"/>
        <v>0</v>
      </c>
      <c r="R22" s="275">
        <f t="shared" si="5"/>
        <v>2602.8500000000004</v>
      </c>
      <c r="S22" s="2302">
        <f t="shared" si="5"/>
        <v>12975.73</v>
      </c>
    </row>
    <row r="23" spans="1:19">
      <c r="A23" s="138"/>
      <c r="B23" s="115" t="s">
        <v>226</v>
      </c>
      <c r="C23" s="3218" t="s">
        <v>3119</v>
      </c>
      <c r="D23" s="111">
        <f>ROUND($D$3*E23/$E$3,2)</f>
        <v>990.73</v>
      </c>
      <c r="E23" s="134">
        <f>SUM(F23:G23)</f>
        <v>4939</v>
      </c>
      <c r="F23" s="140">
        <f>'数据-基础表'!O18</f>
        <v>4939</v>
      </c>
      <c r="G23" s="1369"/>
      <c r="H23" s="974">
        <f>ROUND($D$3*I23/$E$3,2)</f>
        <v>51.89</v>
      </c>
      <c r="I23" s="116">
        <f t="shared" si="7"/>
        <v>258.66000000000003</v>
      </c>
      <c r="J23" s="1985"/>
      <c r="K23" s="2633">
        <f t="shared" si="3"/>
        <v>258.66000000000003</v>
      </c>
      <c r="L23" s="275">
        <f t="shared" si="4"/>
        <v>0</v>
      </c>
      <c r="M23" s="2634">
        <f t="shared" si="8"/>
        <v>258.66000000000003</v>
      </c>
      <c r="N23" s="2635"/>
      <c r="O23" s="2636"/>
      <c r="P23" s="2637">
        <f t="shared" si="9"/>
        <v>0</v>
      </c>
      <c r="R23" s="275">
        <f t="shared" si="5"/>
        <v>1042.6200000000001</v>
      </c>
      <c r="S23" s="2302">
        <f t="shared" si="5"/>
        <v>5197.66</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10165.109999999999</v>
      </c>
      <c r="E27" s="143">
        <f>IF(SUM(E19:E26)='数据-基础表'!BA5,SUM(E19:E26),IF(F27="地上面积有误","面积有误","地下面积有误"))</f>
        <v>50675.12</v>
      </c>
      <c r="F27" s="134">
        <f>IF(SUM(F19:F26)=E8,SUM(F19:F26),"地上面积有误")</f>
        <v>38345.120000000003</v>
      </c>
      <c r="G27" s="112">
        <f>SUM(G19:G26)</f>
        <v>12330</v>
      </c>
      <c r="H27" s="975">
        <f>SUM(H19:H26)</f>
        <v>1217.8000000000002</v>
      </c>
      <c r="I27" s="976">
        <f>SUM(I19:I26)</f>
        <v>6070.9</v>
      </c>
      <c r="J27" s="1985"/>
      <c r="K27" s="2642">
        <f>SUM(K19:K26)</f>
        <v>2653.8999999999996</v>
      </c>
      <c r="L27" s="2643">
        <f>SUM(L19:L26)</f>
        <v>3417</v>
      </c>
      <c r="M27" s="2644">
        <f>SUM(M19:M26)</f>
        <v>6070.9</v>
      </c>
      <c r="N27" s="2642">
        <f t="shared" ref="N27:O27" si="10">SUM(N19:N26)</f>
        <v>0</v>
      </c>
      <c r="O27" s="2643">
        <f t="shared" si="10"/>
        <v>0</v>
      </c>
      <c r="P27" s="2645">
        <f>SUM(P19:P26)</f>
        <v>0</v>
      </c>
      <c r="R27" s="2306" t="str">
        <f>IF(SUM(R19:R26)=$D$3,SUM(R19:R26),SUM(R19:R26)&amp;"误差"&amp;ROUND(SUM(R19:R26)-$D$3,2))</f>
        <v>11382.91误差0.01</v>
      </c>
      <c r="S27" s="275">
        <f>IF(SUM(S19:S26)=$E$3,SUM(S19:S26),SUM(S19:S26)&amp;"误差"&amp;ROUND(SUM(S19:S26)-E3,2))</f>
        <v>56746.020000000004</v>
      </c>
    </row>
    <row r="28" spans="1:19">
      <c r="A28" s="138"/>
      <c r="B28" s="115" t="s">
        <v>227</v>
      </c>
      <c r="C28" s="136" t="s">
        <v>228</v>
      </c>
      <c r="D28" s="111">
        <f>ROUND($D$3*E28/$E$3,2)</f>
        <v>532.36</v>
      </c>
      <c r="E28" s="134">
        <f>SUM(F28:G28)</f>
        <v>2653.9000000000015</v>
      </c>
      <c r="F28" s="144">
        <f>'数据-基础表'!BQ5+'数据-基础表'!BS5</f>
        <v>2000</v>
      </c>
      <c r="G28" s="145">
        <f>'数据-基础表'!BR5+'数据-基础表'!BT5</f>
        <v>653.90000000000146</v>
      </c>
      <c r="H28" s="1985"/>
      <c r="I28" s="1985"/>
      <c r="J28" s="1985"/>
      <c r="K28" s="1985"/>
      <c r="L28" s="1985"/>
    </row>
    <row r="29" spans="1:19">
      <c r="A29" s="138"/>
      <c r="B29" s="115" t="s">
        <v>227</v>
      </c>
      <c r="C29" s="2314" t="s">
        <v>2319</v>
      </c>
      <c r="D29" s="111">
        <f>ROUND($D$3*E29/$E$3,2)</f>
        <v>685.43</v>
      </c>
      <c r="E29" s="134">
        <f>SUM(F29:G29)</f>
        <v>3417</v>
      </c>
      <c r="F29" s="144">
        <f>'数据-基础表'!BM5+'数据-基础表'!BO5</f>
        <v>3417</v>
      </c>
      <c r="G29" s="146">
        <f>'数据-基础表'!BN5+'数据-基础表'!BP5</f>
        <v>0</v>
      </c>
      <c r="H29" s="1985"/>
      <c r="I29" s="1985"/>
      <c r="J29" s="1985"/>
      <c r="K29" s="1985"/>
      <c r="L29" s="1985"/>
    </row>
    <row r="30" spans="1:19">
      <c r="A30" s="138"/>
      <c r="B30" s="111"/>
      <c r="C30" s="147" t="s">
        <v>215</v>
      </c>
      <c r="D30" s="134">
        <f>SUM(D28:D29)</f>
        <v>1217.79</v>
      </c>
      <c r="E30" s="134">
        <f>SUM(E28:E29)</f>
        <v>6070.9000000000015</v>
      </c>
      <c r="F30" s="134">
        <f>SUM(F28:F29)</f>
        <v>5417</v>
      </c>
      <c r="G30" s="112">
        <f>SUM(G28:G29)</f>
        <v>653.90000000000146</v>
      </c>
      <c r="H30" s="1985"/>
      <c r="I30" s="1985"/>
      <c r="J30" s="1985"/>
      <c r="K30" s="1985"/>
      <c r="L30" s="1985"/>
    </row>
    <row r="31" spans="1:19" ht="32.25" customHeight="1" thickBot="1">
      <c r="A31" s="1370"/>
      <c r="B31" s="1371" t="s">
        <v>229</v>
      </c>
      <c r="C31" s="2331" t="s">
        <v>2321</v>
      </c>
      <c r="D31" s="1372">
        <f>D27+D30</f>
        <v>11382.899999999998</v>
      </c>
      <c r="E31" s="1372">
        <f>E27+E30</f>
        <v>56746.020000000004</v>
      </c>
      <c r="F31" s="1373">
        <f>F27+F30</f>
        <v>43762.12</v>
      </c>
      <c r="G31" s="1374">
        <f>G27+G30</f>
        <v>12983.900000000001</v>
      </c>
      <c r="H31" s="1985"/>
      <c r="I31" s="1985"/>
      <c r="J31" s="1985"/>
      <c r="K31" s="1985"/>
      <c r="L31" s="1985"/>
    </row>
    <row r="32" spans="1:19">
      <c r="A32" s="1985"/>
      <c r="B32" s="2364" t="s">
        <v>2320</v>
      </c>
      <c r="C32" s="2672"/>
      <c r="D32" s="1201"/>
      <c r="E32" s="1201">
        <f>SUMIF(C19:C26,"*住宅*",E19:E26)</f>
        <v>30630.720000000001</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21" sqref="L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18011.39</v>
      </c>
      <c r="L6" s="3050">
        <v>4800</v>
      </c>
      <c r="M6" s="177">
        <f t="shared" ref="M6:M14" si="0">ROUND(K6*L6/10000,0)</f>
        <v>8645</v>
      </c>
      <c r="N6" s="3051">
        <v>0</v>
      </c>
      <c r="O6" s="177">
        <f>IF($N$5="成新度","——",ROUND(M6*N6,0))</f>
        <v>0</v>
      </c>
      <c r="P6" s="178">
        <f>IF($N$5="成新度","——",M6-O6)</f>
        <v>8645</v>
      </c>
      <c r="Q6" s="3052">
        <v>0.1</v>
      </c>
      <c r="R6" s="179">
        <f>SUMIF('数据-汇总表'!C$19:C$33,A6,'数据-汇总表'!R$19:R$33)</f>
        <v>4205.2299999999996</v>
      </c>
      <c r="S6" s="132">
        <f>IF('数据-汇总表'!$I$17="按面积比例",SUMIF('数据-汇总表'!C$19:C$33,A6,'数据-汇总表'!K$19:K$33),SUMIF('数据-汇总表'!C$19:C$33,A6,'数据-汇总表'!N$19:N$33))</f>
        <v>943.27</v>
      </c>
      <c r="T6" s="2235">
        <f>IF($T$4="按面积比例",IF(ISERROR(ROUND($M$14*S6/S$16,0)),"0",ROUND($M$14*S6/S$16,0)),"需自行计算录入")</f>
        <v>330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12619.33</v>
      </c>
      <c r="L7" s="3050">
        <v>4500</v>
      </c>
      <c r="M7" s="177">
        <f t="shared" si="0"/>
        <v>5679</v>
      </c>
      <c r="N7" s="3051">
        <v>0</v>
      </c>
      <c r="O7" s="177">
        <f t="shared" ref="O7:O14" si="3">IF($N$5="成新度","——",ROUND(M7*N7,0))</f>
        <v>0</v>
      </c>
      <c r="P7" s="178">
        <f t="shared" ref="P7:P14" si="4">IF($N$5="成新度","——",M7-O7)</f>
        <v>5679</v>
      </c>
      <c r="Q7" s="3052">
        <v>0.05</v>
      </c>
      <c r="R7" s="179">
        <f>SUMIF('数据-汇总表'!C$19:C$33,A7,'数据-汇总表'!R$19:R$33)</f>
        <v>2946.32</v>
      </c>
      <c r="S7" s="132">
        <f>IF('数据-汇总表'!$I$17="按面积比例",SUMIF('数据-汇总表'!C$19:C$33,A7,'数据-汇总表'!K$19:K$33),SUMIF('数据-汇总表'!C$19:C$33,A7,'数据-汇总表'!N$19:N$33))</f>
        <v>660.89</v>
      </c>
      <c r="T7" s="2235">
        <f t="shared" ref="T7:T13" si="5">IF($T$4="按面积比例",IF(ISERROR(ROUND($M$14*S7/S$16,0)),"0",ROUND($M$14*S7/S$16,0)),"需自行计算录入")</f>
        <v>231</v>
      </c>
      <c r="U7" s="180">
        <v>6</v>
      </c>
      <c r="V7" s="181">
        <v>3.5000000000000003E-2</v>
      </c>
      <c r="W7" s="181">
        <v>0.05</v>
      </c>
      <c r="X7" s="2322"/>
      <c r="Y7" s="182">
        <v>1</v>
      </c>
      <c r="Z7" s="183"/>
      <c r="AA7" s="176"/>
      <c r="AB7" s="176"/>
      <c r="AC7" s="2325"/>
      <c r="AD7" s="184"/>
      <c r="AE7" s="972">
        <f t="shared" ref="AE7:AE13" ca="1" si="6">IF(AN7="",0,SUMIF(INDIRECT("'"&amp;AN7&amp;"'"&amp;"!E:E"),$AE$5,INDIRECT("'"&amp;AN7&amp;"'"&amp;"!F:F")))</f>
        <v>68.510000000000005</v>
      </c>
      <c r="AF7" s="141"/>
      <c r="AG7" s="1213">
        <f t="shared" ref="AG7:AG13" si="7">IF(AF7="",0,AE7-AF7)</f>
        <v>0</v>
      </c>
      <c r="AH7" s="141"/>
      <c r="AI7" s="187">
        <v>365</v>
      </c>
      <c r="AJ7" s="188"/>
      <c r="AK7" s="189">
        <v>0.01</v>
      </c>
      <c r="AL7" s="190">
        <v>1.5E-3</v>
      </c>
      <c r="AM7" s="2415">
        <v>0.01</v>
      </c>
      <c r="AN7" s="2417" t="s">
        <v>3097</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0.98599999999999999</v>
      </c>
      <c r="H8" s="3049">
        <v>4.4999999999999998E-2</v>
      </c>
      <c r="I8" s="3049">
        <v>0.05</v>
      </c>
      <c r="J8" s="176">
        <v>0.08</v>
      </c>
      <c r="K8" s="179">
        <f>SUMIF('数据-汇总表'!C$19:C$33,'数据-取费表'!A8,'数据-汇总表'!E$19:E$33)</f>
        <v>2775.4</v>
      </c>
      <c r="L8" s="3050">
        <v>4000</v>
      </c>
      <c r="M8" s="177">
        <f>ROUND(K8*L8/10000,0)</f>
        <v>1110</v>
      </c>
      <c r="N8" s="3051">
        <v>0</v>
      </c>
      <c r="O8" s="177">
        <f t="shared" si="3"/>
        <v>0</v>
      </c>
      <c r="P8" s="178">
        <f t="shared" si="4"/>
        <v>1110</v>
      </c>
      <c r="Q8" s="3052">
        <v>0.1</v>
      </c>
      <c r="R8" s="179">
        <f>SUMIF('数据-汇总表'!C$19:C$33,A8,'数据-汇总表'!R$19:R$33)</f>
        <v>585.89</v>
      </c>
      <c r="S8" s="132">
        <f>IF('数据-汇总表'!$I$17="按面积比例",SUMIF('数据-汇总表'!C$19:C$33,A8,'数据-汇总表'!K$19:K$33),SUMIF('数据-汇总表'!C$19:C$33,A8,'数据-汇总表'!N$19:N$33))</f>
        <v>145.35</v>
      </c>
      <c r="T8" s="2235">
        <f t="shared" si="5"/>
        <v>51</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0.01</v>
      </c>
      <c r="AL8" s="190">
        <v>1.5E-3</v>
      </c>
      <c r="AM8" s="2415">
        <v>0.01</v>
      </c>
      <c r="AN8" s="2417" t="s">
        <v>3099</v>
      </c>
      <c r="AO8" s="2001"/>
      <c r="AP8" s="1204">
        <f t="shared" si="8"/>
        <v>0.81599999999999995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v>
      </c>
      <c r="H9" s="176">
        <v>0.04</v>
      </c>
      <c r="I9" s="176">
        <v>4.4999999999999998E-2</v>
      </c>
      <c r="J9" s="176">
        <v>0.08</v>
      </c>
      <c r="K9" s="179">
        <f>SUMIF('数据-汇总表'!C$19:C$33,'数据-取费表'!A9,'数据-汇总表'!E$19:E$33)</f>
        <v>12330</v>
      </c>
      <c r="L9" s="193">
        <v>3500</v>
      </c>
      <c r="M9" s="177">
        <f t="shared" si="0"/>
        <v>4316</v>
      </c>
      <c r="N9" s="194">
        <v>0</v>
      </c>
      <c r="O9" s="177">
        <f t="shared" si="3"/>
        <v>0</v>
      </c>
      <c r="P9" s="178">
        <f t="shared" si="4"/>
        <v>4316</v>
      </c>
      <c r="Q9" s="192">
        <v>0.05</v>
      </c>
      <c r="R9" s="179">
        <f>SUMIF('数据-汇总表'!C$19:C$33,A9,'数据-汇总表'!R$19:R$33)</f>
        <v>2602.8500000000004</v>
      </c>
      <c r="S9" s="132">
        <f>IF('数据-汇总表'!$I$17="按面积比例",SUMIF('数据-汇总表'!C$19:C$33,A9,'数据-汇总表'!K$19:K$33),SUMIF('数据-汇总表'!C$19:C$33,A9,'数据-汇总表'!N$19:N$33))</f>
        <v>645.73</v>
      </c>
      <c r="T9" s="2235">
        <f t="shared" si="5"/>
        <v>226</v>
      </c>
      <c r="U9" s="180">
        <v>2500</v>
      </c>
      <c r="V9" s="181">
        <v>0.03</v>
      </c>
      <c r="W9" s="181">
        <v>0.05</v>
      </c>
      <c r="X9" s="2322"/>
      <c r="Y9" s="182">
        <v>1</v>
      </c>
      <c r="Z9" s="183"/>
      <c r="AA9" s="176"/>
      <c r="AB9" s="176"/>
      <c r="AC9" s="2325"/>
      <c r="AD9" s="184"/>
      <c r="AE9" s="972">
        <f t="shared" ca="1" si="6"/>
        <v>46.49</v>
      </c>
      <c r="AF9" s="141"/>
      <c r="AG9" s="1213">
        <f t="shared" si="7"/>
        <v>0</v>
      </c>
      <c r="AH9" s="141">
        <f>面积表!E29</f>
        <v>411</v>
      </c>
      <c r="AI9" s="187">
        <v>12</v>
      </c>
      <c r="AJ9" s="188"/>
      <c r="AK9" s="189">
        <v>0.01</v>
      </c>
      <c r="AL9" s="190">
        <v>1.5E-3</v>
      </c>
      <c r="AM9" s="2415">
        <v>5.0000000000000001E-3</v>
      </c>
      <c r="AN9" s="2417" t="s">
        <v>3115</v>
      </c>
      <c r="AO9" s="2001"/>
      <c r="AP9" s="1204">
        <f t="shared" si="8"/>
        <v>0.85099999999999998</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保障房</v>
      </c>
      <c r="B10" s="2338" t="str">
        <f t="shared" si="1"/>
        <v>经营性</v>
      </c>
      <c r="C10" s="173" t="s">
        <v>923</v>
      </c>
      <c r="D10" s="2309">
        <f>SUMIF(项目基本情况!D$15:I$15,C10,项目基本情况!D$18:I$18)</f>
        <v>70</v>
      </c>
      <c r="E10" s="2310">
        <f>IF(B10="","",SUMIF(项目基本情况!D$15:I$15,C10,项目基本情况!D$17:I$17))</f>
        <v>68255</v>
      </c>
      <c r="F10" s="174">
        <f>SUMIF(项目基本情况!D$15:I$15,C10,项目基本情况!D$19:I$19)</f>
        <v>68.510000000000005</v>
      </c>
      <c r="G10" s="175">
        <f t="shared" si="2"/>
        <v>0.995</v>
      </c>
      <c r="H10" s="3049">
        <v>3.5000000000000003E-2</v>
      </c>
      <c r="I10" s="3049">
        <v>0.04</v>
      </c>
      <c r="J10" s="176">
        <v>0.08</v>
      </c>
      <c r="K10" s="179">
        <f>SUMIF('数据-汇总表'!C$19:C$33,'数据-取费表'!A10,'数据-汇总表'!E$19:E$33)</f>
        <v>4939</v>
      </c>
      <c r="L10" s="193">
        <v>3500</v>
      </c>
      <c r="M10" s="177">
        <f t="shared" si="0"/>
        <v>1729</v>
      </c>
      <c r="N10" s="194">
        <v>0</v>
      </c>
      <c r="O10" s="177">
        <f t="shared" si="3"/>
        <v>0</v>
      </c>
      <c r="P10" s="178">
        <f t="shared" si="4"/>
        <v>1729</v>
      </c>
      <c r="Q10" s="192"/>
      <c r="R10" s="179">
        <f>SUMIF('数据-汇总表'!C$19:C$33,A10,'数据-汇总表'!R$19:R$33)</f>
        <v>1042.6200000000001</v>
      </c>
      <c r="S10" s="132">
        <f>IF('数据-汇总表'!$I$17="按面积比例",SUMIF('数据-汇总表'!C$19:C$33,A10,'数据-汇总表'!K$19:K$33),SUMIF('数据-汇总表'!C$19:C$33,A10,'数据-汇总表'!N$19:N$33))</f>
        <v>258.66000000000003</v>
      </c>
      <c r="T10" s="2235">
        <f t="shared" si="5"/>
        <v>91</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0.90500000000000003</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2653.9000000000015</v>
      </c>
      <c r="L14" s="193">
        <f>L9</f>
        <v>3500</v>
      </c>
      <c r="M14" s="177">
        <f t="shared" si="0"/>
        <v>929</v>
      </c>
      <c r="N14" s="194">
        <v>0</v>
      </c>
      <c r="O14" s="177">
        <f t="shared" si="3"/>
        <v>0</v>
      </c>
      <c r="P14" s="178">
        <f t="shared" si="4"/>
        <v>929</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3417</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3.6999999999999998E-2</v>
      </c>
      <c r="I16" s="204"/>
      <c r="J16" s="204"/>
      <c r="K16" s="205">
        <f>SUM(K6:K15)</f>
        <v>56746.020000000004</v>
      </c>
      <c r="L16" s="206">
        <f>ROUND(M16*10000/SUM(K6:K14),0)</f>
        <v>4202</v>
      </c>
      <c r="M16" s="206">
        <f>SUM(M6:M14)</f>
        <v>22408</v>
      </c>
      <c r="N16" s="207">
        <f>ROUND(SUMPRODUCT(M6:M14,N6:N14)/M16,3)</f>
        <v>0</v>
      </c>
      <c r="O16" s="206">
        <f>SUM(O6:O14)</f>
        <v>0</v>
      </c>
      <c r="P16" s="206">
        <f>SUM(P6:P14)</f>
        <v>22408</v>
      </c>
      <c r="Q16" s="208">
        <f>ROUND(SUMPRODUCT(Q6:Q13,K6:K13)/SUMPRODUCT((Q6:Q13&gt;0)*(K6:K13)),2)</f>
        <v>7.0000000000000007E-2</v>
      </c>
      <c r="R16" s="2312">
        <f>SUM(R6:R13)</f>
        <v>11382.910000000002</v>
      </c>
      <c r="S16" s="209">
        <f>SUM(S6:S13)</f>
        <v>2653.8999999999996</v>
      </c>
      <c r="T16" s="210">
        <f>IF(SUMIF(T6:T13,"&lt;9E307")=M14,SUMIF(T6:T13,"&lt;9E307"),"有误，请检查")</f>
        <v>929</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0.88700000000000001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0.01</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69" t="s">
        <v>2844</v>
      </c>
      <c r="B1" s="3069">
        <f>SUM(B14:B23)</f>
        <v>56746.020000000004</v>
      </c>
      <c r="C1" s="3070"/>
      <c r="D1" s="3070"/>
      <c r="E1" s="3070"/>
      <c r="F1" s="3070"/>
    </row>
    <row r="2" spans="1:9" ht="16.5">
      <c r="A2" s="3069" t="s">
        <v>2845</v>
      </c>
      <c r="B2" s="3069">
        <f>SUM(C14:C23)</f>
        <v>11382.9</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338085</v>
      </c>
      <c r="C5" s="3069">
        <f ca="1">ROUND(B5*10000/$B$1,0)</f>
        <v>59579</v>
      </c>
      <c r="D5" s="3069">
        <f ca="1">ROUND(B5*10000/$B$2,0)</f>
        <v>297011</v>
      </c>
      <c r="E5" s="3070"/>
      <c r="F5" s="3070"/>
    </row>
    <row r="6" spans="1:9" ht="16.5">
      <c r="A6" s="3069" t="s">
        <v>2852</v>
      </c>
      <c r="B6" s="3069">
        <f ca="1">SUM(G14:G23)</f>
        <v>338085</v>
      </c>
      <c r="C6" s="3069">
        <f t="shared" ref="C6:C8" ca="1" si="0">ROUND(B6*10000/$B$1,0)</f>
        <v>59579</v>
      </c>
      <c r="D6" s="3069">
        <f t="shared" ref="D6:D8" ca="1" si="1">ROUND(B6*10000/$B$2,0)</f>
        <v>297011</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56746.020000000004</v>
      </c>
      <c r="C14" s="3073">
        <f>结果表!K38</f>
        <v>11382.9</v>
      </c>
      <c r="D14" s="3073">
        <f ca="1">结果表!C42</f>
        <v>338085</v>
      </c>
      <c r="E14" s="3073">
        <f ca="1">ROUND(D14*10000/B14,0)</f>
        <v>59579</v>
      </c>
      <c r="F14" s="3073">
        <f ca="1">ROUND(D14*10000/C14,0)</f>
        <v>297011</v>
      </c>
      <c r="G14" s="3073">
        <f ca="1">结果表!C44</f>
        <v>338085</v>
      </c>
      <c r="H14" s="3073" t="str">
        <f>结果表!C45</f>
        <v>——</v>
      </c>
      <c r="I14" s="3073" t="str">
        <f>结果表!C46</f>
        <v>——</v>
      </c>
    </row>
    <row r="15" spans="1:9" ht="16.5">
      <c r="A15" s="3076" t="s">
        <v>2861</v>
      </c>
      <c r="B15" s="3077"/>
      <c r="C15" s="3077"/>
      <c r="D15" s="3077"/>
      <c r="E15" s="3073" t="e">
        <f t="shared" ref="E15:E23" si="2">ROUND(D15*10000/B15,0)</f>
        <v>#DIV/0!</v>
      </c>
      <c r="F15" s="3073" t="e">
        <f t="shared" ref="F15:F23" si="3">ROUND(D15*10000/C15,0)</f>
        <v>#DIV/0!</v>
      </c>
      <c r="G15" s="3074"/>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31" zoomScaleNormal="100" zoomScaleSheetLayoutView="100" zoomScalePageLayoutView="80" workbookViewId="0">
      <selection activeCell="M38" sqref="M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72" t="str">
        <f>项目基本情况!K2</f>
        <v>上海市静安区宝山路街道147街坊11丘出让国有建设用地使用权</v>
      </c>
      <c r="B2" s="3373"/>
      <c r="C2" s="3374"/>
      <c r="D2" s="3374"/>
      <c r="E2" s="3374"/>
      <c r="F2" s="3374"/>
      <c r="G2" s="3373"/>
      <c r="H2" s="3373"/>
      <c r="I2" s="3375"/>
      <c r="J2" s="2031"/>
      <c r="K2" s="2030"/>
      <c r="L2" s="2030"/>
      <c r="M2" s="2030"/>
      <c r="N2" s="2030"/>
      <c r="O2" s="2030"/>
      <c r="P2" s="2030"/>
      <c r="Q2" s="2030"/>
      <c r="R2" s="2030"/>
      <c r="S2" s="2030"/>
      <c r="T2" s="2030"/>
      <c r="U2" s="2030"/>
      <c r="V2" s="2030"/>
    </row>
    <row r="3" spans="1:22" ht="14.25">
      <c r="A3" s="3383" t="s">
        <v>298</v>
      </c>
      <c r="B3" s="3384"/>
      <c r="C3" s="3384"/>
      <c r="D3" s="3384"/>
      <c r="E3" s="3384"/>
      <c r="F3" s="3384"/>
      <c r="G3" s="3384"/>
      <c r="H3" s="3384"/>
      <c r="I3" s="3384"/>
      <c r="J3" s="2031"/>
      <c r="K3" s="2030"/>
      <c r="L3" s="2030"/>
      <c r="M3" s="2030"/>
      <c r="N3" s="2030"/>
      <c r="O3" s="2030"/>
      <c r="P3" s="2030"/>
      <c r="Q3" s="2030"/>
      <c r="R3" s="2030"/>
      <c r="S3" s="2030"/>
      <c r="T3" s="2030"/>
      <c r="U3" s="2030"/>
      <c r="V3" s="2030"/>
    </row>
    <row r="4" spans="1:22" ht="14.25">
      <c r="A4" s="258" t="s">
        <v>299</v>
      </c>
      <c r="B4" s="259" t="s">
        <v>300</v>
      </c>
      <c r="C4" s="260" t="s">
        <v>3197</v>
      </c>
      <c r="D4" s="260" t="s">
        <v>3196</v>
      </c>
      <c r="E4" s="3347" t="s">
        <v>301</v>
      </c>
      <c r="F4" s="3389"/>
      <c r="G4" s="3389"/>
      <c r="H4" s="3389"/>
      <c r="I4" s="334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76" t="s">
        <v>302</v>
      </c>
      <c r="B5" s="3377">
        <v>25</v>
      </c>
      <c r="C5" s="3385"/>
      <c r="D5" s="3388"/>
      <c r="E5" s="261" t="s">
        <v>303</v>
      </c>
      <c r="F5" s="262"/>
      <c r="G5" s="262"/>
      <c r="H5" s="262"/>
      <c r="I5" s="263"/>
      <c r="J5" s="2031"/>
      <c r="K5" s="2030"/>
      <c r="L5" s="2030"/>
      <c r="M5" s="2030"/>
      <c r="N5" s="2030"/>
      <c r="O5" s="2030"/>
      <c r="P5" s="2030"/>
      <c r="Q5" s="2030"/>
      <c r="R5" s="2030"/>
      <c r="S5" s="2030"/>
      <c r="T5" s="2030"/>
      <c r="U5" s="2030"/>
      <c r="V5" s="2030"/>
    </row>
    <row r="6" spans="1:22" ht="14.25">
      <c r="A6" s="3376"/>
      <c r="B6" s="3377"/>
      <c r="C6" s="3386"/>
      <c r="D6" s="3388"/>
      <c r="E6" s="261" t="s">
        <v>304</v>
      </c>
      <c r="F6" s="262"/>
      <c r="G6" s="262"/>
      <c r="H6" s="262"/>
      <c r="I6" s="263"/>
      <c r="J6" s="2031"/>
      <c r="K6" s="2030"/>
      <c r="L6" s="2030"/>
      <c r="M6" s="2030"/>
      <c r="N6" s="2030"/>
      <c r="O6" s="2030"/>
      <c r="P6" s="2030"/>
      <c r="Q6" s="2030"/>
      <c r="R6" s="2030"/>
      <c r="S6" s="2030"/>
      <c r="T6" s="2030"/>
      <c r="U6" s="2030"/>
      <c r="V6" s="2030"/>
    </row>
    <row r="7" spans="1:22" ht="14.25">
      <c r="A7" s="3376"/>
      <c r="B7" s="3377"/>
      <c r="C7" s="3387"/>
      <c r="D7" s="3388"/>
      <c r="E7" s="261" t="s">
        <v>305</v>
      </c>
      <c r="F7" s="262"/>
      <c r="G7" s="262"/>
      <c r="H7" s="262"/>
      <c r="I7" s="263"/>
      <c r="J7" s="2031"/>
      <c r="K7" s="2030"/>
      <c r="L7" s="2030"/>
      <c r="M7" s="2030"/>
      <c r="N7" s="2030"/>
      <c r="O7" s="2030"/>
      <c r="P7" s="2030"/>
      <c r="Q7" s="2030"/>
      <c r="R7" s="2030"/>
      <c r="S7" s="2030"/>
      <c r="T7" s="2030"/>
      <c r="U7" s="2030"/>
      <c r="V7" s="2030"/>
    </row>
    <row r="8" spans="1:22" ht="14.25">
      <c r="A8" s="3376" t="s">
        <v>306</v>
      </c>
      <c r="B8" s="3377">
        <v>15</v>
      </c>
      <c r="C8" s="3385"/>
      <c r="D8" s="3388"/>
      <c r="E8" s="261" t="s">
        <v>307</v>
      </c>
      <c r="F8" s="262"/>
      <c r="G8" s="262"/>
      <c r="H8" s="262"/>
      <c r="I8" s="263"/>
      <c r="J8" s="2031"/>
      <c r="K8" s="2030"/>
      <c r="L8" s="2030"/>
      <c r="M8" s="2030"/>
      <c r="N8" s="2030"/>
      <c r="O8" s="2030"/>
      <c r="P8" s="2030"/>
      <c r="Q8" s="2030"/>
      <c r="R8" s="2030"/>
      <c r="S8" s="2030"/>
      <c r="T8" s="2030"/>
      <c r="U8" s="2030"/>
      <c r="V8" s="2030"/>
    </row>
    <row r="9" spans="1:22" ht="14.25">
      <c r="A9" s="3376"/>
      <c r="B9" s="3377"/>
      <c r="C9" s="3387"/>
      <c r="D9" s="3388"/>
      <c r="E9" s="261" t="s">
        <v>308</v>
      </c>
      <c r="F9" s="262"/>
      <c r="G9" s="262"/>
      <c r="H9" s="262"/>
      <c r="I9" s="263"/>
      <c r="J9" s="2031"/>
      <c r="K9" s="2030"/>
      <c r="L9" s="2030"/>
      <c r="M9" s="2030"/>
      <c r="N9" s="2030"/>
      <c r="O9" s="2030"/>
      <c r="P9" s="2030"/>
      <c r="Q9" s="2030"/>
      <c r="R9" s="2030"/>
      <c r="S9" s="2030"/>
      <c r="T9" s="2030"/>
      <c r="U9" s="2030"/>
      <c r="V9" s="2030"/>
    </row>
    <row r="10" spans="1:22" ht="14.25">
      <c r="A10" s="3376" t="s">
        <v>309</v>
      </c>
      <c r="B10" s="3377">
        <v>15</v>
      </c>
      <c r="C10" s="3385"/>
      <c r="D10" s="3388"/>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6"/>
      <c r="B11" s="3377"/>
      <c r="C11" s="3387"/>
      <c r="D11" s="338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6" t="s">
        <v>312</v>
      </c>
      <c r="B12" s="3377">
        <v>15</v>
      </c>
      <c r="C12" s="3385"/>
      <c r="D12" s="3388"/>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6"/>
      <c r="B13" s="3377"/>
      <c r="C13" s="3387"/>
      <c r="D13" s="338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6" t="s">
        <v>315</v>
      </c>
      <c r="B14" s="3377">
        <v>30</v>
      </c>
      <c r="C14" s="3385">
        <v>5</v>
      </c>
      <c r="D14" s="338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6"/>
      <c r="B15" s="3377"/>
      <c r="C15" s="3386"/>
      <c r="D15" s="338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6"/>
      <c r="B16" s="3377"/>
      <c r="C16" s="3387"/>
      <c r="D16" s="338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338852</v>
      </c>
      <c r="D19" s="271">
        <f ca="1">SUMIF(INDIRECT("'"&amp;D4&amp;"'"&amp;"!A:A"),结果表!B19,INDIRECT("'"&amp;D4&amp;"'"&amp;"!B:B"))</f>
        <v>337317</v>
      </c>
      <c r="E19" s="268" t="s">
        <v>323</v>
      </c>
      <c r="F19" s="269" t="s">
        <v>322</v>
      </c>
      <c r="G19" s="272">
        <f ca="1">ROUND(C19*$C$18+D19*$D$18,0)</f>
        <v>338085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59714</v>
      </c>
      <c r="D20" s="277">
        <f ca="1">SUMIF(INDIRECT("'"&amp;D4&amp;"'"&amp;"!A:A"),结果表!B20,INDIRECT("'"&amp;D4&amp;"'"&amp;"!B:B"))</f>
        <v>59443</v>
      </c>
      <c r="E20" s="274"/>
      <c r="F20" s="275" t="s">
        <v>325</v>
      </c>
      <c r="G20" s="278">
        <f ca="1">ROUND(C20*$C$18+D20*$D$18,0)</f>
        <v>59579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297685</v>
      </c>
      <c r="D21" s="151">
        <f ca="1">SUMIF(INDIRECT("'"&amp;D4&amp;"'"&amp;"!A:A"),结果表!B21,INDIRECT("'"&amp;D4&amp;"'"&amp;"!B:B"))</f>
        <v>296337</v>
      </c>
      <c r="E21" s="274"/>
      <c r="F21" s="280" t="s">
        <v>327</v>
      </c>
      <c r="G21" s="282">
        <f ca="1">ROUND(C21*$C$18+D21*$D$18,0)</f>
        <v>297011</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4.5506155930474801E-3</v>
      </c>
      <c r="E22" s="284"/>
      <c r="F22" s="285"/>
      <c r="G22" s="286">
        <f ca="1">ROUND(G19/('数据-汇总表'!D3/666.67),0)</f>
        <v>19801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4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91"/>
      <c r="B25" s="1321" t="s">
        <v>331</v>
      </c>
      <c r="C25" s="290">
        <f>IF(B30=0,0,C30)</f>
        <v>0</v>
      </c>
      <c r="D25" s="291"/>
      <c r="E25" s="311"/>
      <c r="F25" s="311"/>
      <c r="G25" s="311"/>
      <c r="H25" s="311"/>
      <c r="I25" s="311"/>
      <c r="J25" s="2030"/>
      <c r="K25" s="1255" t="str">
        <f ca="1">项目基本情况!B16&amp;"国有建设用地使用权价格："&amp;O38&amp;"万元"</f>
        <v>出让国有建设用地使用权价格：338085万元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大写金额：人民币叁拾叁亿捌仟零捌拾伍万元整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单位面积地价：297011元/平方米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楼面地价：59579元/平方米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抵押价格：338085万元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大写金额：人民币叁拾叁亿捌仟零捌拾伍万元整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338085</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59579</v>
      </c>
      <c r="D33" s="1386" t="s">
        <v>1689</v>
      </c>
      <c r="E33" s="3349"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297011</v>
      </c>
      <c r="D34" s="1388" t="s">
        <v>1689</v>
      </c>
      <c r="E34" s="3350"/>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19801</v>
      </c>
      <c r="D35" s="1391" t="s">
        <v>1691</v>
      </c>
      <c r="E35" s="3351"/>
      <c r="F35" s="301" t="s">
        <v>342</v>
      </c>
      <c r="G35" s="982"/>
      <c r="H35" s="981" t="s">
        <v>343</v>
      </c>
      <c r="I35" s="311"/>
      <c r="J35" s="2030"/>
      <c r="K35" s="3355" t="s">
        <v>350</v>
      </c>
      <c r="L35" s="3355" t="s">
        <v>351</v>
      </c>
      <c r="M35" s="1264" t="s">
        <v>352</v>
      </c>
      <c r="N35" s="3355" t="s">
        <v>353</v>
      </c>
      <c r="O35" s="3355" t="s">
        <v>354</v>
      </c>
      <c r="P35" s="2030"/>
      <c r="V35" s="2030"/>
    </row>
    <row r="36" spans="1:26" ht="16.5" customHeight="1">
      <c r="A36" s="303" t="s">
        <v>344</v>
      </c>
      <c r="B36" s="304" t="s">
        <v>333</v>
      </c>
      <c r="C36" s="305" t="s">
        <v>345</v>
      </c>
      <c r="D36" s="305" t="s">
        <v>346</v>
      </c>
      <c r="E36" s="306" t="s">
        <v>347</v>
      </c>
      <c r="F36" s="311"/>
      <c r="G36" s="311"/>
      <c r="H36" s="311"/>
      <c r="I36" s="311"/>
      <c r="J36" s="2032"/>
      <c r="K36" s="3356"/>
      <c r="L36" s="3356"/>
      <c r="M36" s="1266" t="s">
        <v>355</v>
      </c>
      <c r="N36" s="3356"/>
      <c r="O36" s="3356"/>
      <c r="P36" s="2030"/>
      <c r="V36" s="2030"/>
    </row>
    <row r="37" spans="1:26" ht="16.5" customHeight="1" thickBot="1">
      <c r="A37" s="1260" t="s">
        <v>348</v>
      </c>
      <c r="B37" s="307"/>
      <c r="C37" s="294"/>
      <c r="D37" s="294"/>
      <c r="E37" s="295"/>
      <c r="F37" s="311"/>
      <c r="G37" s="311"/>
      <c r="H37" s="311"/>
      <c r="I37" s="311"/>
      <c r="J37" s="2032"/>
      <c r="K37" s="3357"/>
      <c r="L37" s="3357"/>
      <c r="M37" s="1267"/>
      <c r="N37" s="3357"/>
      <c r="O37" s="3357"/>
      <c r="P37" s="2030"/>
      <c r="V37" s="2030"/>
    </row>
    <row r="38" spans="1:26" ht="16.5" customHeight="1" thickBot="1">
      <c r="A38" s="1260" t="s">
        <v>349</v>
      </c>
      <c r="B38" s="307"/>
      <c r="C38" s="294"/>
      <c r="D38" s="294"/>
      <c r="E38" s="295"/>
      <c r="F38" s="311"/>
      <c r="G38" s="311"/>
      <c r="H38" s="311"/>
      <c r="I38" s="311"/>
      <c r="J38" s="2032"/>
      <c r="K38" s="1268">
        <f>'数据-汇总表'!D3</f>
        <v>11382.9</v>
      </c>
      <c r="L38" s="1269">
        <f>'数据-汇总表'!E3</f>
        <v>56746.020000000004</v>
      </c>
      <c r="M38" s="1269">
        <f ca="1">C34</f>
        <v>297011</v>
      </c>
      <c r="N38" s="1269">
        <f ca="1">C33</f>
        <v>59579</v>
      </c>
      <c r="O38" s="1270">
        <f ca="1">C32</f>
        <v>338085</v>
      </c>
      <c r="P38" s="2030"/>
      <c r="V38" s="2030"/>
    </row>
    <row r="39" spans="1:26" ht="16.5" customHeight="1" thickBot="1">
      <c r="A39" s="1265"/>
      <c r="B39" s="308"/>
      <c r="C39" s="309"/>
      <c r="D39" s="309"/>
      <c r="E39" s="310"/>
      <c r="F39" s="311"/>
      <c r="G39" s="311"/>
      <c r="H39" s="311"/>
      <c r="I39" s="311"/>
      <c r="J39" s="2032"/>
      <c r="K39" s="3332" t="str">
        <f>MID(A44,3,LEN(A44)-2)</f>
        <v>抵押价格</v>
      </c>
      <c r="L39" s="3333"/>
      <c r="M39" s="3333"/>
      <c r="N39" s="3334"/>
      <c r="O39" s="1393">
        <f ca="1">C44</f>
        <v>338085</v>
      </c>
      <c r="P39" s="2030"/>
      <c r="V39" s="2030"/>
    </row>
    <row r="40" spans="1:26" ht="19.5" thickBot="1">
      <c r="A40" s="104" t="s">
        <v>873</v>
      </c>
      <c r="B40" s="311"/>
      <c r="C40" s="311"/>
      <c r="D40" s="311"/>
      <c r="E40" s="311"/>
      <c r="F40" s="311"/>
      <c r="G40" s="311"/>
      <c r="H40" s="311"/>
      <c r="I40" s="311"/>
      <c r="J40" s="2032"/>
      <c r="K40" s="3332" t="str">
        <f t="shared" ref="K40:K41" si="0">MID(A45,3,LEN(A45)-2)</f>
        <v/>
      </c>
      <c r="L40" s="3333"/>
      <c r="M40" s="3333"/>
      <c r="N40" s="333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2" t="str">
        <f t="shared" si="0"/>
        <v/>
      </c>
      <c r="L41" s="3333"/>
      <c r="M41" s="3333"/>
      <c r="N41" s="3334"/>
      <c r="O41" s="1393" t="str">
        <f>C46</f>
        <v>——</v>
      </c>
      <c r="P41" s="2030"/>
      <c r="V41" s="2030"/>
    </row>
    <row r="42" spans="1:26" ht="29.25">
      <c r="A42" s="3392" t="s">
        <v>2066</v>
      </c>
      <c r="B42" s="3393"/>
      <c r="C42" s="264">
        <f ca="1">C32</f>
        <v>338085</v>
      </c>
      <c r="D42" s="317">
        <f ca="1">C33</f>
        <v>59579</v>
      </c>
      <c r="E42" s="317">
        <f ca="1">C34</f>
        <v>297011</v>
      </c>
      <c r="F42" s="318">
        <f ca="1">C35</f>
        <v>19801</v>
      </c>
      <c r="G42" s="311"/>
      <c r="H42" s="311"/>
      <c r="I42" s="319"/>
      <c r="J42" s="2032"/>
      <c r="K42" s="1271" t="s">
        <v>361</v>
      </c>
      <c r="L42" s="2049" t="s">
        <v>362</v>
      </c>
      <c r="M42" s="1272" t="s">
        <v>363</v>
      </c>
      <c r="N42" s="2050" t="s">
        <v>364</v>
      </c>
      <c r="O42" s="2051" t="s">
        <v>365</v>
      </c>
      <c r="P42" s="2030"/>
      <c r="V42" s="2030"/>
    </row>
    <row r="43" spans="1:26" ht="30">
      <c r="A43" s="3402" t="s">
        <v>2730</v>
      </c>
      <c r="B43" s="3403"/>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338852</v>
      </c>
      <c r="M43" s="1275">
        <f>C18</f>
        <v>0.5</v>
      </c>
      <c r="N43" s="1276">
        <f ca="1">IF(N42="测算结果/万元",G19,G20)</f>
        <v>338085</v>
      </c>
      <c r="O43" s="1277">
        <f ca="1">IF(O42="最终结果/万元",C32,C33)</f>
        <v>338085</v>
      </c>
      <c r="P43" s="2030"/>
      <c r="V43" s="2030"/>
    </row>
    <row r="44" spans="1:26" ht="30.75" thickBot="1">
      <c r="A44" s="3392" t="str">
        <f>IF(OR(项目基本情况!E8="抵押价格",项目基本情况!E8="已注销及未注销"),"3.抵押价格","——")</f>
        <v>3.抵押价格</v>
      </c>
      <c r="B44" s="3393"/>
      <c r="C44" s="264">
        <f ca="1">IF(A44="——","——",C42-C43)</f>
        <v>338085</v>
      </c>
      <c r="D44" s="317">
        <f ca="1">ROUND(C44*10000/'数据-汇总表'!E3,0)</f>
        <v>59579</v>
      </c>
      <c r="E44" s="317">
        <f ca="1">ROUND(C44*10000/'数据-汇总表'!D3,0)</f>
        <v>297011</v>
      </c>
      <c r="F44" s="318">
        <f ca="1">ROUND(C44/('数据-汇总表'!D3/666.67),0)</f>
        <v>19801</v>
      </c>
      <c r="G44" s="311"/>
      <c r="H44" s="311"/>
      <c r="I44" s="319"/>
      <c r="J44" s="2032"/>
      <c r="K44" s="1278" t="str">
        <f>D4</f>
        <v>剩余法-待开发</v>
      </c>
      <c r="L44" s="1279">
        <f ca="1">IF(L42="估价结果/万元",D19,D20)</f>
        <v>337317</v>
      </c>
      <c r="M44" s="1280">
        <f>D18</f>
        <v>0.5</v>
      </c>
      <c r="N44" s="1281"/>
      <c r="O44" s="1282"/>
      <c r="P44" s="2030"/>
      <c r="V44" s="2030"/>
    </row>
    <row r="45" spans="1:26" ht="15">
      <c r="A45" s="3397" t="str">
        <f>IF(项目基本情况!E8="已注销及未注销","4.抵押担保权已注销时的抵押价格",IF(项目基本情况!E8="已注销","3.抵押担保权已注销时的抵押价格","——"))</f>
        <v>——</v>
      </c>
      <c r="B45" s="339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94" t="str">
        <f>IF(项目基本情况!E9="抵押净值",IF(A45="——","4.抵押净值","5.抵押净值"),"——")</f>
        <v>——</v>
      </c>
      <c r="B46" s="339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0" t="s">
        <v>374</v>
      </c>
      <c r="B63" s="3361"/>
      <c r="C63" s="3362"/>
      <c r="D63" s="341">
        <f ca="1">ROUND(C42*F63,0)</f>
        <v>202851</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99" t="s">
        <v>378</v>
      </c>
      <c r="B64" s="3400"/>
      <c r="C64" s="3400"/>
      <c r="D64" s="3400"/>
      <c r="E64" s="3400"/>
      <c r="F64" s="3400"/>
      <c r="G64" s="340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96" t="s">
        <v>386</v>
      </c>
      <c r="B66" s="3367"/>
      <c r="C66" s="3367"/>
      <c r="D66" s="261">
        <f ca="1">IF(H66="情况1",0,IF(H66="情况2",D70,IF(H66="情况3",D71,IF(H66="情况4",D72))))</f>
        <v>10819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36" t="s">
        <v>385</v>
      </c>
      <c r="M66" s="3337"/>
      <c r="N66" s="2484"/>
      <c r="O66" s="2485"/>
      <c r="P66" s="2486"/>
      <c r="Q66" s="2030"/>
      <c r="R66" s="2030"/>
      <c r="S66" s="2030"/>
      <c r="T66" s="2030"/>
      <c r="U66" s="2030"/>
      <c r="V66" s="2030"/>
    </row>
    <row r="67" spans="1:22" ht="25.5" customHeight="1">
      <c r="A67" s="352" t="s">
        <v>390</v>
      </c>
      <c r="B67" s="3379" t="s">
        <v>391</v>
      </c>
      <c r="C67" s="3379"/>
      <c r="D67" s="353">
        <v>0</v>
      </c>
      <c r="E67" s="41" t="s">
        <v>392</v>
      </c>
      <c r="F67" s="62" t="s">
        <v>21</v>
      </c>
      <c r="G67" s="3363"/>
      <c r="H67" s="311"/>
      <c r="I67" s="1292"/>
      <c r="J67" s="2037"/>
      <c r="K67" s="1978">
        <v>2</v>
      </c>
      <c r="L67" s="3335" t="s">
        <v>389</v>
      </c>
      <c r="M67" s="3335"/>
      <c r="N67" s="1325">
        <f>'数据-取费表'!B2</f>
        <v>43248</v>
      </c>
      <c r="O67" s="1325"/>
      <c r="P67" s="1325"/>
      <c r="Q67" s="2030"/>
      <c r="R67" s="2030"/>
      <c r="S67" s="2030"/>
      <c r="T67" s="2030"/>
      <c r="U67" s="2030"/>
      <c r="V67" s="2030"/>
    </row>
    <row r="68" spans="1:22" ht="25.5" customHeight="1">
      <c r="A68" s="354"/>
      <c r="B68" s="3379" t="s">
        <v>394</v>
      </c>
      <c r="C68" s="3379"/>
      <c r="D68" s="355"/>
      <c r="E68" s="77"/>
      <c r="F68" s="356"/>
      <c r="G68" s="3364"/>
      <c r="H68" s="311"/>
      <c r="I68" s="1292"/>
      <c r="J68" s="2037"/>
      <c r="K68" s="1978">
        <v>3</v>
      </c>
      <c r="L68" s="3335" t="s">
        <v>393</v>
      </c>
      <c r="M68" s="3335"/>
      <c r="N68" s="1293">
        <f ca="1">C42</f>
        <v>338085</v>
      </c>
      <c r="O68" s="1293"/>
      <c r="P68" s="1293"/>
      <c r="Q68" s="2030"/>
      <c r="R68" s="2030"/>
      <c r="S68" s="2030"/>
      <c r="T68" s="2030"/>
      <c r="U68" s="2030"/>
      <c r="V68" s="2030"/>
    </row>
    <row r="69" spans="1:22" ht="12" customHeight="1">
      <c r="A69" s="357"/>
      <c r="B69" s="3379" t="s">
        <v>395</v>
      </c>
      <c r="C69" s="3379"/>
      <c r="D69" s="358"/>
      <c r="E69" s="73"/>
      <c r="F69" s="356"/>
      <c r="G69" s="3365"/>
      <c r="H69" s="311"/>
      <c r="I69" s="1292"/>
      <c r="J69" s="2037"/>
      <c r="K69" s="1294">
        <v>4</v>
      </c>
      <c r="L69" s="3341" t="s">
        <v>2883</v>
      </c>
      <c r="M69" s="3342"/>
      <c r="N69" s="1295">
        <f ca="1">C44</f>
        <v>338085</v>
      </c>
      <c r="O69" s="1295"/>
      <c r="P69" s="1295"/>
      <c r="Q69" s="2030"/>
      <c r="R69" s="2030"/>
      <c r="S69" s="2030"/>
      <c r="T69" s="2030"/>
      <c r="U69" s="2030"/>
      <c r="V69" s="2030"/>
    </row>
    <row r="70" spans="1:22" ht="24" customHeight="1">
      <c r="A70" s="359" t="s">
        <v>396</v>
      </c>
      <c r="B70" s="3379" t="s">
        <v>397</v>
      </c>
      <c r="C70" s="3379"/>
      <c r="D70" s="358">
        <f ca="1">ROUND(D63*'数据-取费表'!B41/(1+'数据-取费表'!C42),0)</f>
        <v>10819</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78" t="s">
        <v>405</v>
      </c>
      <c r="C71" s="3390"/>
      <c r="D71" s="358">
        <f ca="1">ROUND(D63*'数据-取费表'!B41/(1+'数据-取费表'!C42),0)</f>
        <v>10819</v>
      </c>
      <c r="E71" s="17" t="s">
        <v>398</v>
      </c>
      <c r="F71" s="360">
        <f>'数据-取费表'!B41</f>
        <v>5.6000000000000001E-2</v>
      </c>
      <c r="G71" s="361"/>
      <c r="H71" s="311"/>
      <c r="I71" s="1292"/>
      <c r="J71" s="2037"/>
      <c r="K71" s="3085" t="s">
        <v>399</v>
      </c>
      <c r="L71" s="3343" t="s">
        <v>400</v>
      </c>
      <c r="M71" s="3343"/>
      <c r="N71" s="3085" t="s">
        <v>401</v>
      </c>
      <c r="O71" s="3085" t="s">
        <v>402</v>
      </c>
      <c r="P71" s="3085" t="s">
        <v>403</v>
      </c>
      <c r="Q71" s="2030"/>
      <c r="R71" s="2030"/>
      <c r="S71" s="2030"/>
      <c r="T71" s="2030"/>
      <c r="U71" s="2030"/>
      <c r="V71" s="2030"/>
    </row>
    <row r="72" spans="1:22" ht="12" customHeight="1">
      <c r="A72" s="359" t="s">
        <v>407</v>
      </c>
      <c r="B72" s="3378" t="s">
        <v>408</v>
      </c>
      <c r="C72" s="3390"/>
      <c r="D72" s="358">
        <f ca="1">C86</f>
        <v>10707</v>
      </c>
      <c r="E72" s="73" t="s">
        <v>409</v>
      </c>
      <c r="F72" s="360">
        <f>'数据-取费表'!B41</f>
        <v>5.6000000000000001E-2</v>
      </c>
      <c r="G72" s="361"/>
      <c r="H72" s="1298"/>
      <c r="I72" s="1292"/>
      <c r="J72" s="2037"/>
      <c r="K72" s="1978">
        <v>1</v>
      </c>
      <c r="L72" s="3340" t="s">
        <v>406</v>
      </c>
      <c r="M72" s="3340"/>
      <c r="N72" s="1296">
        <f ca="1">D66</f>
        <v>10819</v>
      </c>
      <c r="O72" s="1861" t="str">
        <f>E66</f>
        <v>销售额×税（费）率</v>
      </c>
      <c r="P72" s="1297">
        <f>F66</f>
        <v>5.6000000000000001E-2</v>
      </c>
      <c r="Q72" s="2030"/>
      <c r="R72" s="2030"/>
      <c r="S72" s="2030"/>
      <c r="T72" s="2030"/>
      <c r="U72" s="2030"/>
      <c r="V72" s="2030"/>
    </row>
    <row r="73" spans="1:22" ht="24" customHeight="1">
      <c r="A73" s="3366" t="s">
        <v>411</v>
      </c>
      <c r="B73" s="3367"/>
      <c r="C73" s="3367"/>
      <c r="D73" s="362">
        <f>IF(H73="个人住宅",0,ROUND(D63*I73,0))</f>
        <v>0</v>
      </c>
      <c r="E73" s="17" t="s">
        <v>412</v>
      </c>
      <c r="F73" s="360" t="str">
        <f>IF(H73="正常",I73,"免征")</f>
        <v>免征</v>
      </c>
      <c r="G73" s="361"/>
      <c r="H73" s="191" t="s">
        <v>2455</v>
      </c>
      <c r="I73" s="360">
        <f>'数据-取费表'!B49</f>
        <v>5.0000000000000001E-4</v>
      </c>
      <c r="J73" s="2037"/>
      <c r="K73" s="1978">
        <v>2</v>
      </c>
      <c r="L73" s="3340" t="s">
        <v>410</v>
      </c>
      <c r="M73" s="3340"/>
      <c r="N73" s="1296">
        <f t="shared" ref="N73:P74" si="1">D73</f>
        <v>0</v>
      </c>
      <c r="O73" s="1861" t="str">
        <f t="shared" si="1"/>
        <v>销售额×税（费）率</v>
      </c>
      <c r="P73" s="1297" t="str">
        <f t="shared" si="1"/>
        <v>免征</v>
      </c>
      <c r="Q73" s="2030"/>
      <c r="R73" s="2030"/>
      <c r="S73" s="2030"/>
      <c r="T73" s="2030"/>
      <c r="U73" s="2030"/>
      <c r="V73" s="2030"/>
    </row>
    <row r="74" spans="1:22" ht="24.75">
      <c r="A74" s="3366" t="s">
        <v>415</v>
      </c>
      <c r="B74" s="3367"/>
      <c r="C74" s="3367"/>
      <c r="D74" s="362">
        <f ca="1">IF(H74="个人住宅",D75,D76)</f>
        <v>114158</v>
      </c>
      <c r="E74" s="17" t="s">
        <v>416</v>
      </c>
      <c r="F74" s="360" t="str">
        <f>IF(H74="正常",F76,"免征")</f>
        <v>——</v>
      </c>
      <c r="G74" s="983" t="s">
        <v>417</v>
      </c>
      <c r="H74" s="363" t="s">
        <v>413</v>
      </c>
      <c r="I74" s="42"/>
      <c r="J74" s="2037"/>
      <c r="K74" s="1978">
        <v>3</v>
      </c>
      <c r="L74" s="3340" t="s">
        <v>414</v>
      </c>
      <c r="M74" s="3340"/>
      <c r="N74" s="1296">
        <f t="shared" ca="1" si="1"/>
        <v>114158</v>
      </c>
      <c r="O74" s="1861" t="str">
        <f t="shared" si="1"/>
        <v>增值额×税（费）率</v>
      </c>
      <c r="P74" s="1299" t="str">
        <f t="shared" si="1"/>
        <v>——</v>
      </c>
      <c r="Q74" s="2030"/>
      <c r="R74" s="2030"/>
      <c r="S74" s="2030"/>
      <c r="T74" s="2030"/>
      <c r="U74" s="2030"/>
      <c r="V74" s="2030"/>
    </row>
    <row r="75" spans="1:22" ht="24">
      <c r="A75" s="359" t="s">
        <v>418</v>
      </c>
      <c r="B75" s="3347" t="s">
        <v>419</v>
      </c>
      <c r="C75" s="3348"/>
      <c r="D75" s="364">
        <v>0</v>
      </c>
      <c r="E75" s="41" t="s">
        <v>420</v>
      </c>
      <c r="F75" s="365"/>
      <c r="G75" s="361"/>
      <c r="H75" s="42"/>
      <c r="I75" s="42"/>
      <c r="J75" s="2037"/>
      <c r="K75" s="3078">
        <f>IF(H77="非个人房产","",4)</f>
        <v>4</v>
      </c>
      <c r="L75" s="3340" t="str">
        <f>IF(H77="非个人房产","——","个人所得税")</f>
        <v>个人所得税</v>
      </c>
      <c r="M75" s="3340"/>
      <c r="N75" s="1300">
        <f ca="1">D77</f>
        <v>2029</v>
      </c>
      <c r="O75" s="1874" t="str">
        <f>E77</f>
        <v>销售额×税（费）率</v>
      </c>
      <c r="P75" s="1301">
        <f>F77</f>
        <v>0.01</v>
      </c>
      <c r="Q75" s="2030"/>
      <c r="R75" s="2030"/>
      <c r="S75" s="2030"/>
      <c r="T75" s="2030"/>
      <c r="U75" s="2030"/>
      <c r="V75" s="2030"/>
    </row>
    <row r="76" spans="1:22" ht="24.75">
      <c r="A76" s="359" t="s">
        <v>396</v>
      </c>
      <c r="B76" s="3347" t="s">
        <v>422</v>
      </c>
      <c r="C76" s="3389"/>
      <c r="D76" s="362">
        <f ca="1">IF(H76="转让取得",C99,C115)</f>
        <v>114158</v>
      </c>
      <c r="E76" s="17" t="s">
        <v>423</v>
      </c>
      <c r="F76" s="53" t="s">
        <v>21</v>
      </c>
      <c r="G76" s="361"/>
      <c r="H76" s="363" t="s">
        <v>424</v>
      </c>
      <c r="I76" s="42"/>
      <c r="J76" s="2037"/>
      <c r="K76" s="3078"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30"/>
      <c r="R76" s="2030"/>
      <c r="S76" s="2030"/>
      <c r="T76" s="2030"/>
      <c r="U76" s="2030"/>
      <c r="V76" s="2030"/>
    </row>
    <row r="77" spans="1:22" ht="26.25" thickBot="1">
      <c r="A77" s="3358" t="s">
        <v>426</v>
      </c>
      <c r="B77" s="3359"/>
      <c r="C77" s="3359"/>
      <c r="D77" s="366">
        <f ca="1">IF(H77="非个人房产","——",IF(H77="个人住宅",0,ROUND(D63*I77,0)))</f>
        <v>2029</v>
      </c>
      <c r="E77" s="367" t="str">
        <f>IF(H77="非个人房产","——","销售额×税（费）率")</f>
        <v>销售额×税（费）率</v>
      </c>
      <c r="F77" s="368">
        <f>IF(H77="非个人房产","——",IF(H77="个人住宅","免征",I77))</f>
        <v>0.01</v>
      </c>
      <c r="G77" s="984" t="s">
        <v>417</v>
      </c>
      <c r="H77" s="363" t="s">
        <v>2884</v>
      </c>
      <c r="I77" s="369">
        <v>0.01</v>
      </c>
      <c r="J77" s="2037"/>
      <c r="K77" s="3354">
        <f>IF(AND(K75="",K76=""),4,IF(项目基本情况!K6="上海银行",K76+1,K75+1))</f>
        <v>5</v>
      </c>
      <c r="L77" s="3340" t="s">
        <v>2885</v>
      </c>
      <c r="M77" s="3084" t="s">
        <v>421</v>
      </c>
      <c r="N77" s="1302"/>
      <c r="O77" s="1303">
        <f ca="1">SUMIF(N72:N76,"&lt;9e307")</f>
        <v>127006</v>
      </c>
      <c r="P77" s="1304"/>
      <c r="Q77" s="3082">
        <f ca="1">O77/N69</f>
        <v>0.37566292500406701</v>
      </c>
      <c r="R77" s="2030"/>
      <c r="S77" s="2030"/>
      <c r="T77" s="2030"/>
      <c r="U77" s="2030"/>
      <c r="V77" s="2030"/>
    </row>
    <row r="78" spans="1:22" ht="12" customHeight="1">
      <c r="A78" s="1305"/>
      <c r="B78" s="311"/>
      <c r="C78" s="311"/>
      <c r="D78" s="311"/>
      <c r="E78" s="42"/>
      <c r="F78" s="42"/>
      <c r="G78" s="42"/>
      <c r="H78" s="1003"/>
      <c r="I78" s="311"/>
      <c r="J78" s="2037"/>
      <c r="K78" s="3354"/>
      <c r="L78" s="3340"/>
      <c r="M78" s="3084" t="s">
        <v>425</v>
      </c>
      <c r="N78" s="1302"/>
      <c r="O78" s="1303" t="str">
        <f ca="1">NUMBERSTRING(INT(O77*10000),2)&amp;"元整"</f>
        <v>壹拾贰亿柒仟零陆万元整</v>
      </c>
      <c r="P78" s="1304"/>
      <c r="Q78" s="2030"/>
      <c r="R78" s="2030"/>
      <c r="S78" s="2030"/>
      <c r="T78" s="2030"/>
      <c r="U78" s="2030"/>
      <c r="V78" s="2030"/>
    </row>
    <row r="79" spans="1:22" ht="13.5" thickBot="1">
      <c r="A79" s="3344" t="s">
        <v>427</v>
      </c>
      <c r="B79" s="3344"/>
      <c r="C79" s="3344"/>
      <c r="D79" s="3344"/>
      <c r="E79" s="3344"/>
      <c r="F79" s="42"/>
      <c r="G79" s="42"/>
      <c r="H79" s="1003"/>
      <c r="I79" s="311"/>
      <c r="J79" s="2037"/>
      <c r="K79" s="3338">
        <f>K77+1</f>
        <v>6</v>
      </c>
      <c r="L79" s="3340" t="s">
        <v>2886</v>
      </c>
      <c r="M79" s="3084" t="s">
        <v>421</v>
      </c>
      <c r="N79" s="1302"/>
      <c r="O79" s="1303">
        <f ca="1">N69-O77</f>
        <v>211079</v>
      </c>
      <c r="P79" s="1304"/>
      <c r="Q79" s="2030"/>
      <c r="R79" s="2030"/>
      <c r="S79" s="2030"/>
      <c r="T79" s="2030"/>
      <c r="U79" s="2030"/>
      <c r="V79" s="2030"/>
    </row>
    <row r="80" spans="1:22" ht="25.5">
      <c r="A80" s="3345" t="s">
        <v>428</v>
      </c>
      <c r="B80" s="3346"/>
      <c r="C80" s="994"/>
      <c r="D80" s="994" t="s">
        <v>429</v>
      </c>
      <c r="E80" s="370" t="s">
        <v>430</v>
      </c>
      <c r="F80" s="42"/>
      <c r="G80" s="42"/>
      <c r="H80" s="1003"/>
      <c r="I80" s="311"/>
      <c r="J80" s="2030"/>
      <c r="K80" s="3339"/>
      <c r="L80" s="3340"/>
      <c r="M80" s="3084" t="s">
        <v>425</v>
      </c>
      <c r="N80" s="1302"/>
      <c r="O80" s="1303" t="str">
        <f ca="1">NUMBERSTRING(INT(O79*10000),2)&amp;"元整"</f>
        <v>贰拾壹亿壹仟零柒拾玖万元整</v>
      </c>
      <c r="P80" s="1304"/>
      <c r="Q80" s="2030"/>
      <c r="R80" s="2030"/>
      <c r="S80" s="2030"/>
      <c r="T80" s="2030"/>
      <c r="U80" s="2030"/>
      <c r="V80" s="2030"/>
    </row>
    <row r="81" spans="1:26" ht="13.5" thickBot="1">
      <c r="A81" s="381" t="s">
        <v>1821</v>
      </c>
      <c r="B81" s="371" t="s">
        <v>431</v>
      </c>
      <c r="C81" s="372">
        <f ca="1">ROUND((C82+C83)/(1+'数据-取费表'!C42),0)</f>
        <v>193191</v>
      </c>
      <c r="D81" s="373"/>
      <c r="E81" s="374"/>
      <c r="F81" s="42"/>
      <c r="G81" s="42"/>
      <c r="H81" s="1003"/>
      <c r="I81" s="311"/>
      <c r="J81" s="2030"/>
      <c r="K81" s="3078">
        <f>K79+1</f>
        <v>7</v>
      </c>
      <c r="L81" s="3352" t="s">
        <v>2887</v>
      </c>
      <c r="M81" s="3353"/>
      <c r="N81" s="1306"/>
      <c r="O81" s="1307">
        <f ca="1">ROUND(O79*10000/'数据-汇总表'!E3,0)</f>
        <v>37197</v>
      </c>
      <c r="P81" s="1308"/>
      <c r="Q81" s="2030"/>
      <c r="R81" s="2030"/>
      <c r="S81" s="2030"/>
      <c r="T81" s="2030"/>
      <c r="U81" s="2030"/>
      <c r="V81" s="2030"/>
    </row>
    <row r="82" spans="1:26" ht="13.5" thickTop="1">
      <c r="A82" s="375" t="s">
        <v>1822</v>
      </c>
      <c r="B82" s="376" t="s">
        <v>432</v>
      </c>
      <c r="C82" s="377">
        <f ca="1">D63</f>
        <v>202851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27" t="s">
        <v>2874</v>
      </c>
      <c r="L83" s="3090" t="s">
        <v>2875</v>
      </c>
      <c r="M83" s="3080">
        <f ca="1">IF(N69&gt;10000,N69*0.5%,IF(AND(N69&gt;1000,N69&lt;=10000),N69*1%,IF(AND(N69&gt;100,N69&lt;=1000),N69*3%,IF(AND(N69&gt;10,N69&lt;=100),N69*5%,N69*8%))))</f>
        <v>1690.425</v>
      </c>
      <c r="N83" s="53">
        <f ca="1">ROUND(M83,1)</f>
        <v>1690.4</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27"/>
      <c r="L84" s="3090" t="s">
        <v>2876</v>
      </c>
      <c r="M84" s="3080">
        <f ca="1">IF(N69&gt;2000,N69*0.5%,IF(AND(N69&gt;1000,N69&lt;=2000),N69*0.6%,IF(AND(N69&gt;500,N69&lt;=1000),N69*0.7%,IF(AND(N69&gt;200,N69&lt;=500),N69*0.8%,IF(AND(N69&gt;100,N69&lt;=200),N69*0.9%,IF(AND(N69&gt;50,N69&lt;=100),N69*1%,IF(AND(N69&gt;20,N69&lt;=50),N69*1.5%,IF(AND(N69&gt;10,N69&lt;=20),N69*2%,IF(AND(N69&gt;1,N69&lt;=10),N69*2.5%)))))))))</f>
        <v>1690.425</v>
      </c>
      <c r="N84" s="53">
        <f t="shared" ref="N84:N85" ca="1" si="2">ROUND(M84,1)</f>
        <v>1690.4</v>
      </c>
      <c r="O84" s="2030" t="s">
        <v>2877</v>
      </c>
      <c r="P84" s="2030"/>
      <c r="Q84" s="2030"/>
      <c r="R84" s="2030"/>
      <c r="S84" s="2030"/>
      <c r="T84" s="2030"/>
      <c r="U84" s="2030"/>
      <c r="V84" s="2030"/>
    </row>
    <row r="85" spans="1:26" ht="12.75">
      <c r="A85" s="381" t="s">
        <v>1825</v>
      </c>
      <c r="B85" s="382" t="s">
        <v>435</v>
      </c>
      <c r="C85" s="385">
        <f ca="1">C81-C84</f>
        <v>191191</v>
      </c>
      <c r="D85" s="378" t="s">
        <v>19</v>
      </c>
      <c r="E85" s="379"/>
      <c r="F85" s="42"/>
      <c r="G85" s="42"/>
      <c r="H85" s="1003"/>
      <c r="I85" s="311"/>
      <c r="J85" s="2030"/>
      <c r="K85" s="3327"/>
      <c r="L85" s="3090" t="s">
        <v>2878</v>
      </c>
      <c r="M85" s="3080">
        <f ca="1">IF(N69&gt;1000,N69*0.1%,IF(AND(N69&gt;500,N69&lt;=1000),N69*0.5%,IF(AND(N69&gt;50,N69&lt;=500),N69*1%,IF(AND(N69&gt;1,N69&lt;=50),N69*1.5%))))</f>
        <v>338.08499999999998</v>
      </c>
      <c r="N85" s="53">
        <f t="shared" ca="1" si="2"/>
        <v>338.1</v>
      </c>
      <c r="O85" s="2030" t="s">
        <v>2877</v>
      </c>
      <c r="P85" s="2030"/>
      <c r="Q85" s="2030"/>
      <c r="R85" s="2030"/>
      <c r="S85" s="2030"/>
      <c r="T85" s="2030"/>
      <c r="U85" s="2030"/>
      <c r="V85" s="2030"/>
    </row>
    <row r="86" spans="1:26" ht="13.5" thickBot="1">
      <c r="A86" s="386" t="s">
        <v>1826</v>
      </c>
      <c r="B86" s="387" t="s">
        <v>436</v>
      </c>
      <c r="C86" s="388">
        <f ca="1">IF(C85&lt;=0,0,ROUND(C85*D86,0))</f>
        <v>10707</v>
      </c>
      <c r="D86" s="389">
        <f>'数据-取费表'!B41</f>
        <v>5.6000000000000001E-2</v>
      </c>
      <c r="E86" s="390"/>
      <c r="F86" s="42"/>
      <c r="G86" s="42"/>
      <c r="H86" s="1003"/>
      <c r="I86" s="311"/>
      <c r="J86" s="2030"/>
      <c r="K86" s="3327"/>
      <c r="L86" s="3090" t="s">
        <v>2879</v>
      </c>
      <c r="M86" s="3080">
        <f ca="1">N69*0.5%</f>
        <v>1690.425</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27"/>
      <c r="L87" s="3090" t="s">
        <v>2881</v>
      </c>
      <c r="M87" s="3080">
        <f ca="1">IF(N69&gt;=10000,(8.25+(N69-10000)*0.01%),IF(AND(N69&gt;=8000,N69&lt;10000),(7.85+(N69-8000)*0.02%),IF(AND(N69&gt;=5000,N69&lt;8000),(6.65+(N69-5000)*0.04%),IF(AND(N69&gt;=2000,N69&lt;5000),(4.25+(PN69-2000)*0.08%),IF(AND(N69&gt;=1000,N69&lt;2000),(2.75+(N69-1000)*0.15%),IF(AND(N69&gt;=100,N69&lt;1000),(0.5+(N69-100)*0.25%),IF(AND(N69&gt;0,N69&lt;100),N69*0.5%)))))))</f>
        <v>41.058500000000002</v>
      </c>
      <c r="N87" s="53">
        <f ca="1">ROUND(M87*0.9,1)</f>
        <v>37</v>
      </c>
      <c r="O87" s="3083"/>
      <c r="P87" s="311"/>
      <c r="Q87" s="2030"/>
      <c r="R87" s="2030"/>
      <c r="S87" s="2030"/>
      <c r="T87" s="2030"/>
      <c r="U87" s="2030"/>
      <c r="V87" s="2030"/>
      <c r="W87" s="292"/>
      <c r="X87" s="292"/>
      <c r="Y87" s="292"/>
      <c r="Z87" s="292"/>
    </row>
    <row r="88" spans="1:26" s="1314" customFormat="1" ht="15" thickBot="1">
      <c r="A88" s="3381" t="s">
        <v>437</v>
      </c>
      <c r="B88" s="3382"/>
      <c r="C88" s="3382"/>
      <c r="D88" s="3382"/>
      <c r="E88" s="3382"/>
      <c r="F88" s="3382"/>
      <c r="G88" s="3382"/>
      <c r="H88" s="3382"/>
      <c r="I88" s="1315"/>
      <c r="J88" s="2038"/>
      <c r="K88" s="3327"/>
      <c r="L88" s="3090" t="s">
        <v>2882</v>
      </c>
      <c r="M88" s="3080">
        <f ca="1">IF(N69&gt;10000,N69*0.5%,IF(AND(N69&gt;5000,N69&lt;=10000),N69*1%,IF(AND(N69&gt;1000,N69&lt;=5000),N69*2%,IF(AND(N69&gt;200,N69&lt;=1000),N69*3%,N69*5%))))</f>
        <v>1690.425</v>
      </c>
      <c r="N88" s="53">
        <f ca="1">ROUND(M88,1)</f>
        <v>1690.4</v>
      </c>
      <c r="O88" s="3083"/>
      <c r="P88" s="11"/>
      <c r="Q88" s="2035"/>
      <c r="R88" s="2035"/>
      <c r="S88" s="2035"/>
      <c r="T88" s="2035"/>
      <c r="U88" s="2035"/>
      <c r="V88" s="2035"/>
      <c r="W88" s="2039"/>
      <c r="X88" s="2039"/>
      <c r="Y88" s="2039"/>
      <c r="Z88" s="2039"/>
    </row>
    <row r="89" spans="1:26" s="1314" customFormat="1" ht="14.25">
      <c r="A89" s="3345" t="s">
        <v>428</v>
      </c>
      <c r="B89" s="3346"/>
      <c r="C89" s="994"/>
      <c r="D89" s="994" t="s">
        <v>429</v>
      </c>
      <c r="E89" s="391" t="s">
        <v>438</v>
      </c>
      <c r="F89" s="392"/>
      <c r="G89" s="392"/>
      <c r="H89" s="393"/>
      <c r="I89" s="1316"/>
      <c r="J89" s="2040"/>
      <c r="K89" s="3327"/>
      <c r="L89" s="3090" t="s">
        <v>27</v>
      </c>
      <c r="M89" s="3081"/>
      <c r="N89" s="53">
        <f ca="1">ROUND(SUM(N83:N88),0)</f>
        <v>5447</v>
      </c>
      <c r="O89" s="3091">
        <f ca="1">N89/N69</f>
        <v>1.6111332948814647E-2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193191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3720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78" t="s">
        <v>447</v>
      </c>
      <c r="F94" s="3379"/>
      <c r="G94" s="3379"/>
      <c r="H94" s="338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1159</v>
      </c>
      <c r="D96" s="406">
        <f>'数据-取费表'!B43</f>
        <v>6.000000000000001E-3</v>
      </c>
      <c r="E96" s="3368" t="s">
        <v>2428</v>
      </c>
      <c r="F96" s="3369"/>
      <c r="G96" s="3369"/>
      <c r="H96" s="337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189471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50.933064516129029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112381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1" t="s">
        <v>454</v>
      </c>
      <c r="B101" s="3382"/>
      <c r="C101" s="3382"/>
      <c r="D101" s="3382"/>
      <c r="E101" s="3382"/>
      <c r="F101" s="3382"/>
      <c r="G101" s="3382"/>
      <c r="H101" s="338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5" t="s">
        <v>428</v>
      </c>
      <c r="B102" s="334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193191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1849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71" t="s">
        <v>462</v>
      </c>
      <c r="F109" s="3369"/>
      <c r="G109" s="3369"/>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71" t="s">
        <v>464</v>
      </c>
      <c r="F110" s="3369"/>
      <c r="G110" s="3369"/>
      <c r="H110" s="337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1159</v>
      </c>
      <c r="D111" s="406">
        <f>'数据-取费表'!B43</f>
        <v>6.000000000000001E-3</v>
      </c>
      <c r="E111" s="3368" t="s">
        <v>2428</v>
      </c>
      <c r="F111" s="3369"/>
      <c r="G111" s="3369"/>
      <c r="H111" s="337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71" t="s">
        <v>2453</v>
      </c>
      <c r="F112" s="3369"/>
      <c r="G112" s="3369"/>
      <c r="H112" s="337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191342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103.48404542996214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114158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fitToHeight="0"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80" zoomScaleNormal="95" zoomScaleSheetLayoutView="80" workbookViewId="0">
      <selection activeCell="D79" sqref="D7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338852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59714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297685</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19846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6" t="s">
        <v>522</v>
      </c>
      <c r="D6" s="3427"/>
      <c r="E6" s="3426" t="s">
        <v>523</v>
      </c>
      <c r="F6" s="3427"/>
      <c r="G6" s="3426" t="s">
        <v>524</v>
      </c>
      <c r="H6" s="3427"/>
      <c r="I6" s="3426" t="s">
        <v>525</v>
      </c>
      <c r="J6" s="3427"/>
      <c r="K6" s="514" t="s">
        <v>526</v>
      </c>
      <c r="L6" s="2135"/>
      <c r="M6" s="2134"/>
      <c r="N6" s="2134"/>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30" ht="30.75" customHeight="1">
      <c r="A7" s="515"/>
      <c r="B7" s="516"/>
      <c r="C7" s="3437" t="s">
        <v>2927</v>
      </c>
      <c r="D7" s="3438"/>
      <c r="E7" s="3437" t="str">
        <f>面积表!A3</f>
        <v>虹口区凉城新村街道073-06号地块</v>
      </c>
      <c r="F7" s="3438"/>
      <c r="G7" s="3437" t="str">
        <f>面积表!A5</f>
        <v>杨浦区新江湾城N091101单元A4-01(B3)地块</v>
      </c>
      <c r="H7" s="3438"/>
      <c r="I7" s="3437" t="str">
        <f>面积表!A6</f>
        <v>杨浦区新江湾城N091104单元C1-02(D7)地块</v>
      </c>
      <c r="J7" s="3438"/>
      <c r="K7" s="514"/>
      <c r="L7" s="2135"/>
      <c r="M7" s="2134"/>
      <c r="N7" s="2134"/>
      <c r="O7" s="2136"/>
      <c r="P7" s="3430"/>
      <c r="Q7" s="3431"/>
      <c r="R7" s="3416"/>
      <c r="S7" s="3417"/>
      <c r="T7" s="3416"/>
      <c r="U7" s="3417"/>
      <c r="V7" s="3434"/>
      <c r="W7" s="3434"/>
      <c r="X7" s="1568"/>
      <c r="Y7" s="3416"/>
      <c r="Z7" s="3417"/>
      <c r="AA7" s="3410"/>
      <c r="AB7" s="3410"/>
      <c r="AC7" s="3410"/>
    </row>
    <row r="8" spans="1:30" ht="21" thickBot="1">
      <c r="A8" s="515"/>
      <c r="B8" s="516"/>
      <c r="C8" s="3439" t="s">
        <v>2931</v>
      </c>
      <c r="D8" s="3440"/>
      <c r="E8" s="3439" t="s">
        <v>2931</v>
      </c>
      <c r="F8" s="3440"/>
      <c r="G8" s="3435" t="s">
        <v>2931</v>
      </c>
      <c r="H8" s="3436"/>
      <c r="I8" s="3435" t="s">
        <v>2931</v>
      </c>
      <c r="J8" s="3436"/>
      <c r="K8" s="514" t="s">
        <v>528</v>
      </c>
      <c r="L8" s="2135"/>
      <c r="M8" s="2134"/>
      <c r="N8" s="2134"/>
      <c r="O8" s="2136"/>
      <c r="P8" s="3432"/>
      <c r="Q8" s="3433"/>
      <c r="R8" s="3416"/>
      <c r="S8" s="3417"/>
      <c r="T8" s="3418"/>
      <c r="U8" s="3419"/>
      <c r="V8" s="3434"/>
      <c r="W8" s="3434"/>
      <c r="X8" s="1568"/>
      <c r="Y8" s="3418"/>
      <c r="Z8" s="3419"/>
      <c r="AA8" s="3411"/>
      <c r="AB8" s="3411"/>
      <c r="AC8" s="3411"/>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12" t="s">
        <v>530</v>
      </c>
      <c r="Q9" s="3421"/>
      <c r="R9" s="1569" t="s">
        <v>8</v>
      </c>
      <c r="S9" s="1570">
        <f t="shared" ref="S9:S17" si="0">F9</f>
        <v>86</v>
      </c>
      <c r="T9" s="1569" t="s">
        <v>8</v>
      </c>
      <c r="U9" s="1570">
        <f t="shared" ref="U9:U17" si="1">H9</f>
        <v>86</v>
      </c>
      <c r="V9" s="1569" t="s">
        <v>8</v>
      </c>
      <c r="W9" s="1570">
        <f t="shared" ref="W9:W17" si="2">J9</f>
        <v>80</v>
      </c>
      <c r="X9" s="1571"/>
      <c r="Y9" s="3412" t="s">
        <v>530</v>
      </c>
      <c r="Z9" s="3413"/>
      <c r="AA9" s="1572">
        <f>D9/F9</f>
        <v>1.1627906976744187</v>
      </c>
      <c r="AB9" s="1572">
        <f>D9/H9</f>
        <v>1.1627906976744187</v>
      </c>
      <c r="AC9" s="1572">
        <f>D9/J9</f>
        <v>1.25</v>
      </c>
    </row>
    <row r="10" spans="1:30" s="1220" customFormat="1" ht="21" thickBot="1">
      <c r="A10" s="2939"/>
      <c r="B10" s="2946" t="s">
        <v>531</v>
      </c>
      <c r="C10" s="856" t="s">
        <v>3175</v>
      </c>
      <c r="D10" s="520">
        <v>100</v>
      </c>
      <c r="E10" s="856" t="s">
        <v>3175</v>
      </c>
      <c r="F10" s="522">
        <f>SUMIF(75:75,E10,76:76)-SUMIF(75:75,C10,76:76)+100</f>
        <v>100</v>
      </c>
      <c r="G10" s="856" t="s">
        <v>3175</v>
      </c>
      <c r="H10" s="520">
        <f>SUMIF(75:75,G10,76:76)-SUMIF(75:75,C10,76:76)+100</f>
        <v>100</v>
      </c>
      <c r="I10" s="856" t="s">
        <v>3175</v>
      </c>
      <c r="J10" s="520">
        <f>SUMIF(75:75,I10,76:76)-SUMIF(75:75,C10,76:76)+100</f>
        <v>100</v>
      </c>
      <c r="K10" s="524"/>
      <c r="L10" s="2137"/>
      <c r="M10" s="2134"/>
      <c r="N10" s="2134"/>
      <c r="O10" s="2138"/>
      <c r="P10" s="3412" t="s">
        <v>533</v>
      </c>
      <c r="Q10" s="3413"/>
      <c r="R10" s="1569" t="s">
        <v>8</v>
      </c>
      <c r="S10" s="1570">
        <f t="shared" si="0"/>
        <v>100</v>
      </c>
      <c r="T10" s="1569" t="s">
        <v>8</v>
      </c>
      <c r="U10" s="1570">
        <f t="shared" si="1"/>
        <v>100</v>
      </c>
      <c r="V10" s="1569" t="s">
        <v>8</v>
      </c>
      <c r="W10" s="1570">
        <f t="shared" si="2"/>
        <v>100</v>
      </c>
      <c r="X10" s="1571"/>
      <c r="Y10" s="3412" t="s">
        <v>533</v>
      </c>
      <c r="Z10" s="3413"/>
      <c r="AA10" s="1572">
        <f t="shared" ref="AA10:AA47" si="3">D10/F10</f>
        <v>1</v>
      </c>
      <c r="AB10" s="1572">
        <f t="shared" ref="AB10:AB47" si="4">D10/H10</f>
        <v>1</v>
      </c>
      <c r="AC10" s="1572">
        <f t="shared" ref="AC10:AC47" si="5">D10/J10</f>
        <v>1</v>
      </c>
    </row>
    <row r="11" spans="1:30" s="1220" customFormat="1" ht="20.25">
      <c r="A11" s="2940"/>
      <c r="B11" s="2947" t="s">
        <v>2756</v>
      </c>
      <c r="C11" s="2934" t="s">
        <v>3176</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20" t="s">
        <v>535</v>
      </c>
      <c r="Q11" s="1151" t="str">
        <f t="shared" ref="Q11:Q17" si="6">B11</f>
        <v>用途</v>
      </c>
      <c r="R11" s="1569" t="s">
        <v>8</v>
      </c>
      <c r="S11" s="1570">
        <f t="shared" si="0"/>
        <v>98</v>
      </c>
      <c r="T11" s="1569" t="s">
        <v>8</v>
      </c>
      <c r="U11" s="1570">
        <f t="shared" si="1"/>
        <v>98</v>
      </c>
      <c r="V11" s="1569" t="s">
        <v>8</v>
      </c>
      <c r="W11" s="1570">
        <f t="shared" si="2"/>
        <v>98</v>
      </c>
      <c r="X11" s="1571"/>
      <c r="Y11" s="3377"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910"/>
      <c r="F12" s="255">
        <f>ROUND(100/'数据-取费表'!G16,0)</f>
        <v>101</v>
      </c>
      <c r="G12" s="910"/>
      <c r="H12" s="255">
        <f>ROUND(100/'数据-取费表'!G16,0)</f>
        <v>101</v>
      </c>
      <c r="I12" s="910"/>
      <c r="J12" s="255">
        <f>ROUND(100/'数据-取费表'!G16,0)</f>
        <v>101</v>
      </c>
      <c r="K12" s="531"/>
      <c r="L12" s="2140"/>
      <c r="M12" s="2134"/>
      <c r="N12" s="2134"/>
      <c r="O12" s="2141"/>
      <c r="P12" s="3420"/>
      <c r="Q12" s="1151" t="str">
        <f t="shared" si="6"/>
        <v>土地使用年限（年）</v>
      </c>
      <c r="R12" s="1569" t="s">
        <v>8</v>
      </c>
      <c r="S12" s="1570">
        <f t="shared" si="0"/>
        <v>101</v>
      </c>
      <c r="T12" s="1569" t="s">
        <v>8</v>
      </c>
      <c r="U12" s="1570">
        <f t="shared" si="1"/>
        <v>101</v>
      </c>
      <c r="V12" s="1569" t="s">
        <v>8</v>
      </c>
      <c r="W12" s="1570">
        <f t="shared" si="2"/>
        <v>101</v>
      </c>
      <c r="X12" s="1571"/>
      <c r="Y12" s="3377"/>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910">
        <f>'数据-汇总表'!I7</f>
        <v>3.84</v>
      </c>
      <c r="D13" s="255">
        <v>100</v>
      </c>
      <c r="E13" s="533">
        <f>面积表!H3</f>
        <v>2.75</v>
      </c>
      <c r="F13" s="255">
        <f>LOOKUP(E13,82:82,83:83)-LOOKUP(C13,82:82,83:83)+100</f>
        <v>101</v>
      </c>
      <c r="G13" s="534">
        <f>面积表!H5</f>
        <v>1.5</v>
      </c>
      <c r="H13" s="255">
        <f>LOOKUP(G13,82:82,83:83)-LOOKUP(C13,82:82,83:83)+100</f>
        <v>102</v>
      </c>
      <c r="I13" s="533">
        <f>面积表!H6</f>
        <v>1.125</v>
      </c>
      <c r="J13" s="255">
        <f>LOOKUP(I13,82:82,83:83)-LOOKUP(C13,82:82,83:83)+100</f>
        <v>102</v>
      </c>
      <c r="K13" s="535">
        <v>1</v>
      </c>
      <c r="L13" s="2142"/>
      <c r="M13" s="2134"/>
      <c r="N13" s="2134"/>
      <c r="O13" s="2143"/>
      <c r="P13" s="3420"/>
      <c r="Q13" s="1151" t="str">
        <f t="shared" si="6"/>
        <v>容积率</v>
      </c>
      <c r="R13" s="1569" t="s">
        <v>8</v>
      </c>
      <c r="S13" s="1570">
        <f t="shared" si="0"/>
        <v>101</v>
      </c>
      <c r="T13" s="1569" t="s">
        <v>8</v>
      </c>
      <c r="U13" s="1570">
        <f t="shared" si="1"/>
        <v>102</v>
      </c>
      <c r="V13" s="1569" t="s">
        <v>8</v>
      </c>
      <c r="W13" s="1570">
        <f t="shared" si="2"/>
        <v>102</v>
      </c>
      <c r="X13" s="1571"/>
      <c r="Y13" s="3377"/>
      <c r="Z13" s="1150" t="str">
        <f t="shared" si="7"/>
        <v>容积率</v>
      </c>
      <c r="AA13" s="1572">
        <f t="shared" si="3"/>
        <v>0.99009900990099009</v>
      </c>
      <c r="AB13" s="1572">
        <f t="shared" si="4"/>
        <v>0.98039215686274506</v>
      </c>
      <c r="AC13" s="1572">
        <f t="shared" si="5"/>
        <v>0.98039215686274506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20"/>
      <c r="Q14" s="1151" t="str">
        <f t="shared" si="6"/>
        <v>配建</v>
      </c>
      <c r="R14" s="1569" t="s">
        <v>8</v>
      </c>
      <c r="S14" s="1570">
        <f t="shared" si="0"/>
        <v>100</v>
      </c>
      <c r="T14" s="1569" t="s">
        <v>8</v>
      </c>
      <c r="U14" s="1570">
        <f t="shared" si="1"/>
        <v>100</v>
      </c>
      <c r="V14" s="1569" t="s">
        <v>8</v>
      </c>
      <c r="W14" s="1570">
        <f t="shared" si="2"/>
        <v>100</v>
      </c>
      <c r="X14" s="1571"/>
      <c r="Y14" s="3377"/>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3177</v>
      </c>
      <c r="F17" s="549">
        <f>SUMIF(90:90,E18,91:91)-SUMIF(90:90,C18,91:91)+100</f>
        <v>100</v>
      </c>
      <c r="G17" s="3210" t="s">
        <v>3183</v>
      </c>
      <c r="H17" s="549">
        <f>SUMIF(90:90,G18,91:91)-SUMIF(90:90,C18,91:91)+100</f>
        <v>100</v>
      </c>
      <c r="I17" s="3214" t="s">
        <v>3190</v>
      </c>
      <c r="J17" s="549">
        <f>SUMIF(90:90,I18,91:91)-SUMIF(90:90,C18,91:91)+100</f>
        <v>100</v>
      </c>
      <c r="K17" s="535">
        <v>3</v>
      </c>
      <c r="L17" s="2144"/>
      <c r="M17" s="2134"/>
      <c r="N17" s="2134"/>
      <c r="O17" s="2143"/>
      <c r="P17" s="3422" t="s">
        <v>540</v>
      </c>
      <c r="Q17" s="1573" t="str">
        <f t="shared" si="6"/>
        <v>居住社区成熟度</v>
      </c>
      <c r="R17" s="1574" t="s">
        <v>8</v>
      </c>
      <c r="S17" s="1575">
        <f t="shared" si="0"/>
        <v>100</v>
      </c>
      <c r="T17" s="1574" t="s">
        <v>8</v>
      </c>
      <c r="U17" s="1575">
        <f t="shared" si="1"/>
        <v>100</v>
      </c>
      <c r="V17" s="1574" t="s">
        <v>8</v>
      </c>
      <c r="W17" s="1575">
        <f t="shared" si="2"/>
        <v>100</v>
      </c>
      <c r="X17" s="1568"/>
      <c r="Y17" s="3422"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23"/>
      <c r="Q18" s="1573"/>
      <c r="R18" s="1574"/>
      <c r="S18" s="1575"/>
      <c r="T18" s="1574"/>
      <c r="U18" s="1575"/>
      <c r="V18" s="1574"/>
      <c r="W18" s="1575"/>
      <c r="X18" s="1568"/>
      <c r="Y18" s="3423"/>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3" t="s">
        <v>3178</v>
      </c>
      <c r="F19" s="559">
        <f>SUMIF(92:92,E20,93:93)-SUMIF(92:92,C20,93:93)+100</f>
        <v>96.5</v>
      </c>
      <c r="G19" s="3211" t="s">
        <v>3184</v>
      </c>
      <c r="H19" s="565">
        <f>SUMIF(92:92,G20,93:93)-SUMIF(92:92,C20,93:93)+100</f>
        <v>96.5</v>
      </c>
      <c r="I19" s="3223" t="s">
        <v>3191</v>
      </c>
      <c r="J19" s="565">
        <f>SUMIF(92:92,I20,93:93)-SUMIF(92:92,C20,93:93)+100</f>
        <v>100</v>
      </c>
      <c r="K19" s="535">
        <v>3.5</v>
      </c>
      <c r="L19" s="2144"/>
      <c r="M19" s="2134"/>
      <c r="N19" s="2134"/>
      <c r="O19" s="2143"/>
      <c r="P19" s="3423"/>
      <c r="Q19" s="1573" t="str">
        <f>B19</f>
        <v>商业繁华度</v>
      </c>
      <c r="R19" s="1574" t="s">
        <v>8</v>
      </c>
      <c r="S19" s="1575">
        <f>F19</f>
        <v>96.5</v>
      </c>
      <c r="T19" s="1574" t="s">
        <v>8</v>
      </c>
      <c r="U19" s="1575">
        <f>H19</f>
        <v>96.5</v>
      </c>
      <c r="V19" s="1574" t="s">
        <v>8</v>
      </c>
      <c r="W19" s="1575">
        <f>J19</f>
        <v>100</v>
      </c>
      <c r="X19" s="1568"/>
      <c r="Y19" s="3423"/>
      <c r="Z19" s="1576" t="str">
        <f>Q19</f>
        <v>商业繁华度</v>
      </c>
      <c r="AA19" s="1577">
        <f t="shared" si="3"/>
        <v>1.0362694300518134</v>
      </c>
      <c r="AB19" s="1577">
        <f t="shared" si="4"/>
        <v>1.0362694300518134</v>
      </c>
      <c r="AC19" s="1577">
        <f t="shared" si="5"/>
        <v>1</v>
      </c>
    </row>
    <row r="20" spans="1:29" ht="20.25">
      <c r="A20" s="532"/>
      <c r="B20" s="566"/>
      <c r="C20" s="567" t="s">
        <v>3062</v>
      </c>
      <c r="D20" s="563"/>
      <c r="E20" s="569" t="s">
        <v>3172</v>
      </c>
      <c r="F20" s="559"/>
      <c r="G20" s="568" t="s">
        <v>3172</v>
      </c>
      <c r="H20" s="555"/>
      <c r="I20" s="569" t="s">
        <v>3062</v>
      </c>
      <c r="J20" s="555"/>
      <c r="K20" s="531"/>
      <c r="L20" s="2144"/>
      <c r="M20" s="2134"/>
      <c r="N20" s="2134"/>
      <c r="O20" s="2143"/>
      <c r="P20" s="3423"/>
      <c r="Q20" s="1573"/>
      <c r="R20" s="1574"/>
      <c r="S20" s="1575"/>
      <c r="T20" s="1574"/>
      <c r="U20" s="1575"/>
      <c r="V20" s="1574"/>
      <c r="W20" s="1575"/>
      <c r="X20" s="1568"/>
      <c r="Y20" s="342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3"/>
      <c r="Q21" s="1573" t="str">
        <f>B21</f>
        <v>办公集聚程度</v>
      </c>
      <c r="R21" s="1574" t="s">
        <v>8</v>
      </c>
      <c r="S21" s="1575">
        <f>F21</f>
        <v>100</v>
      </c>
      <c r="T21" s="1574" t="s">
        <v>8</v>
      </c>
      <c r="U21" s="1575">
        <f>H21</f>
        <v>100</v>
      </c>
      <c r="V21" s="1574" t="s">
        <v>8</v>
      </c>
      <c r="W21" s="1575">
        <f>J21</f>
        <v>100</v>
      </c>
      <c r="X21" s="1568"/>
      <c r="Y21" s="342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23"/>
      <c r="Q22" s="1573"/>
      <c r="R22" s="1574"/>
      <c r="S22" s="1575"/>
      <c r="T22" s="1574"/>
      <c r="U22" s="1575"/>
      <c r="V22" s="1574"/>
      <c r="W22" s="1575"/>
      <c r="X22" s="1568"/>
      <c r="Y22" s="3423"/>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3179</v>
      </c>
      <c r="F23" s="565">
        <f>SUMIF(96:96,E24,97:97)-SUMIF(96:96,C24,97:97)+100</f>
        <v>98</v>
      </c>
      <c r="G23" s="562" t="s">
        <v>3185</v>
      </c>
      <c r="H23" s="559">
        <f>SUMIF(96:96,G24,97:97)-SUMIF(96:96,C24,97:97)+100</f>
        <v>96</v>
      </c>
      <c r="I23" s="562" t="s">
        <v>3192</v>
      </c>
      <c r="J23" s="559">
        <f>SUMIF(96:96,I24,97:97)-SUMIF(96:96,C24,97:97)+100</f>
        <v>96</v>
      </c>
      <c r="K23" s="535">
        <v>2</v>
      </c>
      <c r="L23" s="2144"/>
      <c r="M23" s="2134"/>
      <c r="N23" s="2134"/>
      <c r="O23" s="2143"/>
      <c r="P23" s="3423"/>
      <c r="Q23" s="1573" t="str">
        <f>B23</f>
        <v>交通便捷度</v>
      </c>
      <c r="R23" s="1574" t="s">
        <v>8</v>
      </c>
      <c r="S23" s="1575">
        <f>F23</f>
        <v>98</v>
      </c>
      <c r="T23" s="1574" t="s">
        <v>8</v>
      </c>
      <c r="U23" s="1575">
        <f>H23</f>
        <v>96</v>
      </c>
      <c r="V23" s="1574" t="s">
        <v>8</v>
      </c>
      <c r="W23" s="1575">
        <f>J23</f>
        <v>96</v>
      </c>
      <c r="X23" s="1568"/>
      <c r="Y23" s="3423"/>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3172</v>
      </c>
      <c r="H24" s="555"/>
      <c r="I24" s="558" t="s">
        <v>3172</v>
      </c>
      <c r="J24" s="555"/>
      <c r="K24" s="531"/>
      <c r="L24" s="2144"/>
      <c r="M24" s="2134"/>
      <c r="N24" s="2134"/>
      <c r="O24" s="2143"/>
      <c r="P24" s="3423"/>
      <c r="Q24" s="1573"/>
      <c r="R24" s="1574"/>
      <c r="S24" s="1575"/>
      <c r="T24" s="1574"/>
      <c r="U24" s="1575"/>
      <c r="V24" s="1574"/>
      <c r="W24" s="1575"/>
      <c r="X24" s="1568"/>
      <c r="Y24" s="342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23"/>
      <c r="Q25" s="1573" t="str">
        <f t="shared" ref="Q25:Q39" si="8">B25</f>
        <v>区域土地利用方向</v>
      </c>
      <c r="R25" s="1574" t="s">
        <v>8</v>
      </c>
      <c r="S25" s="1575">
        <f>F25</f>
        <v>100</v>
      </c>
      <c r="T25" s="1574" t="s">
        <v>8</v>
      </c>
      <c r="U25" s="1575">
        <f>H25</f>
        <v>100</v>
      </c>
      <c r="V25" s="1574" t="s">
        <v>8</v>
      </c>
      <c r="W25" s="1575">
        <f>J25</f>
        <v>100</v>
      </c>
      <c r="X25" s="1568"/>
      <c r="Y25" s="3423"/>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23"/>
      <c r="Q26" s="1573"/>
      <c r="R26" s="1574"/>
      <c r="S26" s="1575"/>
      <c r="T26" s="1574"/>
      <c r="U26" s="1575"/>
      <c r="V26" s="1574"/>
      <c r="W26" s="1575"/>
      <c r="X26" s="1568"/>
      <c r="Y26" s="3423"/>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3180</v>
      </c>
      <c r="F27" s="559">
        <f>SUMIF(100:100,E28,101:101)-SUMIF(100:100,C28,101:101)+100</f>
        <v>100</v>
      </c>
      <c r="G27" s="3211" t="s">
        <v>3186</v>
      </c>
      <c r="H27" s="559">
        <f>SUMIF(100:100,G28,101:101)-SUMIF(100:100,C28,101:101)+100</f>
        <v>100</v>
      </c>
      <c r="I27" s="3211" t="s">
        <v>3193</v>
      </c>
      <c r="J27" s="559">
        <f>SUMIF(100:100,I28,101:101)-SUMIF(100:100,C28,101:101)+100</f>
        <v>100</v>
      </c>
      <c r="K27" s="535">
        <v>2</v>
      </c>
      <c r="L27" s="2144"/>
      <c r="M27" s="2134"/>
      <c r="N27" s="2134"/>
      <c r="O27" s="2143"/>
      <c r="P27" s="3423"/>
      <c r="Q27" s="1573" t="str">
        <f t="shared" si="8"/>
        <v>自然及人文环境状况</v>
      </c>
      <c r="R27" s="1574" t="s">
        <v>8</v>
      </c>
      <c r="S27" s="1575">
        <f>F27</f>
        <v>100</v>
      </c>
      <c r="T27" s="1574" t="s">
        <v>8</v>
      </c>
      <c r="U27" s="1575">
        <f>H27</f>
        <v>100</v>
      </c>
      <c r="V27" s="1574" t="s">
        <v>8</v>
      </c>
      <c r="W27" s="1575">
        <f>J27</f>
        <v>100</v>
      </c>
      <c r="X27" s="1568"/>
      <c r="Y27" s="3423"/>
      <c r="Z27" s="1576" t="str">
        <f>Q27</f>
        <v>自然及人文环境状况</v>
      </c>
      <c r="AA27" s="1577">
        <f t="shared" si="3"/>
        <v>1</v>
      </c>
      <c r="AB27" s="1577">
        <f t="shared" si="4"/>
        <v>1</v>
      </c>
      <c r="AC27" s="1577">
        <f t="shared" si="5"/>
        <v>1</v>
      </c>
    </row>
    <row r="28" spans="1:29" ht="20.25">
      <c r="A28" s="515"/>
      <c r="B28" s="566"/>
      <c r="C28" s="554" t="s">
        <v>3062</v>
      </c>
      <c r="D28" s="557"/>
      <c r="E28" s="576" t="s">
        <v>3062</v>
      </c>
      <c r="F28" s="555"/>
      <c r="G28" s="554" t="s">
        <v>3062</v>
      </c>
      <c r="H28" s="555"/>
      <c r="I28" s="576" t="s">
        <v>3062</v>
      </c>
      <c r="J28" s="555"/>
      <c r="K28" s="531"/>
      <c r="L28" s="2144"/>
      <c r="M28" s="2134"/>
      <c r="N28" s="2134"/>
      <c r="O28" s="2143"/>
      <c r="P28" s="3423"/>
      <c r="Q28" s="1573"/>
      <c r="R28" s="1574"/>
      <c r="S28" s="1575"/>
      <c r="T28" s="1574"/>
      <c r="U28" s="1575"/>
      <c r="V28" s="1574"/>
      <c r="W28" s="1575"/>
      <c r="X28" s="1568"/>
      <c r="Y28" s="3423"/>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3187</v>
      </c>
      <c r="H29" s="559">
        <f>SUMIF(102:102,G30,103:103)-SUMIF(102:102,C30,103:103)+100</f>
        <v>96</v>
      </c>
      <c r="I29" s="3211" t="s">
        <v>3187</v>
      </c>
      <c r="J29" s="559">
        <f>SUMIF(102:102,I30,103:103)-SUMIF(102:102,C30,103:103)+100</f>
        <v>96</v>
      </c>
      <c r="K29" s="535">
        <v>2</v>
      </c>
      <c r="L29" s="2137"/>
      <c r="M29" s="2134"/>
      <c r="N29" s="2134"/>
      <c r="O29" s="2139"/>
      <c r="P29" s="3423"/>
      <c r="Q29" s="1151" t="str">
        <f t="shared" si="8"/>
        <v>公共配套设施</v>
      </c>
      <c r="R29" s="1569" t="s">
        <v>8</v>
      </c>
      <c r="S29" s="1570">
        <f>F29</f>
        <v>98</v>
      </c>
      <c r="T29" s="1569" t="s">
        <v>8</v>
      </c>
      <c r="U29" s="1570">
        <f>H29</f>
        <v>96</v>
      </c>
      <c r="V29" s="1569" t="s">
        <v>8</v>
      </c>
      <c r="W29" s="1570">
        <f>J29</f>
        <v>96</v>
      </c>
      <c r="X29" s="1571"/>
      <c r="Y29" s="3423"/>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3172</v>
      </c>
      <c r="H30" s="555"/>
      <c r="I30" s="576" t="s">
        <v>3172</v>
      </c>
      <c r="J30" s="555"/>
      <c r="K30" s="531"/>
      <c r="L30" s="2137"/>
      <c r="M30" s="2134"/>
      <c r="N30" s="2134"/>
      <c r="O30" s="2139"/>
      <c r="P30" s="3423"/>
      <c r="Q30" s="1151"/>
      <c r="R30" s="1569"/>
      <c r="S30" s="1570"/>
      <c r="T30" s="1569"/>
      <c r="U30" s="1570"/>
      <c r="V30" s="1569"/>
      <c r="W30" s="1570"/>
      <c r="X30" s="1571"/>
      <c r="Y30" s="3423"/>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23"/>
      <c r="Q31" s="2604" t="str">
        <f t="shared" ref="Q31" si="9">B31</f>
        <v>基础设施水平</v>
      </c>
      <c r="R31" s="1569" t="s">
        <v>8</v>
      </c>
      <c r="S31" s="1570">
        <f>F31</f>
        <v>100</v>
      </c>
      <c r="T31" s="1569" t="s">
        <v>8</v>
      </c>
      <c r="U31" s="1570">
        <f>H31</f>
        <v>100</v>
      </c>
      <c r="V31" s="1569" t="s">
        <v>8</v>
      </c>
      <c r="W31" s="1570">
        <f>J31</f>
        <v>100</v>
      </c>
      <c r="X31" s="1571"/>
      <c r="Y31" s="3423"/>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23"/>
      <c r="Q32" s="2604"/>
      <c r="R32" s="1569"/>
      <c r="S32" s="1570"/>
      <c r="T32" s="1569"/>
      <c r="U32" s="1570"/>
      <c r="V32" s="1569"/>
      <c r="W32" s="1570"/>
      <c r="X32" s="1571"/>
      <c r="Y32" s="3423"/>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3"/>
      <c r="Z33" s="1576" t="str">
        <f t="shared" ref="Z33:Z47" si="13">Q33</f>
        <v>临街状况</v>
      </c>
      <c r="AA33" s="1577">
        <f t="shared" si="3"/>
        <v>1</v>
      </c>
      <c r="AB33" s="1577">
        <f t="shared" si="4"/>
        <v>1</v>
      </c>
      <c r="AC33" s="1577">
        <f t="shared" si="5"/>
        <v>1</v>
      </c>
    </row>
    <row r="34" spans="1:29" ht="27">
      <c r="A34" s="532"/>
      <c r="B34" s="578" t="s">
        <v>548</v>
      </c>
      <c r="C34" s="562"/>
      <c r="D34" s="563">
        <v>100</v>
      </c>
      <c r="E34" s="3223" t="s">
        <v>3181</v>
      </c>
      <c r="F34" s="559">
        <f>SUMIF(108:108,E35,109:109)-SUMIF(108:108,C35,109:109)+100</f>
        <v>99</v>
      </c>
      <c r="G34" s="3211" t="s">
        <v>3188</v>
      </c>
      <c r="H34" s="559">
        <f>SUMIF(108:108,G35,109:109)-SUMIF(108:108,C35,109:109)+100</f>
        <v>100</v>
      </c>
      <c r="I34" s="3223" t="s">
        <v>3194</v>
      </c>
      <c r="J34" s="559">
        <f>SUMIF(108:108,I35,109:109)-SUMIF(108:108,C35,109:109)+100</f>
        <v>98</v>
      </c>
      <c r="K34" s="535">
        <v>1</v>
      </c>
      <c r="L34" s="2144"/>
      <c r="M34" s="2134"/>
      <c r="N34" s="2134"/>
      <c r="O34" s="2143"/>
      <c r="P34" s="3423"/>
      <c r="Q34" s="1573" t="str">
        <f t="shared" si="8"/>
        <v>毗邻道路的类型与等级</v>
      </c>
      <c r="R34" s="1574" t="s">
        <v>8</v>
      </c>
      <c r="S34" s="1575">
        <f t="shared" si="10"/>
        <v>99</v>
      </c>
      <c r="T34" s="1574" t="s">
        <v>8</v>
      </c>
      <c r="U34" s="1575">
        <f t="shared" si="11"/>
        <v>100</v>
      </c>
      <c r="V34" s="1574" t="s">
        <v>8</v>
      </c>
      <c r="W34" s="1575">
        <f t="shared" si="12"/>
        <v>98</v>
      </c>
      <c r="X34" s="1568"/>
      <c r="Y34" s="3423"/>
      <c r="Z34" s="1576" t="str">
        <f t="shared" si="13"/>
        <v>毗邻道路的类型与等级</v>
      </c>
      <c r="AA34" s="1577">
        <f t="shared" si="3"/>
        <v>1.0101010101010102</v>
      </c>
      <c r="AB34" s="1577">
        <f t="shared" si="4"/>
        <v>1</v>
      </c>
      <c r="AC34" s="1577">
        <f t="shared" si="5"/>
        <v>1.0204081632653061</v>
      </c>
    </row>
    <row r="35" spans="1:29" ht="20.25">
      <c r="A35" s="532"/>
      <c r="B35" s="566"/>
      <c r="C35" s="554" t="s">
        <v>3189</v>
      </c>
      <c r="D35" s="557"/>
      <c r="E35" s="576" t="s">
        <v>3182</v>
      </c>
      <c r="F35" s="555"/>
      <c r="G35" s="554" t="s">
        <v>3189</v>
      </c>
      <c r="H35" s="555"/>
      <c r="I35" s="576" t="s">
        <v>3195</v>
      </c>
      <c r="J35" s="555"/>
      <c r="K35" s="581"/>
      <c r="L35" s="2144"/>
      <c r="M35" s="2134"/>
      <c r="N35" s="2134"/>
      <c r="O35" s="2143"/>
      <c r="P35" s="3423"/>
      <c r="Q35" s="1573"/>
      <c r="R35" s="1574"/>
      <c r="S35" s="1575"/>
      <c r="T35" s="1574"/>
      <c r="U35" s="1575"/>
      <c r="V35" s="1574"/>
      <c r="W35" s="1575"/>
      <c r="X35" s="1568"/>
      <c r="Y35" s="342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3"/>
      <c r="Q36" s="1573" t="str">
        <f t="shared" si="8"/>
        <v>土地级别</v>
      </c>
      <c r="R36" s="1574" t="s">
        <v>8</v>
      </c>
      <c r="S36" s="1575">
        <f t="shared" si="10"/>
        <v>100</v>
      </c>
      <c r="T36" s="1574" t="s">
        <v>8</v>
      </c>
      <c r="U36" s="1575">
        <f t="shared" si="11"/>
        <v>100</v>
      </c>
      <c r="V36" s="1574" t="s">
        <v>8</v>
      </c>
      <c r="W36" s="1575">
        <f t="shared" si="12"/>
        <v>100</v>
      </c>
      <c r="X36" s="1568"/>
      <c r="Y36" s="342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3"/>
      <c r="Q37" s="1573">
        <f t="shared" si="8"/>
        <v>111</v>
      </c>
      <c r="R37" s="1574" t="s">
        <v>8</v>
      </c>
      <c r="S37" s="1575">
        <f t="shared" si="10"/>
        <v>100</v>
      </c>
      <c r="T37" s="1574" t="s">
        <v>8</v>
      </c>
      <c r="U37" s="1575">
        <f t="shared" si="11"/>
        <v>100</v>
      </c>
      <c r="V37" s="1574" t="s">
        <v>8</v>
      </c>
      <c r="W37" s="1575">
        <f t="shared" si="12"/>
        <v>100</v>
      </c>
      <c r="X37" s="1568"/>
      <c r="Y37" s="342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4" t="s">
        <v>550</v>
      </c>
      <c r="Q38" s="1573">
        <f t="shared" si="8"/>
        <v>111</v>
      </c>
      <c r="R38" s="1574" t="s">
        <v>8</v>
      </c>
      <c r="S38" s="1575">
        <f t="shared" si="10"/>
        <v>100</v>
      </c>
      <c r="T38" s="1574" t="s">
        <v>8</v>
      </c>
      <c r="U38" s="1575">
        <f t="shared" si="11"/>
        <v>100</v>
      </c>
      <c r="V38" s="1574" t="s">
        <v>8</v>
      </c>
      <c r="W38" s="1575">
        <f t="shared" si="12"/>
        <v>100</v>
      </c>
      <c r="X38" s="1568"/>
      <c r="Y38" s="342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5"/>
      <c r="Q39" s="1573">
        <f t="shared" si="8"/>
        <v>111</v>
      </c>
      <c r="R39" s="1578" t="s">
        <v>8</v>
      </c>
      <c r="S39" s="1579">
        <f t="shared" si="10"/>
        <v>100</v>
      </c>
      <c r="T39" s="1578" t="s">
        <v>8</v>
      </c>
      <c r="U39" s="1579">
        <f t="shared" si="11"/>
        <v>100</v>
      </c>
      <c r="V39" s="1578" t="s">
        <v>8</v>
      </c>
      <c r="W39" s="1579">
        <f t="shared" si="12"/>
        <v>100</v>
      </c>
      <c r="X39" s="1580"/>
      <c r="Y39" s="3425"/>
      <c r="Z39" s="1581">
        <f t="shared" si="13"/>
        <v>111</v>
      </c>
      <c r="AA39" s="1577">
        <f t="shared" si="3"/>
        <v>1</v>
      </c>
      <c r="AB39" s="1577">
        <f t="shared" si="4"/>
        <v>1</v>
      </c>
      <c r="AC39" s="1577">
        <f t="shared" si="5"/>
        <v>1</v>
      </c>
    </row>
    <row r="40" spans="1:29" ht="20.25">
      <c r="A40" s="2933" t="s">
        <v>2755</v>
      </c>
      <c r="B40" s="595" t="s">
        <v>552</v>
      </c>
      <c r="C40" s="596">
        <f>'数据-汇总表'!D3</f>
        <v>11382.9</v>
      </c>
      <c r="D40" s="597">
        <v>100</v>
      </c>
      <c r="E40" s="596">
        <f>面积表!F3</f>
        <v>19959.5</v>
      </c>
      <c r="F40" s="597">
        <f>LOOKUP(E40,119:119,120:120)-LOOKUP(C40,119:119,120:120)+100</f>
        <v>100</v>
      </c>
      <c r="G40" s="596">
        <f>[1]面积表!F5</f>
        <v>39805.800000000003</v>
      </c>
      <c r="H40" s="597">
        <f>LOOKUP(G40,119:119,120:120)-LOOKUP(C40,119:119,120:120)+100</f>
        <v>100</v>
      </c>
      <c r="I40" s="598">
        <f>[1]面积表!F6</f>
        <v>131998.1</v>
      </c>
      <c r="J40" s="597">
        <f>LOOKUP(I40,119:119,120:120)-LOOKUP(C40,119:119,120:120)+100</f>
        <v>106</v>
      </c>
      <c r="K40" s="581"/>
      <c r="L40" s="2144"/>
      <c r="M40" s="2134"/>
      <c r="N40" s="2134"/>
      <c r="O40" s="2143"/>
      <c r="P40" s="3425"/>
      <c r="Q40" s="1573" t="str">
        <f>B40</f>
        <v>宗地面积</v>
      </c>
      <c r="R40" s="1574" t="s">
        <v>8</v>
      </c>
      <c r="S40" s="1575">
        <f t="shared" si="10"/>
        <v>100</v>
      </c>
      <c r="T40" s="1574" t="s">
        <v>8</v>
      </c>
      <c r="U40" s="1575">
        <f t="shared" si="11"/>
        <v>100</v>
      </c>
      <c r="V40" s="1574" t="s">
        <v>8</v>
      </c>
      <c r="W40" s="1575">
        <f t="shared" si="12"/>
        <v>106</v>
      </c>
      <c r="X40" s="1568"/>
      <c r="Y40" s="3425"/>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25"/>
      <c r="Q41" s="1573" t="str">
        <f t="shared" ref="Q41:Q47" si="14">B41</f>
        <v>宗地形状</v>
      </c>
      <c r="R41" s="1574" t="s">
        <v>8</v>
      </c>
      <c r="S41" s="1575">
        <f t="shared" si="10"/>
        <v>100</v>
      </c>
      <c r="T41" s="1574" t="s">
        <v>8</v>
      </c>
      <c r="U41" s="1575">
        <f t="shared" si="11"/>
        <v>100</v>
      </c>
      <c r="V41" s="1574" t="s">
        <v>8</v>
      </c>
      <c r="W41" s="1575">
        <f t="shared" si="12"/>
        <v>100</v>
      </c>
      <c r="X41" s="1568"/>
      <c r="Y41" s="342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25"/>
      <c r="Q42" s="1573" t="str">
        <f t="shared" si="14"/>
        <v>临街宽度及深度</v>
      </c>
      <c r="R42" s="1574" t="s">
        <v>8</v>
      </c>
      <c r="S42" s="1575">
        <f t="shared" si="10"/>
        <v>100</v>
      </c>
      <c r="T42" s="1574" t="s">
        <v>8</v>
      </c>
      <c r="U42" s="1575">
        <f t="shared" si="11"/>
        <v>100</v>
      </c>
      <c r="V42" s="1574" t="s">
        <v>8</v>
      </c>
      <c r="W42" s="1575">
        <f t="shared" si="12"/>
        <v>100</v>
      </c>
      <c r="X42" s="1568"/>
      <c r="Y42" s="3425"/>
      <c r="Z42" s="1576" t="str">
        <f t="shared" si="13"/>
        <v>临街宽度及深度</v>
      </c>
      <c r="AA42" s="1577">
        <f t="shared" si="3"/>
        <v>1</v>
      </c>
      <c r="AB42" s="1577">
        <f t="shared" si="4"/>
        <v>1</v>
      </c>
      <c r="AC42" s="1577">
        <f t="shared" si="5"/>
        <v>1</v>
      </c>
    </row>
    <row r="43" spans="1:29" s="1220" customFormat="1" ht="20.25">
      <c r="A43" s="600"/>
      <c r="B43" s="1897" t="s">
        <v>2424</v>
      </c>
      <c r="C43" s="601" t="s">
        <v>3171</v>
      </c>
      <c r="D43" s="255">
        <v>100</v>
      </c>
      <c r="E43" s="601" t="s">
        <v>3171</v>
      </c>
      <c r="F43" s="540">
        <f>SUMIF(125:125,E43,126:126)-SUMIF(125:125,C43,126:126)+100</f>
        <v>100</v>
      </c>
      <c r="G43" s="601" t="s">
        <v>3171</v>
      </c>
      <c r="H43" s="540">
        <f>SUMIF(125:125,G43,126:126)-SUMIF(125:125,C43,126:126)+100</f>
        <v>100</v>
      </c>
      <c r="I43" s="601" t="s">
        <v>3171</v>
      </c>
      <c r="J43" s="540">
        <f>SUMIF(125:125,I43,126:126)-SUMIF(125:125,C43,126:126)+100</f>
        <v>100</v>
      </c>
      <c r="K43" s="584">
        <v>1</v>
      </c>
      <c r="L43" s="2137"/>
      <c r="M43" s="2134"/>
      <c r="N43" s="2134"/>
      <c r="O43" s="2139"/>
      <c r="P43" s="3425"/>
      <c r="Q43" s="1573" t="str">
        <f t="shared" si="14"/>
        <v>宗地开发程度</v>
      </c>
      <c r="R43" s="1569" t="s">
        <v>8</v>
      </c>
      <c r="S43" s="1570">
        <f t="shared" si="10"/>
        <v>100</v>
      </c>
      <c r="T43" s="1569" t="s">
        <v>8</v>
      </c>
      <c r="U43" s="1570">
        <f t="shared" si="11"/>
        <v>100</v>
      </c>
      <c r="V43" s="1569" t="s">
        <v>8</v>
      </c>
      <c r="W43" s="1570">
        <f t="shared" si="12"/>
        <v>100</v>
      </c>
      <c r="X43" s="1571"/>
      <c r="Y43" s="3425"/>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v>1</v>
      </c>
      <c r="L44" s="2144"/>
      <c r="M44" s="2134"/>
      <c r="N44" s="2134"/>
      <c r="O44" s="2143"/>
      <c r="P44" s="3425" t="s">
        <v>550</v>
      </c>
      <c r="Q44" s="1573" t="str">
        <f t="shared" si="14"/>
        <v>工程地质条件</v>
      </c>
      <c r="R44" s="1574" t="s">
        <v>8</v>
      </c>
      <c r="S44" s="1575">
        <f t="shared" si="10"/>
        <v>100</v>
      </c>
      <c r="T44" s="1574" t="s">
        <v>8</v>
      </c>
      <c r="U44" s="1575">
        <f t="shared" si="11"/>
        <v>100</v>
      </c>
      <c r="V44" s="1574" t="s">
        <v>8</v>
      </c>
      <c r="W44" s="1575">
        <f t="shared" si="12"/>
        <v>100</v>
      </c>
      <c r="X44" s="1568"/>
      <c r="Y44" s="342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5"/>
      <c r="Q45" s="1573">
        <f t="shared" si="14"/>
        <v>111</v>
      </c>
      <c r="R45" s="1574" t="s">
        <v>8</v>
      </c>
      <c r="S45" s="1575">
        <f t="shared" si="10"/>
        <v>100</v>
      </c>
      <c r="T45" s="1574" t="s">
        <v>8</v>
      </c>
      <c r="U45" s="1575">
        <f t="shared" si="11"/>
        <v>100</v>
      </c>
      <c r="V45" s="1574" t="s">
        <v>8</v>
      </c>
      <c r="W45" s="1575">
        <f t="shared" si="12"/>
        <v>100</v>
      </c>
      <c r="X45" s="1568"/>
      <c r="Y45" s="342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5"/>
      <c r="Q46" s="1573">
        <f t="shared" si="14"/>
        <v>111</v>
      </c>
      <c r="R46" s="1574" t="s">
        <v>8</v>
      </c>
      <c r="S46" s="1575">
        <f t="shared" si="10"/>
        <v>100</v>
      </c>
      <c r="T46" s="1574" t="s">
        <v>8</v>
      </c>
      <c r="U46" s="1575">
        <f t="shared" si="11"/>
        <v>100</v>
      </c>
      <c r="V46" s="1574" t="s">
        <v>8</v>
      </c>
      <c r="W46" s="1575">
        <f t="shared" si="12"/>
        <v>100</v>
      </c>
      <c r="X46" s="1568"/>
      <c r="Y46" s="342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5"/>
      <c r="Q47" s="1573">
        <f t="shared" si="14"/>
        <v>111</v>
      </c>
      <c r="R47" s="1578" t="s">
        <v>8</v>
      </c>
      <c r="S47" s="1579">
        <f t="shared" si="10"/>
        <v>100</v>
      </c>
      <c r="T47" s="1578" t="s">
        <v>8</v>
      </c>
      <c r="U47" s="1579">
        <f t="shared" si="11"/>
        <v>100</v>
      </c>
      <c r="V47" s="1578" t="s">
        <v>8</v>
      </c>
      <c r="W47" s="1579">
        <f t="shared" si="12"/>
        <v>100</v>
      </c>
      <c r="X47" s="1580"/>
      <c r="Y47" s="3425"/>
      <c r="Z47" s="1581">
        <f t="shared" si="13"/>
        <v>111</v>
      </c>
      <c r="AA47" s="1577">
        <f t="shared" si="3"/>
        <v>1</v>
      </c>
      <c r="AB47" s="1577">
        <f t="shared" si="4"/>
        <v>1</v>
      </c>
      <c r="AC47" s="1577">
        <f t="shared" si="5"/>
        <v>1</v>
      </c>
    </row>
    <row r="48" spans="1:29" ht="20.25">
      <c r="A48" s="607" t="s">
        <v>556</v>
      </c>
      <c r="B48" s="608" t="s">
        <v>3198</v>
      </c>
      <c r="C48" s="609" t="s">
        <v>1</v>
      </c>
      <c r="D48" s="610"/>
      <c r="E48" s="611">
        <f>面积表!R3</f>
        <v>70957</v>
      </c>
      <c r="F48" s="612"/>
      <c r="G48" s="613">
        <f>面积表!R5</f>
        <v>70453</v>
      </c>
      <c r="H48" s="614"/>
      <c r="I48" s="611">
        <f>面积表!R6</f>
        <v>61440</v>
      </c>
      <c r="J48" s="614"/>
      <c r="K48" s="1340"/>
      <c r="L48" s="2146"/>
      <c r="M48" s="2134"/>
      <c r="N48" s="2134"/>
      <c r="O48" s="2147"/>
      <c r="P48" s="3420" t="str">
        <f>A48</f>
        <v>成交单价</v>
      </c>
      <c r="Q48" s="3420"/>
      <c r="R48" s="3434">
        <f>E48</f>
        <v>70957</v>
      </c>
      <c r="S48" s="3434"/>
      <c r="T48" s="3434">
        <f>G48</f>
        <v>70453</v>
      </c>
      <c r="U48" s="3434"/>
      <c r="V48" s="3434">
        <f>I48</f>
        <v>61440</v>
      </c>
      <c r="W48" s="3434"/>
      <c r="X48" s="1560"/>
      <c r="Y48" s="1582"/>
      <c r="Z48" s="1560"/>
      <c r="AA48" s="1560"/>
      <c r="AB48" s="1560"/>
      <c r="AC48" s="1560"/>
    </row>
    <row r="49" spans="1:29" ht="21" thickBot="1">
      <c r="A49" s="615" t="s">
        <v>2693</v>
      </c>
      <c r="B49" s="616"/>
      <c r="C49" s="617">
        <f>R50</f>
        <v>88369</v>
      </c>
      <c r="D49" s="618"/>
      <c r="E49" s="617">
        <f>R49</f>
        <v>89953</v>
      </c>
      <c r="F49" s="619"/>
      <c r="G49" s="620">
        <f>T49</f>
        <v>91240</v>
      </c>
      <c r="H49" s="618"/>
      <c r="I49" s="617">
        <f>V49</f>
        <v>79458</v>
      </c>
      <c r="J49" s="618"/>
      <c r="K49" s="1341"/>
      <c r="L49" s="2146"/>
      <c r="M49" s="2134"/>
      <c r="N49" s="2134"/>
      <c r="O49" s="2147"/>
      <c r="P49" s="3420" t="str">
        <f>A49</f>
        <v>比较价格（元/平方米）</v>
      </c>
      <c r="Q49" s="3420"/>
      <c r="R49" s="3444">
        <f>ROUND(PRODUCT(R48,AA9:AA47),0)</f>
        <v>89953</v>
      </c>
      <c r="S49" s="3444"/>
      <c r="T49" s="3444">
        <f>ROUND(PRODUCT(T48,AB9:AB47),0)</f>
        <v>91240</v>
      </c>
      <c r="U49" s="3444"/>
      <c r="V49" s="3444">
        <f>ROUND(PRODUCT(V48,AC9:AC47),0)</f>
        <v>79458</v>
      </c>
      <c r="W49" s="3444"/>
      <c r="X49" s="1560"/>
      <c r="Y49" s="1560"/>
      <c r="Z49" s="1560"/>
      <c r="AA49" s="1560"/>
      <c r="AB49" s="1560"/>
      <c r="AC49" s="1560"/>
    </row>
    <row r="50" spans="1:29" ht="21" thickBot="1">
      <c r="A50" s="621" t="s">
        <v>2933</v>
      </c>
      <c r="B50" s="622"/>
      <c r="C50" s="623">
        <f>R50</f>
        <v>88369</v>
      </c>
      <c r="D50" s="623"/>
      <c r="E50" s="623"/>
      <c r="F50" s="623"/>
      <c r="G50" s="623"/>
      <c r="H50" s="623"/>
      <c r="I50" s="623"/>
      <c r="J50" s="623"/>
      <c r="K50" s="1342"/>
      <c r="L50" s="2146"/>
      <c r="M50" s="2134"/>
      <c r="N50" s="2134"/>
      <c r="O50" s="2147"/>
      <c r="P50" s="3441" t="str">
        <f>A50</f>
        <v>估价对象XX用房的比较价格（楼面单价，元/平方米）</v>
      </c>
      <c r="Q50" s="3442"/>
      <c r="R50" s="3443">
        <f>ROUND(R49*S52+T49*U52+V49*W52,0)</f>
        <v>88369</v>
      </c>
      <c r="S50" s="3443"/>
      <c r="T50" s="3443"/>
      <c r="U50" s="3443"/>
      <c r="V50" s="3443"/>
      <c r="W50" s="344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3199</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0.26771143086658111</v>
      </c>
      <c r="F53" s="627" t="str">
        <f>IF(OR(E53&gt;=0.3,E53&lt;=-0.3),"超过30%","")</f>
        <v/>
      </c>
      <c r="G53" s="626">
        <f>IF(G48&lt;G49,G49/G48-1,G48/G49-1)</f>
        <v>0.29504776233801255</v>
      </c>
      <c r="H53" s="627" t="str">
        <f>IF(OR(G53&gt;=0.3,G53&lt;=-0.3),"超过30%","")</f>
        <v/>
      </c>
      <c r="I53" s="626">
        <f>IF(I48&lt;I49,I49/I48-1,I48/I49-1)</f>
        <v>0.29326171874999996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1.4307471679654959E-2</v>
      </c>
      <c r="F54" s="627" t="str">
        <f>IF(OR(E54&gt;=0.2,E54&lt;=-0.2),"超过20%","")</f>
        <v/>
      </c>
      <c r="G54" s="626">
        <f>IF(G49&lt;I49,I49/G49-1,G49/I49-1)</f>
        <v>0.14827959425105086</v>
      </c>
      <c r="H54" s="627" t="str">
        <f>IF(OR(G54&gt;=0.2,G54&lt;=-0.2),"超过20%","")</f>
        <v/>
      </c>
      <c r="I54" s="626">
        <f>IF(I49&lt;E49,E49/I49-1,I49/E49-1)</f>
        <v>0.13208235797528256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04" t="s">
        <v>2280</v>
      </c>
      <c r="H57" s="3405"/>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88369</v>
      </c>
      <c r="C58" s="635">
        <v>1</v>
      </c>
      <c r="D58" s="2230">
        <v>1</v>
      </c>
      <c r="E58" s="635">
        <f>'数据-汇总表'!E8+'数据-汇总表'!E9</f>
        <v>38345.120000000003</v>
      </c>
      <c r="F58" s="636">
        <f t="shared" ref="F58:F67" si="15">ROUND(B58*E58/10000,0)</f>
        <v>338852</v>
      </c>
      <c r="G58" s="3406"/>
      <c r="H58" s="340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8"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12330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50675.12</v>
      </c>
      <c r="F68" s="644">
        <f>IF(B48="楼面地价",SUM(F58:F67),ROUND(C50*E68/10000,0))</f>
        <v>338852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3161</v>
      </c>
      <c r="D77" s="3208" t="s">
        <v>3162</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96.5</v>
      </c>
      <c r="E93" s="679">
        <f>D93-$K19</f>
        <v>93</v>
      </c>
      <c r="F93" s="679">
        <f>E93-$K19</f>
        <v>89.5</v>
      </c>
      <c r="G93" s="679">
        <f>F93-$K19</f>
        <v>86</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3163</v>
      </c>
      <c r="D108" s="3207" t="s">
        <v>3164</v>
      </c>
      <c r="E108" s="3207" t="s">
        <v>3165</v>
      </c>
      <c r="F108" s="3207" t="s">
        <v>3166</v>
      </c>
      <c r="G108" s="3207" t="s">
        <v>3167</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3168</v>
      </c>
      <c r="D125" s="1376" t="s">
        <v>3064</v>
      </c>
      <c r="E125" s="1376" t="s">
        <v>3169</v>
      </c>
      <c r="F125" s="1376" t="s">
        <v>3170</v>
      </c>
      <c r="G125" s="1376" t="s">
        <v>3171</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3172</v>
      </c>
      <c r="F127" s="718" t="s">
        <v>3173</v>
      </c>
      <c r="G127" s="718" t="s">
        <v>3174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6" t="str">
        <f>项目基本情况!B1</f>
        <v>上海市静安区宝山路街道147街坊11丘出让国有建设用地使用权抵押价格预评估</v>
      </c>
      <c r="C37" s="3226"/>
      <c r="D37" s="3226"/>
      <c r="E37" s="3226"/>
      <c r="F37" s="3226"/>
      <c r="G37" s="3226"/>
      <c r="H37" s="3226"/>
      <c r="I37" s="3226"/>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0" workbookViewId="0">
      <selection activeCell="C19" sqref="C19:D1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11</v>
      </c>
    </row>
    <row r="2" spans="1:31" s="2043" customFormat="1" ht="18" customHeight="1">
      <c r="A2" s="2103" t="s">
        <v>467</v>
      </c>
      <c r="B2" s="2107">
        <f ca="1">C36</f>
        <v>337317</v>
      </c>
      <c r="C2" s="2106"/>
      <c r="D2" s="2106"/>
      <c r="E2" s="2106"/>
      <c r="F2" s="2106"/>
      <c r="G2" s="2106"/>
      <c r="H2" s="2106"/>
      <c r="I2" s="2106"/>
      <c r="J2" s="2106"/>
      <c r="K2" s="2106"/>
    </row>
    <row r="3" spans="1:31" s="2043" customFormat="1" ht="18" customHeight="1">
      <c r="A3" s="2108" t="s">
        <v>1682</v>
      </c>
      <c r="B3" s="2109">
        <f ca="1">ROUND(B2*10000/IF(B1="",'数据-汇总表'!E3,INDIRECT("'数据-取费表'!K"&amp;$K$1)),0)</f>
        <v>59443</v>
      </c>
      <c r="C3" s="2106"/>
      <c r="D3" s="2106"/>
      <c r="E3" s="2106"/>
      <c r="F3" s="2106"/>
      <c r="G3" s="2106"/>
      <c r="H3" s="2106"/>
      <c r="I3" s="2106"/>
      <c r="J3" s="2106"/>
      <c r="K3" s="2106"/>
    </row>
    <row r="4" spans="1:31" s="2043" customFormat="1" ht="18" customHeight="1">
      <c r="A4" s="426" t="s">
        <v>468</v>
      </c>
      <c r="B4" s="427">
        <f ca="1">ROUND(B2*10000/IF(B1="",'数据-汇总表'!D3,INDIRECT("'数据-取费表'!R"&amp;$K$1)),0)</f>
        <v>296337</v>
      </c>
      <c r="C4" s="428"/>
      <c r="D4" s="422"/>
      <c r="E4" s="422"/>
      <c r="F4" s="422"/>
      <c r="G4" s="422"/>
      <c r="H4" s="422"/>
      <c r="I4" s="422"/>
      <c r="J4" s="422"/>
      <c r="K4" s="422"/>
    </row>
    <row r="5" spans="1:31" s="2043" customFormat="1" ht="18" customHeight="1" thickBot="1">
      <c r="A5" s="429"/>
      <c r="B5" s="430">
        <f ca="1">ROUND(B2/(IF(B1="",'数据-汇总表'!D3,INDIRECT("'数据-取费表'!R"&amp;$K$1))/666.67),0)</f>
        <v>19756</v>
      </c>
      <c r="C5" s="431" t="s">
        <v>469</v>
      </c>
      <c r="D5" s="422"/>
      <c r="E5" s="422"/>
      <c r="F5" s="422"/>
      <c r="G5" s="422"/>
      <c r="H5" s="422"/>
      <c r="I5" s="422"/>
      <c r="J5" s="422"/>
      <c r="K5" s="422"/>
    </row>
    <row r="6" spans="1:31" s="2113" customFormat="1" ht="16.5" customHeight="1">
      <c r="A6" s="2854" t="s">
        <v>1840</v>
      </c>
      <c r="B6" s="2855"/>
      <c r="C6" s="2856">
        <f ca="1">SUM(C10:K10)</f>
        <v>466919</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148482</v>
      </c>
      <c r="D8" s="2860">
        <f ca="1">不动产收益法住!B3</f>
        <v>102368</v>
      </c>
      <c r="E8" s="2860">
        <f ca="1">不动产收益法商!B3</f>
        <v>138445</v>
      </c>
      <c r="F8" s="3217">
        <f ca="1">不动产收益法车!B2/411</f>
        <v>77.557177615571774</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18011.39</v>
      </c>
      <c r="D9" s="441">
        <f>SUMIF('数据-汇总表'!$C19:$C33,'剩余法-待开发'!D7,'数据-汇总表'!$E19:$E33)</f>
        <v>12619.33</v>
      </c>
      <c r="E9" s="441">
        <f>SUMIF('数据-汇总表'!$C19:$C33,'剩余法-待开发'!E7,'数据-汇总表'!$E19:$E33)</f>
        <v>2775.4</v>
      </c>
      <c r="F9" s="441">
        <f>SUMIF('数据-汇总表'!$C19:$C33,'剩余法-待开发'!F7,'数据-汇总表'!$E19:$E33)</f>
        <v>12330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267437</v>
      </c>
      <c r="D10" s="3053">
        <f ca="1">不动产收益法住!B2</f>
        <v>129182</v>
      </c>
      <c r="E10" s="3053">
        <f ca="1">不动产收益法商!B2</f>
        <v>38424</v>
      </c>
      <c r="F10" s="2863">
        <f ca="1">不动产收益法车!B2</f>
        <v>31876</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22408</v>
      </c>
      <c r="D13" s="2870"/>
      <c r="E13" s="2871"/>
      <c r="F13" s="2872"/>
      <c r="G13" s="2838"/>
      <c r="H13" s="2839"/>
      <c r="I13" s="2839"/>
      <c r="J13" s="2839"/>
      <c r="K13" s="2840"/>
    </row>
    <row r="14" spans="1:31" s="2118" customFormat="1" ht="13.5" customHeight="1">
      <c r="A14" s="2868" t="s">
        <v>1847</v>
      </c>
      <c r="B14" s="2869" t="s">
        <v>480</v>
      </c>
      <c r="C14" s="53">
        <f ca="1">ROUND(C13*F14,0)</f>
        <v>672</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482</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1135</v>
      </c>
      <c r="D16" s="2870">
        <f ca="1">IF(B1="",'数据-汇总表'!E3,INDIRECT("'数据-取费表'!K"&amp;$K$1)+INDIRECT("'数据-取费表'!S"&amp;$K$1))</f>
        <v>56746.020000000004</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336</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25033</v>
      </c>
      <c r="D18" s="2879"/>
      <c r="E18" s="468"/>
      <c r="F18" s="468"/>
      <c r="G18" s="2842" t="s">
        <v>2430</v>
      </c>
      <c r="H18" s="2843"/>
      <c r="I18" s="2843"/>
      <c r="J18" s="2843"/>
      <c r="K18" s="2844"/>
    </row>
    <row r="19" spans="1:14" s="2118" customFormat="1" ht="13.5" customHeight="1">
      <c r="A19" s="2876" t="s">
        <v>1852</v>
      </c>
      <c r="B19" s="2877" t="s">
        <v>488</v>
      </c>
      <c r="C19" s="2834">
        <f ca="1">ROUND(D19*E19/10000,0)</f>
        <v>567</v>
      </c>
      <c r="D19" s="2880">
        <f ca="1">D16</f>
        <v>56746.020000000004</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2440</v>
      </c>
      <c r="D20" s="2880"/>
      <c r="E20" s="2834"/>
      <c r="F20" s="2881"/>
      <c r="G20" s="3112"/>
      <c r="H20" s="2836"/>
      <c r="I20" s="2837" t="s">
        <v>2651</v>
      </c>
      <c r="J20" s="2843"/>
      <c r="K20" s="2844"/>
    </row>
    <row r="21" spans="1:14" s="2118" customFormat="1" ht="13.5" customHeight="1">
      <c r="A21" s="2868" t="s">
        <v>1854</v>
      </c>
      <c r="B21" s="2869" t="s">
        <v>491</v>
      </c>
      <c r="C21" s="53">
        <f ca="1">ROUND(D21*E21/10000,0)</f>
        <v>1529</v>
      </c>
      <c r="D21" s="2870">
        <f ca="1">IF(B1="",'数据-汇总表'!E5,IF(INDIRECT("'数据-取费表'!c"&amp;$K$1)="住宅",INDIRECT("'数据-取费表'!k"&amp;$K$1),0))</f>
        <v>35569.72</v>
      </c>
      <c r="E21" s="53">
        <f>'数据-取费表'!B27</f>
        <v>430</v>
      </c>
      <c r="F21" s="2873"/>
      <c r="G21" s="26"/>
      <c r="H21" s="51"/>
      <c r="I21" s="51"/>
      <c r="J21" s="51"/>
      <c r="K21" s="2845"/>
    </row>
    <row r="22" spans="1:14" s="2118" customFormat="1" ht="13.5" customHeight="1">
      <c r="A22" s="2868" t="s">
        <v>1855</v>
      </c>
      <c r="B22" s="2869" t="s">
        <v>492</v>
      </c>
      <c r="C22" s="53">
        <f ca="1">ROUND(D22*E22/10000,0)</f>
        <v>911</v>
      </c>
      <c r="D22" s="2870">
        <f ca="1">IF(B1="",'数据-汇总表'!E6,IF(INDIRECT("'数据-取费表'!c"&amp;$K$1)="住宅",INDIRECT("'数据-取费表'!s"&amp;$K$1),INDIRECT("'数据-取费表'!k"&amp;$K$1)+INDIRECT("'数据-取费表'!s"&amp;$K$1)))</f>
        <v>21176.300000000003</v>
      </c>
      <c r="E22" s="53">
        <f>'数据-取费表'!B28</f>
        <v>430</v>
      </c>
      <c r="F22" s="2873"/>
      <c r="G22" s="26"/>
      <c r="H22" s="51"/>
      <c r="I22" s="51"/>
      <c r="J22" s="51"/>
      <c r="K22" s="2845"/>
    </row>
    <row r="23" spans="1:14" s="2118" customFormat="1" ht="13.5" customHeight="1">
      <c r="A23" s="2876" t="s">
        <v>1856</v>
      </c>
      <c r="B23" s="3059" t="s">
        <v>2834</v>
      </c>
      <c r="C23" s="2878">
        <f ca="1">ROUND((C18+C19+C20)*F23,0)</f>
        <v>280</v>
      </c>
      <c r="D23" s="468"/>
      <c r="E23" s="468"/>
      <c r="F23" s="2882">
        <f>'数据-取费表'!B37</f>
        <v>0.01</v>
      </c>
      <c r="G23" s="2838" t="s">
        <v>2431</v>
      </c>
      <c r="H23" s="2839"/>
      <c r="I23" s="2839"/>
      <c r="J23" s="2839"/>
      <c r="K23" s="2840"/>
      <c r="L23" s="2120"/>
      <c r="M23" s="2120"/>
      <c r="N23" s="2120"/>
    </row>
    <row r="24" spans="1:14" s="2118" customFormat="1" ht="13.5" customHeight="1">
      <c r="A24" s="2876" t="s">
        <v>1857</v>
      </c>
      <c r="B24" s="3059" t="s">
        <v>2837</v>
      </c>
      <c r="C24" s="2878">
        <f ca="1">ROUND(C6*F24,0)</f>
        <v>4669</v>
      </c>
      <c r="D24" s="475"/>
      <c r="E24" s="473"/>
      <c r="F24" s="2882">
        <f>'数据-取费表'!B38</f>
        <v>0.01</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1567</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1567</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24902</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59458</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59458</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2309</v>
      </c>
      <c r="D33" s="467">
        <f ca="1">C34</f>
        <v>7.1999999999999995E-2</v>
      </c>
      <c r="E33" s="469" t="s">
        <v>495</v>
      </c>
      <c r="F33" s="479">
        <f ca="1">IF(B1="",'数据-取费表'!Q16,INDIRECT("'数据-取费表'!q"&amp;$K$1))</f>
        <v>7.0000000000000007E-2</v>
      </c>
      <c r="G33" s="2842"/>
      <c r="H33" s="2843"/>
      <c r="I33" s="2843"/>
      <c r="J33" s="2843"/>
      <c r="K33" s="2844"/>
    </row>
    <row r="34" spans="1:11" s="2125" customFormat="1" ht="13.5" customHeight="1">
      <c r="A34" s="375" t="s">
        <v>1854</v>
      </c>
      <c r="B34" s="2889" t="s">
        <v>501</v>
      </c>
      <c r="C34" s="472">
        <f ca="1">ROUND((1+C25)*F33,4)</f>
        <v>7.1999999999999995E-2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2309</v>
      </c>
      <c r="D35" s="1630"/>
      <c r="E35" s="2890"/>
      <c r="F35" s="1631"/>
      <c r="G35" s="2848"/>
      <c r="H35" s="2849"/>
      <c r="I35" s="2849"/>
      <c r="J35" s="2849"/>
      <c r="K35" s="2850"/>
    </row>
    <row r="36" spans="1:11" s="2087" customFormat="1" ht="13.5" customHeight="1" thickBot="1">
      <c r="A36" s="284" t="s">
        <v>1842</v>
      </c>
      <c r="B36" s="2852"/>
      <c r="C36" s="2891">
        <f ca="1">ROUND((C6-C30-C33)/(1+D30+D33),0)</f>
        <v>337317</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11</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22408</v>
      </c>
      <c r="D13" s="451"/>
      <c r="E13" s="365"/>
      <c r="F13" s="452"/>
      <c r="G13" s="444"/>
      <c r="H13" s="447"/>
      <c r="I13" s="447"/>
      <c r="J13" s="447"/>
      <c r="K13" s="448"/>
    </row>
    <row r="14" spans="1:41" s="2118" customFormat="1" ht="13.5" customHeight="1">
      <c r="A14" s="1634" t="s">
        <v>1847</v>
      </c>
      <c r="B14" s="449" t="s">
        <v>480</v>
      </c>
      <c r="C14" s="53">
        <f ca="1">ROUND(C13*F14,0)</f>
        <v>672</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482</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1135</v>
      </c>
      <c r="D16" s="451">
        <f ca="1">IF(B1="",'数据-汇总表'!E3,INDIRECT("'数据-取费表'!K"&amp;$K$1)+INDIRECT("'数据-取费表'!S"&amp;$K$1))</f>
        <v>56746.020000000004</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336</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25033</v>
      </c>
      <c r="D18" s="461"/>
      <c r="E18" s="462"/>
      <c r="F18" s="462"/>
      <c r="G18" s="1327" t="s">
        <v>2432</v>
      </c>
      <c r="H18" s="447"/>
      <c r="I18" s="447"/>
      <c r="J18" s="447"/>
      <c r="K18" s="448"/>
    </row>
    <row r="19" spans="1:14" s="2121" customFormat="1" ht="13.5" customHeight="1">
      <c r="A19" s="1635" t="s">
        <v>1852</v>
      </c>
      <c r="B19" s="459" t="s">
        <v>493</v>
      </c>
      <c r="C19" s="460">
        <f ca="1">ROUND(C18*F19,0)</f>
        <v>250</v>
      </c>
      <c r="D19" s="462"/>
      <c r="E19" s="462"/>
      <c r="F19" s="466">
        <f>'数据-取费表'!B37</f>
        <v>0.01</v>
      </c>
      <c r="G19" s="444" t="s">
        <v>503</v>
      </c>
      <c r="H19" s="447"/>
      <c r="I19" s="447"/>
      <c r="J19" s="447"/>
      <c r="K19" s="448"/>
      <c r="L19" s="2123"/>
      <c r="M19" s="2123"/>
      <c r="N19" s="2123"/>
    </row>
    <row r="20" spans="1:14" s="2121" customFormat="1" ht="13.5" customHeight="1">
      <c r="A20" s="1635" t="s">
        <v>1853</v>
      </c>
      <c r="B20" s="459" t="s">
        <v>504</v>
      </c>
      <c r="C20" s="3054">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1856</v>
      </c>
      <c r="B21" s="461" t="s">
        <v>494</v>
      </c>
      <c r="C21" s="470">
        <f ca="1">C22</f>
        <v>1201</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1201</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5.0000000000000001E-4</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1770</v>
      </c>
      <c r="D24" s="489">
        <f ca="1">C26</f>
        <v>6.9999999999999999E-4</v>
      </c>
      <c r="E24" s="469" t="s">
        <v>507</v>
      </c>
      <c r="F24" s="479">
        <f ca="1">IF(B1="",'数据-取费表'!Q16,INDIRECT("'数据-取费表'!q"&amp;$K$1))</f>
        <v>7.0000000000000007E-2</v>
      </c>
      <c r="G24" s="444"/>
      <c r="H24" s="447"/>
      <c r="I24" s="447"/>
      <c r="J24" s="447"/>
      <c r="K24" s="448"/>
    </row>
    <row r="25" spans="1:14" s="2122" customFormat="1" ht="13.5" customHeight="1">
      <c r="A25" s="1634" t="s">
        <v>1846</v>
      </c>
      <c r="B25" s="1328" t="s">
        <v>2436</v>
      </c>
      <c r="C25" s="490">
        <f ca="1">ROUND((C18+C19)*F24,0)</f>
        <v>1770</v>
      </c>
      <c r="D25" s="472"/>
      <c r="E25" s="473"/>
      <c r="F25" s="480"/>
      <c r="G25" s="1326" t="s">
        <v>2433</v>
      </c>
      <c r="H25" s="457"/>
      <c r="I25" s="457"/>
      <c r="J25" s="457"/>
      <c r="K25" s="458"/>
    </row>
    <row r="26" spans="1:14" s="2122" customFormat="1" ht="13.5" customHeight="1">
      <c r="A26" s="1634" t="s">
        <v>1847</v>
      </c>
      <c r="B26" s="1328" t="s">
        <v>509</v>
      </c>
      <c r="C26" s="491">
        <f ca="1">ROUND(F20*F24,4)</f>
        <v>6.9999999999999999E-4</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30202</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6" t="s">
        <v>522</v>
      </c>
      <c r="D6" s="3427"/>
      <c r="E6" s="3450" t="s">
        <v>523</v>
      </c>
      <c r="F6" s="3451"/>
      <c r="G6" s="3426" t="s">
        <v>524</v>
      </c>
      <c r="H6" s="3427"/>
      <c r="I6" s="3426" t="s">
        <v>525</v>
      </c>
      <c r="J6" s="3427"/>
      <c r="K6" s="514" t="s">
        <v>526</v>
      </c>
      <c r="L6" s="2135"/>
      <c r="M6" s="2136"/>
      <c r="N6" s="2136"/>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29" ht="15">
      <c r="A7" s="515"/>
      <c r="B7" s="516"/>
      <c r="C7" s="3437" t="s">
        <v>2927</v>
      </c>
      <c r="D7" s="3438"/>
      <c r="E7" s="3452" t="s">
        <v>2928</v>
      </c>
      <c r="F7" s="3453"/>
      <c r="G7" s="3437" t="s">
        <v>2929</v>
      </c>
      <c r="H7" s="3438"/>
      <c r="I7" s="3437" t="s">
        <v>2930</v>
      </c>
      <c r="J7" s="3438"/>
      <c r="K7" s="514"/>
      <c r="L7" s="2135"/>
      <c r="M7" s="2136"/>
      <c r="N7" s="2136"/>
      <c r="O7" s="2136"/>
      <c r="P7" s="3430"/>
      <c r="Q7" s="3431"/>
      <c r="R7" s="3416"/>
      <c r="S7" s="3417"/>
      <c r="T7" s="3416"/>
      <c r="U7" s="3417"/>
      <c r="V7" s="3434"/>
      <c r="W7" s="3434"/>
      <c r="X7" s="1568"/>
      <c r="Y7" s="3416"/>
      <c r="Z7" s="3417"/>
      <c r="AA7" s="3410"/>
      <c r="AB7" s="3410"/>
      <c r="AC7" s="3410"/>
    </row>
    <row r="8" spans="1:29" ht="15.75" thickBot="1">
      <c r="A8" s="517"/>
      <c r="B8" s="518"/>
      <c r="C8" s="3435" t="s">
        <v>2931</v>
      </c>
      <c r="D8" s="3436"/>
      <c r="E8" s="3454" t="s">
        <v>2931</v>
      </c>
      <c r="F8" s="3455"/>
      <c r="G8" s="3435" t="s">
        <v>2931</v>
      </c>
      <c r="H8" s="3436"/>
      <c r="I8" s="3435" t="s">
        <v>2931</v>
      </c>
      <c r="J8" s="3436"/>
      <c r="K8" s="514" t="s">
        <v>528</v>
      </c>
      <c r="L8" s="2135"/>
      <c r="M8" s="2136"/>
      <c r="N8" s="2136"/>
      <c r="O8" s="2136"/>
      <c r="P8" s="3432"/>
      <c r="Q8" s="3433"/>
      <c r="R8" s="3416"/>
      <c r="S8" s="3417"/>
      <c r="T8" s="3418"/>
      <c r="U8" s="3419"/>
      <c r="V8" s="3434"/>
      <c r="W8" s="3434"/>
      <c r="X8" s="1568"/>
      <c r="Y8" s="3418"/>
      <c r="Z8" s="3419"/>
      <c r="AA8" s="3411"/>
      <c r="AB8" s="3411"/>
      <c r="AC8" s="3411"/>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2" t="s">
        <v>530</v>
      </c>
      <c r="Q9" s="3421"/>
      <c r="R9" s="1569" t="s">
        <v>8</v>
      </c>
      <c r="S9" s="1570">
        <f t="shared" ref="S9:S17" si="0">F9</f>
        <v>0</v>
      </c>
      <c r="T9" s="1569" t="s">
        <v>8</v>
      </c>
      <c r="U9" s="1570">
        <f t="shared" ref="U9:U17" si="1">H9</f>
        <v>0</v>
      </c>
      <c r="V9" s="1569" t="s">
        <v>8</v>
      </c>
      <c r="W9" s="1570">
        <f t="shared" ref="W9:W17" si="2">J9</f>
        <v>0</v>
      </c>
      <c r="X9" s="1571"/>
      <c r="Y9" s="3412" t="s">
        <v>530</v>
      </c>
      <c r="Z9" s="3413"/>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2" t="s">
        <v>533</v>
      </c>
      <c r="Q10" s="3413"/>
      <c r="R10" s="1569" t="s">
        <v>8</v>
      </c>
      <c r="S10" s="1570">
        <f t="shared" si="0"/>
        <v>0</v>
      </c>
      <c r="T10" s="1569" t="s">
        <v>8</v>
      </c>
      <c r="U10" s="1570">
        <f t="shared" si="1"/>
        <v>0</v>
      </c>
      <c r="V10" s="1569" t="s">
        <v>8</v>
      </c>
      <c r="W10" s="1570">
        <f t="shared" si="2"/>
        <v>0</v>
      </c>
      <c r="X10" s="1571"/>
      <c r="Y10" s="3412" t="s">
        <v>533</v>
      </c>
      <c r="Z10" s="3413"/>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20" t="s">
        <v>535</v>
      </c>
      <c r="Q11" s="1151" t="str">
        <f t="shared" ref="Q11:Q17" si="6">B11</f>
        <v>用途</v>
      </c>
      <c r="R11" s="1569" t="s">
        <v>8</v>
      </c>
      <c r="S11" s="1570">
        <f t="shared" si="0"/>
        <v>100</v>
      </c>
      <c r="T11" s="1569" t="s">
        <v>8</v>
      </c>
      <c r="U11" s="1570">
        <f t="shared" si="1"/>
        <v>100</v>
      </c>
      <c r="V11" s="1569" t="s">
        <v>8</v>
      </c>
      <c r="W11" s="1570">
        <f t="shared" si="2"/>
        <v>100</v>
      </c>
      <c r="X11" s="1571"/>
      <c r="Y11" s="3377"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20"/>
      <c r="Q12" s="1151" t="str">
        <f t="shared" si="6"/>
        <v>土地使用年限（年）</v>
      </c>
      <c r="R12" s="1569" t="s">
        <v>8</v>
      </c>
      <c r="S12" s="1570">
        <f t="shared" si="0"/>
        <v>101</v>
      </c>
      <c r="T12" s="1569" t="s">
        <v>8</v>
      </c>
      <c r="U12" s="1570">
        <f t="shared" si="1"/>
        <v>101</v>
      </c>
      <c r="V12" s="1569" t="s">
        <v>8</v>
      </c>
      <c r="W12" s="1570">
        <f t="shared" si="2"/>
        <v>101</v>
      </c>
      <c r="X12" s="1571"/>
      <c r="Y12" s="3377"/>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20"/>
      <c r="Q13" s="1151" t="str">
        <f t="shared" si="6"/>
        <v>容积率</v>
      </c>
      <c r="R13" s="1569" t="s">
        <v>8</v>
      </c>
      <c r="S13" s="1570" t="e">
        <f t="shared" si="0"/>
        <v>#N/A</v>
      </c>
      <c r="T13" s="1569" t="s">
        <v>8</v>
      </c>
      <c r="U13" s="1570" t="e">
        <f t="shared" si="1"/>
        <v>#N/A</v>
      </c>
      <c r="V13" s="1569" t="s">
        <v>8</v>
      </c>
      <c r="W13" s="1570" t="e">
        <f t="shared" si="2"/>
        <v>#N/A</v>
      </c>
      <c r="X13" s="1571"/>
      <c r="Y13" s="3377"/>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2" t="s">
        <v>540</v>
      </c>
      <c r="Q17" s="1573" t="str">
        <f t="shared" si="6"/>
        <v>产业集聚程度</v>
      </c>
      <c r="R17" s="1574" t="s">
        <v>8</v>
      </c>
      <c r="S17" s="1575">
        <f t="shared" si="0"/>
        <v>100</v>
      </c>
      <c r="T17" s="1574" t="s">
        <v>8</v>
      </c>
      <c r="U17" s="1575">
        <f t="shared" si="1"/>
        <v>100</v>
      </c>
      <c r="V17" s="1574" t="s">
        <v>8</v>
      </c>
      <c r="W17" s="1575">
        <f t="shared" si="2"/>
        <v>100</v>
      </c>
      <c r="X17" s="1568"/>
      <c r="Y17" s="342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3"/>
      <c r="Q18" s="1573"/>
      <c r="R18" s="1574"/>
      <c r="S18" s="1575"/>
      <c r="T18" s="1574"/>
      <c r="U18" s="1575"/>
      <c r="V18" s="1574"/>
      <c r="W18" s="1575"/>
      <c r="X18" s="1568"/>
      <c r="Y18" s="342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3"/>
      <c r="Q19" s="1573" t="str">
        <f>B19</f>
        <v>交通便捷度</v>
      </c>
      <c r="R19" s="1574" t="s">
        <v>8</v>
      </c>
      <c r="S19" s="1575">
        <f>F19</f>
        <v>100</v>
      </c>
      <c r="T19" s="1574" t="s">
        <v>8</v>
      </c>
      <c r="U19" s="1575">
        <f>H19</f>
        <v>100</v>
      </c>
      <c r="V19" s="1574" t="s">
        <v>8</v>
      </c>
      <c r="W19" s="1575">
        <f>J19</f>
        <v>100</v>
      </c>
      <c r="X19" s="1568"/>
      <c r="Y19" s="342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3"/>
      <c r="Q21" s="1573" t="str">
        <f t="shared" ref="Q21:Q35" si="8">B21</f>
        <v>区域土地利用方向</v>
      </c>
      <c r="R21" s="1574" t="s">
        <v>8</v>
      </c>
      <c r="S21" s="1575">
        <f>F21</f>
        <v>100</v>
      </c>
      <c r="T21" s="1574" t="s">
        <v>8</v>
      </c>
      <c r="U21" s="1575">
        <f>H21</f>
        <v>100</v>
      </c>
      <c r="V21" s="1574" t="s">
        <v>8</v>
      </c>
      <c r="W21" s="1575">
        <f>J21</f>
        <v>100</v>
      </c>
      <c r="X21" s="1568"/>
      <c r="Y21" s="342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3"/>
      <c r="Q22" s="1573"/>
      <c r="R22" s="1574"/>
      <c r="S22" s="1575"/>
      <c r="T22" s="1574"/>
      <c r="U22" s="1575"/>
      <c r="V22" s="1574"/>
      <c r="W22" s="1575"/>
      <c r="X22" s="1568"/>
      <c r="Y22" s="342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3"/>
      <c r="Q23" s="1573" t="str">
        <f t="shared" si="8"/>
        <v>环境状况</v>
      </c>
      <c r="R23" s="1574" t="s">
        <v>8</v>
      </c>
      <c r="S23" s="1575">
        <f>F23</f>
        <v>100</v>
      </c>
      <c r="T23" s="1574" t="s">
        <v>8</v>
      </c>
      <c r="U23" s="1575">
        <f>H23</f>
        <v>100</v>
      </c>
      <c r="V23" s="1574" t="s">
        <v>8</v>
      </c>
      <c r="W23" s="1575">
        <f>J23</f>
        <v>100</v>
      </c>
      <c r="X23" s="1568"/>
      <c r="Y23" s="342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3"/>
      <c r="Q24" s="1573"/>
      <c r="R24" s="1574"/>
      <c r="S24" s="1575"/>
      <c r="T24" s="1574"/>
      <c r="U24" s="1575"/>
      <c r="V24" s="1574"/>
      <c r="W24" s="1575"/>
      <c r="X24" s="1568"/>
      <c r="Y24" s="3423"/>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3"/>
      <c r="Q25" s="1151" t="str">
        <f t="shared" si="8"/>
        <v>公共配套设施</v>
      </c>
      <c r="R25" s="1569" t="s">
        <v>8</v>
      </c>
      <c r="S25" s="1570">
        <f>F25</f>
        <v>100</v>
      </c>
      <c r="T25" s="1569" t="s">
        <v>8</v>
      </c>
      <c r="U25" s="1570">
        <f>H25</f>
        <v>100</v>
      </c>
      <c r="V25" s="1569" t="s">
        <v>8</v>
      </c>
      <c r="W25" s="1570">
        <f>J25</f>
        <v>100</v>
      </c>
      <c r="X25" s="1571"/>
      <c r="Y25" s="3423"/>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23"/>
      <c r="Q26" s="1151"/>
      <c r="R26" s="1569"/>
      <c r="S26" s="1570"/>
      <c r="T26" s="1569"/>
      <c r="U26" s="1570"/>
      <c r="V26" s="1569"/>
      <c r="W26" s="1570"/>
      <c r="X26" s="1571"/>
      <c r="Y26" s="3423"/>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3"/>
      <c r="Q27" s="2604" t="str">
        <f t="shared" ref="Q27" si="9">B27</f>
        <v>基础设施水平</v>
      </c>
      <c r="R27" s="1569" t="s">
        <v>8</v>
      </c>
      <c r="S27" s="1570">
        <f>F27</f>
        <v>100</v>
      </c>
      <c r="T27" s="1569" t="s">
        <v>8</v>
      </c>
      <c r="U27" s="1570">
        <f>H27</f>
        <v>100</v>
      </c>
      <c r="V27" s="1569" t="s">
        <v>8</v>
      </c>
      <c r="W27" s="1570">
        <f>J27</f>
        <v>100</v>
      </c>
      <c r="X27" s="1571"/>
      <c r="Y27" s="3423"/>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23"/>
      <c r="Q28" s="2604"/>
      <c r="R28" s="1569"/>
      <c r="S28" s="1570"/>
      <c r="T28" s="1569"/>
      <c r="U28" s="1570"/>
      <c r="V28" s="1569"/>
      <c r="W28" s="1570"/>
      <c r="X28" s="1571"/>
      <c r="Y28" s="3423"/>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3"/>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3"/>
      <c r="Q30" s="1573" t="str">
        <f t="shared" si="8"/>
        <v>毗邻道路的类型与等级</v>
      </c>
      <c r="R30" s="1574" t="s">
        <v>8</v>
      </c>
      <c r="S30" s="1575">
        <f t="shared" si="10"/>
        <v>100</v>
      </c>
      <c r="T30" s="1574" t="s">
        <v>8</v>
      </c>
      <c r="U30" s="1575">
        <f t="shared" si="11"/>
        <v>100</v>
      </c>
      <c r="V30" s="1574" t="s">
        <v>8</v>
      </c>
      <c r="W30" s="1575">
        <f t="shared" si="12"/>
        <v>100</v>
      </c>
      <c r="X30" s="1568"/>
      <c r="Y30" s="342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3"/>
      <c r="Q31" s="1573"/>
      <c r="R31" s="1574"/>
      <c r="S31" s="1575"/>
      <c r="T31" s="1574"/>
      <c r="U31" s="1575"/>
      <c r="V31" s="1574"/>
      <c r="W31" s="1575"/>
      <c r="X31" s="1568"/>
      <c r="Y31" s="3423"/>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3"/>
      <c r="Q32" s="1573" t="str">
        <f t="shared" si="8"/>
        <v>土地级别</v>
      </c>
      <c r="R32" s="1574" t="s">
        <v>8</v>
      </c>
      <c r="S32" s="1575">
        <f t="shared" si="10"/>
        <v>100</v>
      </c>
      <c r="T32" s="1574" t="s">
        <v>8</v>
      </c>
      <c r="U32" s="1575">
        <f t="shared" si="11"/>
        <v>100</v>
      </c>
      <c r="V32" s="1574" t="s">
        <v>8</v>
      </c>
      <c r="W32" s="1575">
        <f t="shared" si="12"/>
        <v>100</v>
      </c>
      <c r="X32" s="1568"/>
      <c r="Y32" s="342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3"/>
      <c r="Q33" s="1573">
        <f t="shared" si="8"/>
        <v>111</v>
      </c>
      <c r="R33" s="1574" t="s">
        <v>8</v>
      </c>
      <c r="S33" s="1575">
        <f t="shared" si="10"/>
        <v>100</v>
      </c>
      <c r="T33" s="1574" t="s">
        <v>8</v>
      </c>
      <c r="U33" s="1575">
        <f t="shared" si="11"/>
        <v>100</v>
      </c>
      <c r="V33" s="1574" t="s">
        <v>8</v>
      </c>
      <c r="W33" s="1575">
        <f t="shared" si="12"/>
        <v>100</v>
      </c>
      <c r="X33" s="1568"/>
      <c r="Y33" s="342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4" t="s">
        <v>550</v>
      </c>
      <c r="Q34" s="1573">
        <f t="shared" si="8"/>
        <v>111</v>
      </c>
      <c r="R34" s="1574" t="s">
        <v>8</v>
      </c>
      <c r="S34" s="1575">
        <f t="shared" si="10"/>
        <v>100</v>
      </c>
      <c r="T34" s="1574" t="s">
        <v>8</v>
      </c>
      <c r="U34" s="1575">
        <f t="shared" si="11"/>
        <v>100</v>
      </c>
      <c r="V34" s="1574" t="s">
        <v>8</v>
      </c>
      <c r="W34" s="1575">
        <f t="shared" si="12"/>
        <v>100</v>
      </c>
      <c r="X34" s="1568"/>
      <c r="Y34" s="3425"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5"/>
      <c r="Q35" s="1573">
        <f t="shared" si="8"/>
        <v>111</v>
      </c>
      <c r="R35" s="1578" t="s">
        <v>8</v>
      </c>
      <c r="S35" s="1579">
        <f t="shared" si="10"/>
        <v>100</v>
      </c>
      <c r="T35" s="1578" t="s">
        <v>8</v>
      </c>
      <c r="U35" s="1579">
        <f t="shared" si="11"/>
        <v>100</v>
      </c>
      <c r="V35" s="1578" t="s">
        <v>8</v>
      </c>
      <c r="W35" s="1579">
        <f t="shared" si="12"/>
        <v>100</v>
      </c>
      <c r="X35" s="1580"/>
      <c r="Y35" s="3425"/>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5"/>
      <c r="Q36" s="1573" t="str">
        <f>B36</f>
        <v>宗地面积</v>
      </c>
      <c r="R36" s="1574" t="s">
        <v>8</v>
      </c>
      <c r="S36" s="1575" t="e">
        <f t="shared" si="10"/>
        <v>#N/A</v>
      </c>
      <c r="T36" s="1574" t="s">
        <v>8</v>
      </c>
      <c r="U36" s="1575" t="e">
        <f t="shared" si="11"/>
        <v>#N/A</v>
      </c>
      <c r="V36" s="1574" t="s">
        <v>8</v>
      </c>
      <c r="W36" s="1575" t="e">
        <f t="shared" si="12"/>
        <v>#N/A</v>
      </c>
      <c r="X36" s="1568"/>
      <c r="Y36" s="342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5"/>
      <c r="Q37" s="1573" t="str">
        <f t="shared" ref="Q37:Q42" si="14">B37</f>
        <v>宗地形状</v>
      </c>
      <c r="R37" s="1574" t="s">
        <v>8</v>
      </c>
      <c r="S37" s="1575">
        <f t="shared" si="10"/>
        <v>100</v>
      </c>
      <c r="T37" s="1574" t="s">
        <v>8</v>
      </c>
      <c r="U37" s="1575">
        <f t="shared" si="11"/>
        <v>100</v>
      </c>
      <c r="V37" s="1574" t="s">
        <v>8</v>
      </c>
      <c r="W37" s="1575">
        <f t="shared" si="12"/>
        <v>100</v>
      </c>
      <c r="X37" s="1568"/>
      <c r="Y37" s="3425"/>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5"/>
      <c r="Q38" s="1573" t="str">
        <f t="shared" si="14"/>
        <v>宗地开发程度</v>
      </c>
      <c r="R38" s="1569" t="s">
        <v>8</v>
      </c>
      <c r="S38" s="1570">
        <f t="shared" si="10"/>
        <v>100</v>
      </c>
      <c r="T38" s="1569" t="s">
        <v>8</v>
      </c>
      <c r="U38" s="1570">
        <f t="shared" si="11"/>
        <v>100</v>
      </c>
      <c r="V38" s="1569" t="s">
        <v>8</v>
      </c>
      <c r="W38" s="1570">
        <f t="shared" si="12"/>
        <v>100</v>
      </c>
      <c r="X38" s="1571"/>
      <c r="Y38" s="342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5" t="s">
        <v>601</v>
      </c>
      <c r="Q39" s="1573" t="str">
        <f t="shared" si="14"/>
        <v>工程地质条件</v>
      </c>
      <c r="R39" s="1574" t="s">
        <v>8</v>
      </c>
      <c r="S39" s="1575">
        <f t="shared" si="10"/>
        <v>100</v>
      </c>
      <c r="T39" s="1574" t="s">
        <v>8</v>
      </c>
      <c r="U39" s="1575">
        <f t="shared" si="11"/>
        <v>100</v>
      </c>
      <c r="V39" s="1574" t="s">
        <v>8</v>
      </c>
      <c r="W39" s="1575">
        <f t="shared" si="12"/>
        <v>100</v>
      </c>
      <c r="X39" s="1568"/>
      <c r="Y39" s="342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5"/>
      <c r="Q40" s="1573">
        <f t="shared" si="14"/>
        <v>111</v>
      </c>
      <c r="R40" s="1574" t="s">
        <v>8</v>
      </c>
      <c r="S40" s="1575">
        <f t="shared" si="10"/>
        <v>100</v>
      </c>
      <c r="T40" s="1574" t="s">
        <v>8</v>
      </c>
      <c r="U40" s="1575">
        <f t="shared" si="11"/>
        <v>100</v>
      </c>
      <c r="V40" s="1574" t="s">
        <v>8</v>
      </c>
      <c r="W40" s="1575">
        <f t="shared" si="12"/>
        <v>100</v>
      </c>
      <c r="X40" s="1568"/>
      <c r="Y40" s="342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5"/>
      <c r="Q41" s="1573">
        <f t="shared" si="14"/>
        <v>111</v>
      </c>
      <c r="R41" s="1574" t="s">
        <v>8</v>
      </c>
      <c r="S41" s="1575">
        <f t="shared" si="10"/>
        <v>100</v>
      </c>
      <c r="T41" s="1574" t="s">
        <v>8</v>
      </c>
      <c r="U41" s="1575">
        <f t="shared" si="11"/>
        <v>100</v>
      </c>
      <c r="V41" s="1574" t="s">
        <v>8</v>
      </c>
      <c r="W41" s="1575">
        <f t="shared" si="12"/>
        <v>100</v>
      </c>
      <c r="X41" s="1568"/>
      <c r="Y41" s="342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5"/>
      <c r="Q42" s="1573">
        <f t="shared" si="14"/>
        <v>111</v>
      </c>
      <c r="R42" s="1578" t="s">
        <v>8</v>
      </c>
      <c r="S42" s="1579">
        <f t="shared" si="10"/>
        <v>100</v>
      </c>
      <c r="T42" s="1578" t="s">
        <v>8</v>
      </c>
      <c r="U42" s="1579">
        <f t="shared" si="11"/>
        <v>100</v>
      </c>
      <c r="V42" s="1578" t="s">
        <v>8</v>
      </c>
      <c r="W42" s="1579">
        <f t="shared" si="12"/>
        <v>100</v>
      </c>
      <c r="X42" s="1580"/>
      <c r="Y42" s="3425"/>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20" t="str">
        <f>A43</f>
        <v>成交单价</v>
      </c>
      <c r="Q43" s="3420"/>
      <c r="R43" s="3434">
        <f>E43</f>
        <v>0</v>
      </c>
      <c r="S43" s="3434"/>
      <c r="T43" s="3434">
        <f>G43</f>
        <v>0</v>
      </c>
      <c r="U43" s="3434"/>
      <c r="V43" s="3434">
        <f>I43</f>
        <v>0</v>
      </c>
      <c r="W43" s="3434"/>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20" t="str">
        <f>A44</f>
        <v>比较价格（元/平方米）</v>
      </c>
      <c r="Q44" s="3420"/>
      <c r="R44" s="3444" t="e">
        <f>ROUND(PRODUCT(R43,AA9:AA42),0)</f>
        <v>#DIV/0!</v>
      </c>
      <c r="S44" s="3444"/>
      <c r="T44" s="3444" t="e">
        <f>ROUND(PRODUCT(T43,AB9:AB42),0)</f>
        <v>#DIV/0!</v>
      </c>
      <c r="U44" s="3444"/>
      <c r="V44" s="3444" t="e">
        <f>ROUND(PRODUCT(V43,AC9:AC42),0)</f>
        <v>#DIV/0!</v>
      </c>
      <c r="W44" s="3444"/>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41" t="str">
        <f>A45</f>
        <v>估价对象XX用房的比较价格（楼面单价，元/平方米）</v>
      </c>
      <c r="Q45" s="3442"/>
      <c r="R45" s="3443" t="e">
        <f>ROUND(AVERAGE(R44:V44),0)</f>
        <v>#DIV/0!</v>
      </c>
      <c r="S45" s="3443"/>
      <c r="T45" s="3443"/>
      <c r="U45" s="3443"/>
      <c r="V45" s="3443"/>
      <c r="W45" s="344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45" t="s">
        <v>2283</v>
      </c>
      <c r="H52" s="3446"/>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38345.120000000003</v>
      </c>
      <c r="F53" s="1952" t="e">
        <f t="shared" ref="F53:F62" si="15">ROUND(B53*E53/10000,0)</f>
        <v>#DIV/0!</v>
      </c>
      <c r="G53" s="3447"/>
      <c r="H53" s="344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49"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4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4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4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12330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11382.9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3.84</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57"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3.84</v>
      </c>
      <c r="AA7" s="2194"/>
      <c r="AB7" s="2194"/>
      <c r="AC7" s="2195"/>
      <c r="AD7" s="2955"/>
      <c r="AE7" s="2955"/>
      <c r="AF7" s="2955"/>
      <c r="AG7" s="2955"/>
      <c r="AH7" s="2955"/>
      <c r="AI7" s="2955"/>
      <c r="AJ7" s="2956"/>
    </row>
    <row r="8" spans="1:39" ht="15">
      <c r="A8" s="3458"/>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67" t="s">
        <v>2783</v>
      </c>
      <c r="X8" s="3468"/>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58"/>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66"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8"/>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6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8"/>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66" t="s">
        <v>2781</v>
      </c>
      <c r="X11" s="1048" t="s">
        <v>2766</v>
      </c>
      <c r="Y11" s="1654">
        <f>$G$3</f>
        <v>3.84</v>
      </c>
      <c r="Z11" s="1654">
        <f t="shared" ref="Z11:AJ11" si="3">$G$3</f>
        <v>3.84</v>
      </c>
      <c r="AA11" s="1654">
        <f t="shared" si="3"/>
        <v>3.84</v>
      </c>
      <c r="AB11" s="1654">
        <f t="shared" si="3"/>
        <v>3.84</v>
      </c>
      <c r="AC11" s="1654">
        <f t="shared" si="3"/>
        <v>3.84</v>
      </c>
      <c r="AD11" s="1654">
        <f t="shared" si="3"/>
        <v>3.84</v>
      </c>
      <c r="AE11" s="1654">
        <f t="shared" si="3"/>
        <v>3.84</v>
      </c>
      <c r="AF11" s="1654">
        <f t="shared" si="3"/>
        <v>3.84</v>
      </c>
      <c r="AG11" s="1654">
        <f t="shared" si="3"/>
        <v>3.84</v>
      </c>
      <c r="AH11" s="1654">
        <f t="shared" si="3"/>
        <v>3.84</v>
      </c>
      <c r="AI11" s="1654">
        <f t="shared" si="3"/>
        <v>3.84</v>
      </c>
      <c r="AJ11" s="1654">
        <f t="shared" si="3"/>
        <v>3.84</v>
      </c>
    </row>
    <row r="12" spans="1:39" ht="25.5" thickBot="1">
      <c r="A12" s="3457"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66"/>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59"/>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66"/>
      <c r="X13" s="2960"/>
      <c r="Y13" s="2959">
        <f>(-0.163*(Y12^2)-0.59*Y12+7617)*(10^(-4))/Y11</f>
        <v>0.19835937500000003</v>
      </c>
      <c r="Z13" s="2959">
        <f t="shared" ref="Z13:AJ13" si="5">(-0.163*(Z12^2)-0.59*Z12+7617)*(10^(-4))/Z11</f>
        <v>0.19835937500000003</v>
      </c>
      <c r="AA13" s="2959">
        <f t="shared" si="5"/>
        <v>0.19835937500000003</v>
      </c>
      <c r="AB13" s="2959">
        <f t="shared" si="5"/>
        <v>0.19835937500000003</v>
      </c>
      <c r="AC13" s="2959">
        <f t="shared" si="5"/>
        <v>0.19835937500000003</v>
      </c>
      <c r="AD13" s="2959">
        <f t="shared" si="5"/>
        <v>0.19835937500000003</v>
      </c>
      <c r="AE13" s="2959">
        <f t="shared" si="5"/>
        <v>0.19835937500000003</v>
      </c>
      <c r="AF13" s="2959">
        <f t="shared" si="5"/>
        <v>0.19835937500000003</v>
      </c>
      <c r="AG13" s="2959">
        <f t="shared" si="5"/>
        <v>0.19835937500000003</v>
      </c>
      <c r="AH13" s="2959">
        <f t="shared" si="5"/>
        <v>0.19835937500000003</v>
      </c>
      <c r="AI13" s="2959">
        <f t="shared" si="5"/>
        <v>0.19835937500000003</v>
      </c>
      <c r="AJ13" s="2959">
        <f t="shared" si="5"/>
        <v>0.19835937500000003</v>
      </c>
    </row>
    <row r="14" spans="1:39" ht="12.75" customHeight="1" thickBot="1">
      <c r="A14" s="3459"/>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60"/>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57"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5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3"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4"/>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4"/>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5"/>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1" t="s">
        <v>1634</v>
      </c>
      <c r="B90" s="3461"/>
      <c r="C90" s="3461"/>
      <c r="D90" s="3461"/>
      <c r="E90" s="3461"/>
      <c r="F90" s="3461"/>
      <c r="G90" s="3461"/>
      <c r="H90" s="3461"/>
      <c r="I90" s="3461"/>
      <c r="J90" s="3461"/>
      <c r="K90" s="2476"/>
      <c r="L90" s="2476"/>
      <c r="M90" s="2476"/>
      <c r="N90" s="2476"/>
    </row>
    <row r="91" spans="1:40">
      <c r="A91" s="3462" t="s">
        <v>1444</v>
      </c>
      <c r="B91" s="3462" t="s">
        <v>1635</v>
      </c>
      <c r="C91" s="1140" t="s">
        <v>1636</v>
      </c>
      <c r="D91" s="1141"/>
      <c r="E91" s="1141"/>
      <c r="F91" s="1141"/>
      <c r="G91" s="1141"/>
      <c r="H91" s="1141"/>
      <c r="I91" s="1141"/>
      <c r="J91" s="1142"/>
      <c r="K91" s="1134"/>
      <c r="L91" s="1134"/>
      <c r="M91" s="1134"/>
      <c r="N91" s="1134"/>
    </row>
    <row r="92" spans="1:40">
      <c r="A92" s="3462"/>
      <c r="B92" s="3462"/>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69"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9" t="s">
        <v>1638</v>
      </c>
      <c r="B101" s="1147" t="s">
        <v>906</v>
      </c>
      <c r="C101" s="1148">
        <f>$G$3</f>
        <v>3.84</v>
      </c>
      <c r="D101" s="1148">
        <f t="shared" ref="D101:N101" si="31">$G$3</f>
        <v>3.84</v>
      </c>
      <c r="E101" s="1148">
        <f t="shared" si="31"/>
        <v>3.84</v>
      </c>
      <c r="F101" s="1148">
        <f t="shared" si="31"/>
        <v>3.84</v>
      </c>
      <c r="G101" s="1148">
        <f t="shared" si="31"/>
        <v>3.84</v>
      </c>
      <c r="H101" s="1148">
        <f t="shared" si="31"/>
        <v>3.84</v>
      </c>
      <c r="I101" s="1148">
        <f t="shared" si="31"/>
        <v>3.84</v>
      </c>
      <c r="J101" s="1148">
        <f t="shared" si="31"/>
        <v>3.84</v>
      </c>
      <c r="K101" s="1148">
        <f t="shared" si="31"/>
        <v>3.84</v>
      </c>
      <c r="L101" s="1148">
        <f t="shared" si="31"/>
        <v>3.84</v>
      </c>
      <c r="M101" s="1148">
        <f t="shared" si="31"/>
        <v>3.84</v>
      </c>
      <c r="N101" s="1148">
        <f t="shared" si="31"/>
        <v>3.84</v>
      </c>
    </row>
    <row r="102" spans="1:14">
      <c r="A102" s="3470"/>
      <c r="B102" s="1143">
        <v>1</v>
      </c>
      <c r="C102" s="1144">
        <f>1.9362/C101</f>
        <v>0.50421875000000005</v>
      </c>
      <c r="D102" s="1144">
        <f>1.9362/D101</f>
        <v>0.50421875000000005</v>
      </c>
      <c r="E102" s="1144">
        <f>1.8629/E101</f>
        <v>0.48513020833333337</v>
      </c>
      <c r="F102" s="1144">
        <f>1.8629/F101</f>
        <v>0.48513020833333337</v>
      </c>
      <c r="G102" s="1144">
        <f>1.8629/G101</f>
        <v>0.48513020833333337</v>
      </c>
      <c r="H102" s="1144">
        <f>1.8629/H101</f>
        <v>0.48513020833333337</v>
      </c>
      <c r="I102" s="1144">
        <f>1.8629/I101</f>
        <v>0.48513020833333337</v>
      </c>
      <c r="J102" s="1144">
        <f>1.942/J101</f>
        <v>0.50572916666666667</v>
      </c>
      <c r="K102" s="1144">
        <f>1.942/K101</f>
        <v>0.50572916666666667</v>
      </c>
      <c r="L102" s="1144">
        <f>1.942/L101</f>
        <v>0.50572916666666667</v>
      </c>
      <c r="M102" s="1144">
        <f>1.942/M101</f>
        <v>0.50572916666666667</v>
      </c>
      <c r="N102" s="1144">
        <f>1.942/N101</f>
        <v>0.50572916666666667</v>
      </c>
    </row>
    <row r="103" spans="1:14">
      <c r="A103" s="3470"/>
      <c r="B103" s="1143">
        <v>2</v>
      </c>
      <c r="C103" s="1144">
        <f>1.4198/C101</f>
        <v>0.36973958333333334</v>
      </c>
      <c r="D103" s="1144">
        <f>1.4198/D101</f>
        <v>0.36973958333333334</v>
      </c>
      <c r="E103" s="1144">
        <f>1.3372/E101</f>
        <v>0.34822916666666665</v>
      </c>
      <c r="F103" s="1144">
        <f>1.3372/F101</f>
        <v>0.34822916666666665</v>
      </c>
      <c r="G103" s="1144">
        <f>1.3372/G101</f>
        <v>0.34822916666666665</v>
      </c>
      <c r="H103" s="1144">
        <f>1.3372/H101</f>
        <v>0.34822916666666665</v>
      </c>
      <c r="I103" s="1144">
        <f>1.3372/I101</f>
        <v>0.34822916666666665</v>
      </c>
      <c r="J103" s="1144">
        <f>1.2799/J101</f>
        <v>0.33330729166666667</v>
      </c>
      <c r="K103" s="1144">
        <f>1.2799/K101</f>
        <v>0.33330729166666667</v>
      </c>
      <c r="L103" s="1144">
        <f>1.2799/L101</f>
        <v>0.33330729166666667</v>
      </c>
      <c r="M103" s="1144">
        <f>1.2799/M101</f>
        <v>0.33330729166666667</v>
      </c>
      <c r="N103" s="1144">
        <f>1.2799/N101</f>
        <v>0.33330729166666667</v>
      </c>
    </row>
    <row r="104" spans="1:14">
      <c r="A104" s="3470"/>
      <c r="B104" s="1143">
        <v>3</v>
      </c>
      <c r="C104" s="1144">
        <f>1.1594/C101</f>
        <v>0.30192708333333335</v>
      </c>
      <c r="D104" s="1144">
        <f>1.1594/D101</f>
        <v>0.30192708333333335</v>
      </c>
      <c r="E104" s="1144">
        <f>1.0788/E101</f>
        <v>0.28093750000000001</v>
      </c>
      <c r="F104" s="1144">
        <f>1.0788/F101</f>
        <v>0.28093750000000001</v>
      </c>
      <c r="G104" s="1144">
        <f>1.0788/G101</f>
        <v>0.28093750000000001</v>
      </c>
      <c r="H104" s="1144">
        <f>1.0788/H101</f>
        <v>0.28093750000000001</v>
      </c>
      <c r="I104" s="1144">
        <f>1.0788/I101</f>
        <v>0.28093750000000001</v>
      </c>
      <c r="J104" s="1144">
        <f>1.0072/J101</f>
        <v>0.2622916666666667</v>
      </c>
      <c r="K104" s="1144">
        <f>1.0072/K101</f>
        <v>0.2622916666666667</v>
      </c>
      <c r="L104" s="1144">
        <f>1.0072/L101</f>
        <v>0.2622916666666667</v>
      </c>
      <c r="M104" s="1144">
        <f>1.0072/M101</f>
        <v>0.2622916666666667</v>
      </c>
      <c r="N104" s="1144">
        <f>1.0072/N101</f>
        <v>0.2622916666666667</v>
      </c>
    </row>
    <row r="105" spans="1:14">
      <c r="A105" s="3470"/>
      <c r="B105" s="1143">
        <v>4</v>
      </c>
      <c r="C105" s="1144">
        <f>0.9622/C101</f>
        <v>0.2505729166666667</v>
      </c>
      <c r="D105" s="1144">
        <f>0.9622/D101</f>
        <v>0.2505729166666667</v>
      </c>
      <c r="E105" s="1144">
        <f>0.8656/E101</f>
        <v>0.22541666666666668</v>
      </c>
      <c r="F105" s="1144">
        <f>0.8656/F101</f>
        <v>0.22541666666666668</v>
      </c>
      <c r="G105" s="1144">
        <f>0.8656/G101</f>
        <v>0.22541666666666668</v>
      </c>
      <c r="H105" s="1144">
        <f>0.8656/H101</f>
        <v>0.22541666666666668</v>
      </c>
      <c r="I105" s="1144">
        <f>0.8656/I101</f>
        <v>0.22541666666666668</v>
      </c>
      <c r="J105" s="1144">
        <f>0.7525/J101</f>
        <v>0.19596354166666666</v>
      </c>
      <c r="K105" s="1144">
        <f>0.7525/K101</f>
        <v>0.19596354166666666</v>
      </c>
      <c r="L105" s="1144">
        <f>0.7525/L101</f>
        <v>0.19596354166666666</v>
      </c>
      <c r="M105" s="1144">
        <f>0.7525/M101</f>
        <v>0.19596354166666666</v>
      </c>
      <c r="N105" s="1144">
        <f>0.7525/N101</f>
        <v>0.19596354166666666</v>
      </c>
    </row>
    <row r="106" spans="1:14">
      <c r="A106" s="3470"/>
      <c r="B106" s="1143">
        <v>5</v>
      </c>
      <c r="C106" s="1144">
        <f>0.8417/C101</f>
        <v>0.21919270833333335</v>
      </c>
      <c r="D106" s="1144">
        <f>0.8417/D101</f>
        <v>0.21919270833333335</v>
      </c>
      <c r="E106" s="1144">
        <f>0.7371/E101</f>
        <v>0.191953125</v>
      </c>
      <c r="F106" s="1144">
        <f>0.7371/F101</f>
        <v>0.191953125</v>
      </c>
      <c r="G106" s="1144">
        <f>0.7371/G101</f>
        <v>0.191953125</v>
      </c>
      <c r="H106" s="1144">
        <f>0.7371/H101</f>
        <v>0.191953125</v>
      </c>
      <c r="I106" s="1144">
        <f>0.7371/I101</f>
        <v>0.191953125</v>
      </c>
      <c r="J106" s="1144">
        <f>0.5659/J101</f>
        <v>0.14736979166666667</v>
      </c>
      <c r="K106" s="1144">
        <f>0.5659/K101</f>
        <v>0.14736979166666667</v>
      </c>
      <c r="L106" s="1144">
        <f>0.5659/L101</f>
        <v>0.14736979166666667</v>
      </c>
      <c r="M106" s="1144">
        <f>0.5659/M101</f>
        <v>0.14736979166666667</v>
      </c>
      <c r="N106" s="1144">
        <f>0.5659/N101</f>
        <v>0.14736979166666667</v>
      </c>
    </row>
    <row r="107" spans="1:14">
      <c r="A107" s="3470"/>
      <c r="B107" s="1143">
        <v>6</v>
      </c>
      <c r="C107" s="1144">
        <f>0.7608/C101</f>
        <v>0.19812500000000002</v>
      </c>
      <c r="D107" s="1144">
        <f>0.7608/D101</f>
        <v>0.19812500000000002</v>
      </c>
      <c r="E107" s="1144">
        <f>0.6482/E101</f>
        <v>0.16880208333333335</v>
      </c>
      <c r="F107" s="1144">
        <f>0.6482/F101</f>
        <v>0.16880208333333335</v>
      </c>
      <c r="G107" s="1144">
        <f>0.6482/G101</f>
        <v>0.16880208333333335</v>
      </c>
      <c r="H107" s="1144">
        <f>0.6482/H101</f>
        <v>0.16880208333333335</v>
      </c>
      <c r="I107" s="1144">
        <f>0.6482/I101</f>
        <v>0.16880208333333335</v>
      </c>
      <c r="J107" s="1144">
        <f>0.4525/J101</f>
        <v>0.11783854166666667</v>
      </c>
      <c r="K107" s="1144">
        <f>0.4525/K101</f>
        <v>0.11783854166666667</v>
      </c>
      <c r="L107" s="1144">
        <f>0.4525/L101</f>
        <v>0.11783854166666667</v>
      </c>
      <c r="M107" s="1144">
        <f>0.4525/M101</f>
        <v>0.11783854166666667</v>
      </c>
      <c r="N107" s="1144">
        <f>0.4525/N101</f>
        <v>0.11783854166666667</v>
      </c>
    </row>
    <row r="108" spans="1:14">
      <c r="A108" s="3470"/>
      <c r="B108" s="347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1"/>
      <c r="B109" s="3473"/>
      <c r="C109" s="1146">
        <f>(-0.163*(C108^2)-0.59*C108+7617)*(10^(-4))/C101</f>
        <v>0.19796479166666667</v>
      </c>
      <c r="D109" s="1146">
        <f>(-0.163*(D108^2)-0.59*D108+7617)*(10^(-4))/D101</f>
        <v>0.19796479166666667</v>
      </c>
      <c r="E109" s="1146">
        <f>(-0.161*(E108^2)-7.509*E108+6533)*(10^(-4))/E101</f>
        <v>0.16829750000000002</v>
      </c>
      <c r="F109" s="1146">
        <f>(-0.161*(F108^2)-7.509*F108+6533)*(10^(-4))/F101</f>
        <v>0.16829750000000002</v>
      </c>
      <c r="G109" s="1146">
        <f>(-0.161*(G108^2)-7.509*G108+6533)*(10^(-4))/G101</f>
        <v>0.16829750000000002</v>
      </c>
      <c r="H109" s="1146">
        <f>(-0.161*(H108^2)-7.509*H108+6533)*(10^(-4))/H101</f>
        <v>0.16829750000000002</v>
      </c>
      <c r="I109" s="1146">
        <f>(-0.161*(I108^2)-7.509*I108+6533)*(10^(-4))/I101</f>
        <v>0.16829750000000002</v>
      </c>
      <c r="J109" s="1146">
        <f>(-0.214*(J108^2)-21.991*J108+4665)*(10^(-4))/J101</f>
        <v>0.11654625000000002</v>
      </c>
      <c r="K109" s="1146">
        <f>(-0.214*(K108^2)-21.991*K108+4665)*(10^(-4))/K101</f>
        <v>0.11654625000000002</v>
      </c>
      <c r="L109" s="1146">
        <f>(-0.214*(L108^2)-21.991*L108+4665)*(10^(-4))/L101</f>
        <v>0.11654625000000002</v>
      </c>
      <c r="M109" s="1146">
        <f>(-0.214*(M108^2)-21.991*M108+4665)*(10^(-4))/M101</f>
        <v>0.11654625000000002</v>
      </c>
      <c r="N109" s="1146">
        <f>(-0.214*(N108^2)-21.991*N108+4665)*(10^(-4))/N101</f>
        <v>0.11654625000000002</v>
      </c>
    </row>
    <row r="110" spans="1:14">
      <c r="A110" s="3456" t="s">
        <v>1640</v>
      </c>
      <c r="B110" s="3456"/>
      <c r="C110" s="3456"/>
      <c r="D110" s="3456"/>
      <c r="E110" s="3456"/>
      <c r="F110" s="3456"/>
      <c r="G110" s="3456"/>
      <c r="H110" s="3456"/>
      <c r="I110" s="3456"/>
      <c r="J110" s="3456"/>
      <c r="K110" s="2474"/>
      <c r="L110" s="2474"/>
      <c r="M110" s="2474"/>
      <c r="N110" s="2474"/>
    </row>
    <row r="112" spans="1:14" ht="12.75" thickBot="1"/>
    <row r="113" spans="1:13" ht="25.5" thickBot="1">
      <c r="A113" s="1016" t="s">
        <v>896</v>
      </c>
      <c r="B113" s="2477">
        <f>G3</f>
        <v>3.84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0.89739999999999998</v>
      </c>
      <c r="C115" s="1030">
        <f>B115</f>
        <v>0.89739999999999998</v>
      </c>
      <c r="D115" s="1030">
        <f>ROUND(0.8331-0.0109*B113,4)</f>
        <v>0.79120000000000001</v>
      </c>
      <c r="E115" s="1030">
        <f>D115</f>
        <v>0.79120000000000001</v>
      </c>
      <c r="F115" s="1030">
        <f>E115</f>
        <v>0.79120000000000001</v>
      </c>
      <c r="G115" s="1030">
        <f>F115</f>
        <v>0.79120000000000001</v>
      </c>
      <c r="H115" s="1030">
        <f>G115</f>
        <v>0.79120000000000001</v>
      </c>
      <c r="I115" s="1030">
        <f>ROUND(0.689-0.0155*B113,4)</f>
        <v>0.62949999999999995</v>
      </c>
      <c r="J115" s="1030">
        <f t="shared" ref="J115:M118" si="33">I115</f>
        <v>0.62949999999999995</v>
      </c>
      <c r="K115" s="1030">
        <f t="shared" si="33"/>
        <v>0.62949999999999995</v>
      </c>
      <c r="L115" s="1030">
        <f t="shared" si="33"/>
        <v>0.62949999999999995</v>
      </c>
      <c r="M115" s="1031">
        <f t="shared" si="33"/>
        <v>0.62949999999999995</v>
      </c>
    </row>
    <row r="116" spans="1:13" ht="12.75">
      <c r="A116" s="1029" t="s">
        <v>901</v>
      </c>
      <c r="B116" s="1030">
        <f>ROUND(0.949-0.012*B113,4)</f>
        <v>0.90290000000000004</v>
      </c>
      <c r="C116" s="1030">
        <f>B116</f>
        <v>0.90290000000000004</v>
      </c>
      <c r="D116" s="1030">
        <f>ROUND(0.8567-0.013*B113,4)</f>
        <v>0.80679999999999996</v>
      </c>
      <c r="E116" s="1030">
        <f t="shared" ref="E116:H117" si="34">D116</f>
        <v>0.80679999999999996</v>
      </c>
      <c r="F116" s="1030">
        <f t="shared" si="34"/>
        <v>0.80679999999999996</v>
      </c>
      <c r="G116" s="1030">
        <f t="shared" si="34"/>
        <v>0.80679999999999996</v>
      </c>
      <c r="H116" s="1030">
        <f t="shared" si="34"/>
        <v>0.80679999999999996</v>
      </c>
      <c r="I116" s="1030">
        <f>ROUND(0.7694-0.014*B113,4)</f>
        <v>0.71560000000000001</v>
      </c>
      <c r="J116" s="1030">
        <f t="shared" si="33"/>
        <v>0.71560000000000001</v>
      </c>
      <c r="K116" s="1030">
        <f t="shared" si="33"/>
        <v>0.71560000000000001</v>
      </c>
      <c r="L116" s="1030">
        <f t="shared" si="33"/>
        <v>0.71560000000000001</v>
      </c>
      <c r="M116" s="1031">
        <f t="shared" si="33"/>
        <v>0.71560000000000001</v>
      </c>
    </row>
    <row r="117" spans="1:13" ht="12.75">
      <c r="A117" s="1032" t="s">
        <v>902</v>
      </c>
      <c r="B117" s="1030">
        <f>ROUND(0.8808-0.006*B113,4)</f>
        <v>0.85780000000000001</v>
      </c>
      <c r="C117" s="1030">
        <f>B117</f>
        <v>0.85780000000000001</v>
      </c>
      <c r="D117" s="1030">
        <f>ROUND(0.8748-0.008*B113,4)</f>
        <v>0.84409999999999996</v>
      </c>
      <c r="E117" s="1030">
        <f t="shared" si="34"/>
        <v>0.84409999999999996</v>
      </c>
      <c r="F117" s="1030">
        <f t="shared" si="34"/>
        <v>0.84409999999999996</v>
      </c>
      <c r="G117" s="1030">
        <f t="shared" si="34"/>
        <v>0.84409999999999996</v>
      </c>
      <c r="H117" s="1030">
        <f t="shared" si="34"/>
        <v>0.84409999999999996</v>
      </c>
      <c r="I117" s="1030">
        <f>ROUND(0.7412-0.0095*B113,4)</f>
        <v>0.70469999999999999</v>
      </c>
      <c r="J117" s="1030">
        <f t="shared" si="33"/>
        <v>0.70469999999999999</v>
      </c>
      <c r="K117" s="1030">
        <f t="shared" si="33"/>
        <v>0.70469999999999999</v>
      </c>
      <c r="L117" s="1030">
        <f t="shared" si="33"/>
        <v>0.70469999999999999</v>
      </c>
      <c r="M117" s="1031">
        <f t="shared" si="33"/>
        <v>0.70469999999999999</v>
      </c>
    </row>
    <row r="118" spans="1:13" ht="13.5" thickBot="1">
      <c r="A118" s="1033" t="s">
        <v>903</v>
      </c>
      <c r="B118" s="1034">
        <f>ROUND(0.7275-0.01*B113,4)</f>
        <v>0.68910000000000005</v>
      </c>
      <c r="C118" s="1034">
        <f>B118</f>
        <v>0.68910000000000005</v>
      </c>
      <c r="D118" s="1034">
        <f>ROUND(0.7043-0.012*B113,4)</f>
        <v>0.65820000000000001</v>
      </c>
      <c r="E118" s="1034">
        <f>D118</f>
        <v>0.65820000000000001</v>
      </c>
      <c r="F118" s="1034">
        <f>E118</f>
        <v>0.65820000000000001</v>
      </c>
      <c r="G118" s="1034">
        <f>ROUND(0.6299-0.0122*B113,4)</f>
        <v>0.58309999999999995</v>
      </c>
      <c r="H118" s="1034">
        <f>G118</f>
        <v>0.58309999999999995</v>
      </c>
      <c r="I118" s="1034">
        <f>ROUND(0.5667-0.0136*B113,4)</f>
        <v>0.51449999999999996</v>
      </c>
      <c r="J118" s="1034">
        <f t="shared" si="33"/>
        <v>0.51449999999999996</v>
      </c>
      <c r="K118" s="1034">
        <f t="shared" si="33"/>
        <v>0.51449999999999996</v>
      </c>
      <c r="L118" s="1034">
        <f t="shared" si="33"/>
        <v>0.51449999999999996</v>
      </c>
      <c r="M118" s="1035">
        <f t="shared" si="33"/>
        <v>0.51449999999999996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2" t="s">
        <v>1008</v>
      </c>
      <c r="B18" s="1154" t="s">
        <v>1447</v>
      </c>
      <c r="C18" s="1131" t="s">
        <v>1448</v>
      </c>
      <c r="D18" s="1132"/>
      <c r="E18" s="1154">
        <v>1</v>
      </c>
      <c r="F18" s="1133" t="s">
        <v>1449</v>
      </c>
      <c r="G18" s="1134"/>
      <c r="H18" s="1105"/>
      <c r="I18" s="1105"/>
    </row>
    <row r="19" spans="1:9" s="1600" customFormat="1" ht="19.5" customHeight="1">
      <c r="A19" s="3462"/>
      <c r="B19" s="3462" t="s">
        <v>1450</v>
      </c>
      <c r="C19" s="1131" t="s">
        <v>1451</v>
      </c>
      <c r="D19" s="1132"/>
      <c r="E19" s="1154">
        <v>0.9</v>
      </c>
      <c r="F19" s="1133" t="s">
        <v>1452</v>
      </c>
      <c r="G19" s="1134"/>
      <c r="H19" s="1105"/>
      <c r="I19" s="1105"/>
    </row>
    <row r="20" spans="1:9" s="1600" customFormat="1" ht="19.5" customHeight="1">
      <c r="A20" s="3462"/>
      <c r="B20" s="3462"/>
      <c r="C20" s="1131" t="s">
        <v>1453</v>
      </c>
      <c r="D20" s="1132"/>
      <c r="E20" s="1154">
        <v>1.1000000000000001</v>
      </c>
      <c r="F20" s="1133" t="s">
        <v>1454</v>
      </c>
      <c r="G20" s="1134"/>
      <c r="H20" s="1105"/>
      <c r="I20" s="1105"/>
    </row>
    <row r="21" spans="1:9" s="1600" customFormat="1" ht="19.5" customHeight="1">
      <c r="A21" s="3462"/>
      <c r="B21" s="3462"/>
      <c r="C21" s="1131" t="s">
        <v>1455</v>
      </c>
      <c r="D21" s="1132"/>
      <c r="E21" s="1154">
        <v>0.8</v>
      </c>
      <c r="F21" s="1133" t="s">
        <v>1456</v>
      </c>
      <c r="G21" s="1134"/>
      <c r="H21" s="1105"/>
      <c r="I21" s="1105"/>
    </row>
    <row r="22" spans="1:9" s="1600" customFormat="1" ht="19.5" customHeight="1">
      <c r="A22" s="3462"/>
      <c r="B22" s="3462"/>
      <c r="C22" s="1131" t="s">
        <v>1457</v>
      </c>
      <c r="D22" s="1132"/>
      <c r="E22" s="1154">
        <v>0.5</v>
      </c>
      <c r="F22" s="1133"/>
      <c r="G22" s="1134"/>
      <c r="H22" s="1105"/>
      <c r="I22" s="1105"/>
    </row>
    <row r="23" spans="1:9" s="1600" customFormat="1" ht="19.5" customHeight="1">
      <c r="A23" s="3462" t="s">
        <v>1030</v>
      </c>
      <c r="B23" s="1154" t="s">
        <v>1447</v>
      </c>
      <c r="C23" s="1131" t="s">
        <v>1458</v>
      </c>
      <c r="D23" s="1132"/>
      <c r="E23" s="1154">
        <v>1</v>
      </c>
      <c r="F23" s="1133" t="s">
        <v>1459</v>
      </c>
      <c r="G23" s="1134"/>
      <c r="H23" s="1105"/>
      <c r="I23" s="1105"/>
    </row>
    <row r="24" spans="1:9" s="1600" customFormat="1" ht="19.5" customHeight="1">
      <c r="A24" s="3462"/>
      <c r="B24" s="3462" t="s">
        <v>1450</v>
      </c>
      <c r="C24" s="1131" t="s">
        <v>1460</v>
      </c>
      <c r="D24" s="1132"/>
      <c r="E24" s="1154">
        <v>0.5</v>
      </c>
      <c r="F24" s="1133"/>
      <c r="G24" s="1134"/>
      <c r="H24" s="1105"/>
      <c r="I24" s="1105"/>
    </row>
    <row r="25" spans="1:9" s="1600" customFormat="1" ht="19.5" customHeight="1">
      <c r="A25" s="3462"/>
      <c r="B25" s="3462"/>
      <c r="C25" s="1131" t="s">
        <v>1461</v>
      </c>
      <c r="D25" s="1132"/>
      <c r="E25" s="1154">
        <v>1.1000000000000001</v>
      </c>
      <c r="F25" s="1133"/>
      <c r="G25" s="1134"/>
      <c r="H25" s="1105"/>
      <c r="I25" s="1105"/>
    </row>
    <row r="26" spans="1:9" s="1600" customFormat="1" ht="19.5" customHeight="1">
      <c r="A26" s="3462"/>
      <c r="B26" s="3462"/>
      <c r="C26" s="1131" t="s">
        <v>1462</v>
      </c>
      <c r="D26" s="1132"/>
      <c r="E26" s="1154">
        <v>1.1000000000000001</v>
      </c>
      <c r="F26" s="1133"/>
      <c r="G26" s="1134"/>
      <c r="H26" s="1105"/>
      <c r="I26" s="1105"/>
    </row>
    <row r="27" spans="1:9" s="1600" customFormat="1" ht="19.5" customHeight="1">
      <c r="A27" s="3462"/>
      <c r="B27" s="3462"/>
      <c r="C27" s="1131" t="s">
        <v>1463</v>
      </c>
      <c r="D27" s="1132"/>
      <c r="E27" s="1154">
        <v>0.9</v>
      </c>
      <c r="F27" s="1133" t="s">
        <v>1464</v>
      </c>
      <c r="G27" s="1134"/>
      <c r="H27" s="1105"/>
      <c r="I27" s="1105"/>
    </row>
    <row r="28" spans="1:9" s="1600" customFormat="1" ht="19.5" customHeight="1">
      <c r="A28" s="3462"/>
      <c r="B28" s="3462"/>
      <c r="C28" s="1131" t="s">
        <v>1465</v>
      </c>
      <c r="D28" s="1132"/>
      <c r="E28" s="1154">
        <v>0.9</v>
      </c>
      <c r="F28" s="1133" t="s">
        <v>1466</v>
      </c>
      <c r="G28" s="1134"/>
      <c r="H28" s="1105"/>
      <c r="I28" s="1105"/>
    </row>
    <row r="29" spans="1:9" s="1600" customFormat="1" ht="19.5" customHeight="1">
      <c r="A29" s="3462"/>
      <c r="B29" s="3462"/>
      <c r="C29" s="1131" t="s">
        <v>1467</v>
      </c>
      <c r="D29" s="1132"/>
      <c r="E29" s="1154">
        <v>0.9</v>
      </c>
      <c r="F29" s="1133" t="s">
        <v>1468</v>
      </c>
      <c r="G29" s="1134"/>
      <c r="H29" s="1105"/>
      <c r="I29" s="1105"/>
    </row>
    <row r="30" spans="1:9" s="1600" customFormat="1" ht="19.5" customHeight="1">
      <c r="A30" s="3462"/>
      <c r="B30" s="3462"/>
      <c r="C30" s="1131" t="s">
        <v>1469</v>
      </c>
      <c r="D30" s="1132"/>
      <c r="E30" s="1154">
        <v>0.9</v>
      </c>
      <c r="F30" s="1133" t="s">
        <v>1470</v>
      </c>
      <c r="G30" s="1134"/>
      <c r="H30" s="1105"/>
      <c r="I30" s="1105"/>
    </row>
    <row r="31" spans="1:9" s="1600" customFormat="1" ht="19.5" customHeight="1">
      <c r="A31" s="3462"/>
      <c r="B31" s="3462"/>
      <c r="C31" s="1131" t="s">
        <v>1471</v>
      </c>
      <c r="D31" s="1132"/>
      <c r="E31" s="1154">
        <v>0.8</v>
      </c>
      <c r="F31" s="1133" t="s">
        <v>1472</v>
      </c>
      <c r="G31" s="1134"/>
      <c r="H31" s="1105"/>
      <c r="I31" s="1105"/>
    </row>
    <row r="32" spans="1:9" s="1600" customFormat="1" ht="19.5" customHeight="1">
      <c r="A32" s="3462"/>
      <c r="B32" s="3462"/>
      <c r="C32" s="1131" t="s">
        <v>1473</v>
      </c>
      <c r="D32" s="1132"/>
      <c r="E32" s="1154">
        <v>0.8</v>
      </c>
      <c r="F32" s="1133" t="s">
        <v>1474</v>
      </c>
      <c r="G32" s="1134"/>
      <c r="H32" s="1105"/>
      <c r="I32" s="1105"/>
    </row>
    <row r="33" spans="1:9" s="1600" customFormat="1" ht="19.5" customHeight="1">
      <c r="A33" s="3462" t="s">
        <v>1475</v>
      </c>
      <c r="B33" s="1154" t="s">
        <v>1447</v>
      </c>
      <c r="C33" s="1131" t="s">
        <v>1476</v>
      </c>
      <c r="D33" s="1132"/>
      <c r="E33" s="1154">
        <v>1</v>
      </c>
      <c r="F33" s="1133" t="s">
        <v>1477</v>
      </c>
      <c r="G33" s="1134"/>
      <c r="H33" s="1105"/>
      <c r="I33" s="1105"/>
    </row>
    <row r="34" spans="1:9" s="1600" customFormat="1" ht="19.5" customHeight="1">
      <c r="A34" s="3462"/>
      <c r="B34" s="1154" t="s">
        <v>1450</v>
      </c>
      <c r="C34" s="1131" t="s">
        <v>1478</v>
      </c>
      <c r="D34" s="1132"/>
      <c r="E34" s="1154">
        <v>1.5</v>
      </c>
      <c r="F34" s="1133" t="s">
        <v>1479</v>
      </c>
      <c r="G34" s="1134"/>
      <c r="H34" s="1105"/>
      <c r="I34" s="1105"/>
    </row>
    <row r="35" spans="1:9" s="1600" customFormat="1" ht="19.5" customHeight="1">
      <c r="A35" s="3462" t="s">
        <v>1433</v>
      </c>
      <c r="B35" s="1154" t="s">
        <v>1447</v>
      </c>
      <c r="C35" s="1131" t="s">
        <v>1480</v>
      </c>
      <c r="D35" s="1132"/>
      <c r="E35" s="1154">
        <v>1</v>
      </c>
      <c r="F35" s="1133" t="s">
        <v>1481</v>
      </c>
      <c r="G35" s="1134"/>
      <c r="H35" s="1105"/>
      <c r="I35" s="1105"/>
    </row>
    <row r="36" spans="1:9" s="1600" customFormat="1" ht="19.5" customHeight="1">
      <c r="A36" s="3462"/>
      <c r="B36" s="3462" t="s">
        <v>1450</v>
      </c>
      <c r="C36" s="1131" t="s">
        <v>1482</v>
      </c>
      <c r="D36" s="1132"/>
      <c r="E36" s="1154">
        <v>1</v>
      </c>
      <c r="F36" s="1133" t="s">
        <v>1483</v>
      </c>
      <c r="G36" s="1134"/>
      <c r="H36" s="1105"/>
      <c r="I36" s="1105"/>
    </row>
    <row r="37" spans="1:9" s="1600" customFormat="1" ht="19.5" customHeight="1">
      <c r="A37" s="3462"/>
      <c r="B37" s="3462"/>
      <c r="C37" s="1131" t="s">
        <v>1484</v>
      </c>
      <c r="D37" s="1132"/>
      <c r="E37" s="1154">
        <v>1.5</v>
      </c>
      <c r="F37" s="1133" t="s">
        <v>1485</v>
      </c>
      <c r="G37" s="1134"/>
      <c r="H37" s="1105"/>
      <c r="I37" s="1105"/>
    </row>
    <row r="38" spans="1:9" s="1600" customFormat="1" ht="19.5" customHeight="1">
      <c r="A38" s="3462"/>
      <c r="B38" s="3462"/>
      <c r="C38" s="1131" t="s">
        <v>1486</v>
      </c>
      <c r="D38" s="1132"/>
      <c r="E38" s="1154">
        <v>1</v>
      </c>
      <c r="F38" s="1133" t="s">
        <v>1487</v>
      </c>
      <c r="G38" s="1134"/>
      <c r="H38" s="1105"/>
      <c r="I38" s="1105"/>
    </row>
    <row r="39" spans="1:9" s="1600" customFormat="1" ht="19.5" customHeight="1">
      <c r="A39" s="3462"/>
      <c r="B39" s="346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2" t="s">
        <v>1502</v>
      </c>
      <c r="C61" s="1068" t="s">
        <v>1503</v>
      </c>
      <c r="D61" s="1068" t="s">
        <v>1504</v>
      </c>
      <c r="E61" s="1139">
        <v>0.5</v>
      </c>
      <c r="F61" s="1154">
        <v>80</v>
      </c>
      <c r="H61" s="1105">
        <f>SUMIF(C59:C119,基准地价!C8,E59:E119)</f>
        <v>0</v>
      </c>
    </row>
    <row r="62" spans="1:8" s="1105" customFormat="1" ht="24">
      <c r="A62" s="1154">
        <v>2</v>
      </c>
      <c r="B62" s="3462"/>
      <c r="C62" s="1068" t="s">
        <v>1505</v>
      </c>
      <c r="D62" s="1068" t="s">
        <v>1506</v>
      </c>
      <c r="E62" s="1139">
        <v>0.5</v>
      </c>
      <c r="F62" s="1154">
        <v>80</v>
      </c>
    </row>
    <row r="63" spans="1:8" s="1105" customFormat="1" ht="36">
      <c r="A63" s="1154">
        <v>3</v>
      </c>
      <c r="B63" s="3462"/>
      <c r="C63" s="1068" t="s">
        <v>1507</v>
      </c>
      <c r="D63" s="1068" t="s">
        <v>1508</v>
      </c>
      <c r="E63" s="1139">
        <v>0.5</v>
      </c>
      <c r="F63" s="1154">
        <v>80</v>
      </c>
    </row>
    <row r="64" spans="1:8" s="1105" customFormat="1" ht="36">
      <c r="A64" s="1154">
        <v>4</v>
      </c>
      <c r="B64" s="3462"/>
      <c r="C64" s="1068" t="s">
        <v>1509</v>
      </c>
      <c r="D64" s="1068" t="s">
        <v>1510</v>
      </c>
      <c r="E64" s="1139">
        <v>0.4</v>
      </c>
      <c r="F64" s="1154">
        <v>60</v>
      </c>
    </row>
    <row r="65" spans="1:6" s="1105" customFormat="1" ht="36">
      <c r="A65" s="1154">
        <v>5</v>
      </c>
      <c r="B65" s="3462"/>
      <c r="C65" s="1068" t="s">
        <v>1511</v>
      </c>
      <c r="D65" s="1068" t="s">
        <v>1512</v>
      </c>
      <c r="E65" s="1139">
        <v>0.2</v>
      </c>
      <c r="F65" s="1154">
        <v>30</v>
      </c>
    </row>
    <row r="66" spans="1:6" s="1105" customFormat="1" ht="36">
      <c r="A66" s="1154">
        <v>6</v>
      </c>
      <c r="B66" s="3462"/>
      <c r="C66" s="1068" t="s">
        <v>1513</v>
      </c>
      <c r="D66" s="1068" t="s">
        <v>1514</v>
      </c>
      <c r="E66" s="1139">
        <v>0.3</v>
      </c>
      <c r="F66" s="1154">
        <v>50</v>
      </c>
    </row>
    <row r="67" spans="1:6" s="1105" customFormat="1" ht="36">
      <c r="A67" s="1154">
        <v>7</v>
      </c>
      <c r="B67" s="3462"/>
      <c r="C67" s="1068" t="s">
        <v>1515</v>
      </c>
      <c r="D67" s="1068" t="s">
        <v>1516</v>
      </c>
      <c r="E67" s="1139">
        <v>0.2</v>
      </c>
      <c r="F67" s="1154">
        <v>30</v>
      </c>
    </row>
    <row r="68" spans="1:6" s="1105" customFormat="1" ht="36">
      <c r="A68" s="1154">
        <v>8</v>
      </c>
      <c r="B68" s="3462"/>
      <c r="C68" s="1068" t="s">
        <v>1517</v>
      </c>
      <c r="D68" s="1068" t="s">
        <v>1518</v>
      </c>
      <c r="E68" s="1139">
        <v>0.2</v>
      </c>
      <c r="F68" s="1154">
        <v>30</v>
      </c>
    </row>
    <row r="69" spans="1:6" s="1105" customFormat="1" ht="36">
      <c r="A69" s="1154">
        <v>9</v>
      </c>
      <c r="B69" s="3462"/>
      <c r="C69" s="1068" t="s">
        <v>1519</v>
      </c>
      <c r="D69" s="1068" t="s">
        <v>1520</v>
      </c>
      <c r="E69" s="1139">
        <v>0.2</v>
      </c>
      <c r="F69" s="1154">
        <v>30</v>
      </c>
    </row>
    <row r="70" spans="1:6" s="1105" customFormat="1" ht="48">
      <c r="A70" s="1154">
        <v>10</v>
      </c>
      <c r="B70" s="3462"/>
      <c r="C70" s="1068" t="s">
        <v>1521</v>
      </c>
      <c r="D70" s="1068" t="s">
        <v>1522</v>
      </c>
      <c r="E70" s="1139">
        <v>0.2</v>
      </c>
      <c r="F70" s="1154">
        <v>30</v>
      </c>
    </row>
    <row r="71" spans="1:6" s="1105" customFormat="1" ht="48">
      <c r="A71" s="1154">
        <v>11</v>
      </c>
      <c r="B71" s="3462"/>
      <c r="C71" s="1068" t="s">
        <v>1523</v>
      </c>
      <c r="D71" s="1068" t="s">
        <v>1524</v>
      </c>
      <c r="E71" s="1139">
        <v>0.2</v>
      </c>
      <c r="F71" s="1154">
        <v>30</v>
      </c>
    </row>
    <row r="72" spans="1:6" s="1105" customFormat="1" ht="36">
      <c r="A72" s="1154">
        <v>12</v>
      </c>
      <c r="B72" s="3462"/>
      <c r="C72" s="1068" t="s">
        <v>1525</v>
      </c>
      <c r="D72" s="1068" t="s">
        <v>1526</v>
      </c>
      <c r="E72" s="1139">
        <v>0.5</v>
      </c>
      <c r="F72" s="1154">
        <v>80</v>
      </c>
    </row>
    <row r="73" spans="1:6" s="1105" customFormat="1" ht="24">
      <c r="A73" s="1154">
        <v>13</v>
      </c>
      <c r="B73" s="3462"/>
      <c r="C73" s="1068" t="s">
        <v>1527</v>
      </c>
      <c r="D73" s="1068" t="s">
        <v>1528</v>
      </c>
      <c r="E73" s="1139">
        <v>0.4</v>
      </c>
      <c r="F73" s="1154">
        <v>60</v>
      </c>
    </row>
    <row r="74" spans="1:6" s="1105" customFormat="1" ht="24">
      <c r="A74" s="1154">
        <v>14</v>
      </c>
      <c r="B74" s="3462"/>
      <c r="C74" s="1068" t="s">
        <v>1529</v>
      </c>
      <c r="D74" s="1068" t="s">
        <v>1530</v>
      </c>
      <c r="E74" s="1139">
        <v>0.2</v>
      </c>
      <c r="F74" s="1154">
        <v>30</v>
      </c>
    </row>
    <row r="75" spans="1:6" s="1105" customFormat="1" ht="24">
      <c r="A75" s="1154">
        <v>15</v>
      </c>
      <c r="B75" s="3462"/>
      <c r="C75" s="1068" t="s">
        <v>1531</v>
      </c>
      <c r="D75" s="1068" t="s">
        <v>1532</v>
      </c>
      <c r="E75" s="1139">
        <v>0.2</v>
      </c>
      <c r="F75" s="1154">
        <v>30</v>
      </c>
    </row>
    <row r="76" spans="1:6" s="1105" customFormat="1" ht="24">
      <c r="A76" s="1154">
        <v>16</v>
      </c>
      <c r="B76" s="3462" t="s">
        <v>1533</v>
      </c>
      <c r="C76" s="1068" t="s">
        <v>1534</v>
      </c>
      <c r="D76" s="1068" t="s">
        <v>1535</v>
      </c>
      <c r="E76" s="1139">
        <v>0.5</v>
      </c>
      <c r="F76" s="1154">
        <v>80</v>
      </c>
    </row>
    <row r="77" spans="1:6" s="1105" customFormat="1" ht="24">
      <c r="A77" s="1154">
        <v>17</v>
      </c>
      <c r="B77" s="3462"/>
      <c r="C77" s="1068" t="s">
        <v>1536</v>
      </c>
      <c r="D77" s="1068" t="s">
        <v>1537</v>
      </c>
      <c r="E77" s="1139">
        <v>0.5</v>
      </c>
      <c r="F77" s="1154">
        <v>80</v>
      </c>
    </row>
    <row r="78" spans="1:6" s="1105" customFormat="1" ht="24">
      <c r="A78" s="1154">
        <v>18</v>
      </c>
      <c r="B78" s="3462"/>
      <c r="C78" s="1068" t="s">
        <v>1538</v>
      </c>
      <c r="D78" s="1068" t="s">
        <v>1539</v>
      </c>
      <c r="E78" s="1139">
        <v>0.2</v>
      </c>
      <c r="F78" s="1154">
        <v>30</v>
      </c>
    </row>
    <row r="79" spans="1:6" s="1105" customFormat="1" ht="24">
      <c r="A79" s="1154">
        <v>19</v>
      </c>
      <c r="B79" s="3462"/>
      <c r="C79" s="1068" t="s">
        <v>1540</v>
      </c>
      <c r="D79" s="1068" t="s">
        <v>1541</v>
      </c>
      <c r="E79" s="1139">
        <v>0.5</v>
      </c>
      <c r="F79" s="1154">
        <v>80</v>
      </c>
    </row>
    <row r="80" spans="1:6" s="1105" customFormat="1" ht="36">
      <c r="A80" s="1154">
        <v>20</v>
      </c>
      <c r="B80" s="3462"/>
      <c r="C80" s="1068" t="s">
        <v>1542</v>
      </c>
      <c r="D80" s="1068" t="s">
        <v>1543</v>
      </c>
      <c r="E80" s="1139">
        <v>0.2</v>
      </c>
      <c r="F80" s="1154">
        <v>30</v>
      </c>
    </row>
    <row r="81" spans="1:6" s="1105" customFormat="1" ht="36">
      <c r="A81" s="1154">
        <v>21</v>
      </c>
      <c r="B81" s="3462"/>
      <c r="C81" s="1068" t="s">
        <v>1544</v>
      </c>
      <c r="D81" s="1068" t="s">
        <v>1545</v>
      </c>
      <c r="E81" s="1139">
        <v>0.2</v>
      </c>
      <c r="F81" s="1154">
        <v>30</v>
      </c>
    </row>
    <row r="82" spans="1:6" s="1105" customFormat="1" ht="48">
      <c r="A82" s="1154">
        <v>22</v>
      </c>
      <c r="B82" s="3462"/>
      <c r="C82" s="1068" t="s">
        <v>1546</v>
      </c>
      <c r="D82" s="1068" t="s">
        <v>1547</v>
      </c>
      <c r="E82" s="1139">
        <v>0.2</v>
      </c>
      <c r="F82" s="1154">
        <v>30</v>
      </c>
    </row>
    <row r="83" spans="1:6" s="1105" customFormat="1" ht="48">
      <c r="A83" s="1154">
        <v>23</v>
      </c>
      <c r="B83" s="3462"/>
      <c r="C83" s="1068" t="s">
        <v>1548</v>
      </c>
      <c r="D83" s="1068" t="s">
        <v>1549</v>
      </c>
      <c r="E83" s="1139">
        <v>0.2</v>
      </c>
      <c r="F83" s="1154">
        <v>30</v>
      </c>
    </row>
    <row r="84" spans="1:6" s="1105" customFormat="1" ht="36">
      <c r="A84" s="1154">
        <v>24</v>
      </c>
      <c r="B84" s="3462"/>
      <c r="C84" s="1068" t="s">
        <v>1550</v>
      </c>
      <c r="D84" s="1068" t="s">
        <v>1551</v>
      </c>
      <c r="E84" s="1139">
        <v>0.2</v>
      </c>
      <c r="F84" s="1154">
        <v>30</v>
      </c>
    </row>
    <row r="85" spans="1:6" s="1105" customFormat="1" ht="36">
      <c r="A85" s="1154">
        <v>25</v>
      </c>
      <c r="B85" s="3462"/>
      <c r="C85" s="1068" t="s">
        <v>1552</v>
      </c>
      <c r="D85" s="1068" t="s">
        <v>1553</v>
      </c>
      <c r="E85" s="1139">
        <v>0.5</v>
      </c>
      <c r="F85" s="1154">
        <v>80</v>
      </c>
    </row>
    <row r="86" spans="1:6" s="1105" customFormat="1" ht="36">
      <c r="A86" s="1154">
        <v>26</v>
      </c>
      <c r="B86" s="3462"/>
      <c r="C86" s="1068" t="s">
        <v>1554</v>
      </c>
      <c r="D86" s="1068" t="s">
        <v>1555</v>
      </c>
      <c r="E86" s="1139">
        <v>0.2</v>
      </c>
      <c r="F86" s="1154">
        <v>30</v>
      </c>
    </row>
    <row r="87" spans="1:6" s="1105" customFormat="1" ht="36">
      <c r="A87" s="1154">
        <v>27</v>
      </c>
      <c r="B87" s="3462"/>
      <c r="C87" s="1068" t="s">
        <v>1556</v>
      </c>
      <c r="D87" s="1068" t="s">
        <v>1557</v>
      </c>
      <c r="E87" s="1139">
        <v>0.2</v>
      </c>
      <c r="F87" s="1154">
        <v>30</v>
      </c>
    </row>
    <row r="88" spans="1:6" s="1105" customFormat="1" ht="36">
      <c r="A88" s="1154">
        <v>28</v>
      </c>
      <c r="B88" s="3462"/>
      <c r="C88" s="1068" t="s">
        <v>1558</v>
      </c>
      <c r="D88" s="1068" t="s">
        <v>1559</v>
      </c>
      <c r="E88" s="1139">
        <v>0.2</v>
      </c>
      <c r="F88" s="1154">
        <v>30</v>
      </c>
    </row>
    <row r="89" spans="1:6" s="1105" customFormat="1" ht="24">
      <c r="A89" s="1154">
        <v>29</v>
      </c>
      <c r="B89" s="3462"/>
      <c r="C89" s="1068" t="s">
        <v>1560</v>
      </c>
      <c r="D89" s="1068" t="s">
        <v>1561</v>
      </c>
      <c r="E89" s="1139">
        <v>0.2</v>
      </c>
      <c r="F89" s="1154">
        <v>30</v>
      </c>
    </row>
    <row r="90" spans="1:6" s="1105" customFormat="1" ht="24">
      <c r="A90" s="1154">
        <v>30</v>
      </c>
      <c r="B90" s="3462"/>
      <c r="C90" s="1068" t="s">
        <v>1562</v>
      </c>
      <c r="D90" s="1068" t="s">
        <v>1563</v>
      </c>
      <c r="E90" s="1139">
        <v>0.2</v>
      </c>
      <c r="F90" s="1154">
        <v>30</v>
      </c>
    </row>
    <row r="91" spans="1:6" s="1105" customFormat="1" ht="36">
      <c r="A91" s="1154">
        <v>31</v>
      </c>
      <c r="B91" s="3462"/>
      <c r="C91" s="1068" t="s">
        <v>1564</v>
      </c>
      <c r="D91" s="1068" t="s">
        <v>1565</v>
      </c>
      <c r="E91" s="1139">
        <v>0.2</v>
      </c>
      <c r="F91" s="1154">
        <v>30</v>
      </c>
    </row>
    <row r="92" spans="1:6" s="1105" customFormat="1" ht="24">
      <c r="A92" s="1154">
        <v>32</v>
      </c>
      <c r="B92" s="3462" t="s">
        <v>1566</v>
      </c>
      <c r="C92" s="1154" t="s">
        <v>1567</v>
      </c>
      <c r="D92" s="1068" t="s">
        <v>1568</v>
      </c>
      <c r="E92" s="1139">
        <v>0.2</v>
      </c>
      <c r="F92" s="1154">
        <v>30</v>
      </c>
    </row>
    <row r="93" spans="1:6" s="1105" customFormat="1" ht="36">
      <c r="A93" s="1154">
        <v>33</v>
      </c>
      <c r="B93" s="3462"/>
      <c r="C93" s="1154" t="s">
        <v>1569</v>
      </c>
      <c r="D93" s="1068" t="s">
        <v>1570</v>
      </c>
      <c r="E93" s="1139">
        <v>0.2</v>
      </c>
      <c r="F93" s="1154">
        <v>30</v>
      </c>
    </row>
    <row r="94" spans="1:6" s="1105" customFormat="1" ht="48">
      <c r="A94" s="1154">
        <v>34</v>
      </c>
      <c r="B94" s="3462"/>
      <c r="C94" s="1154" t="s">
        <v>1571</v>
      </c>
      <c r="D94" s="1068" t="s">
        <v>1572</v>
      </c>
      <c r="E94" s="1139">
        <v>0.2</v>
      </c>
      <c r="F94" s="1154">
        <v>30</v>
      </c>
    </row>
    <row r="95" spans="1:6" s="1105" customFormat="1" ht="36">
      <c r="A95" s="1154">
        <v>35</v>
      </c>
      <c r="B95" s="3462"/>
      <c r="C95" s="1154" t="s">
        <v>1573</v>
      </c>
      <c r="D95" s="1068" t="s">
        <v>1574</v>
      </c>
      <c r="E95" s="1139">
        <v>0.2</v>
      </c>
      <c r="F95" s="1154">
        <v>30</v>
      </c>
    </row>
    <row r="96" spans="1:6" s="1105" customFormat="1" ht="48">
      <c r="A96" s="1154">
        <v>36</v>
      </c>
      <c r="B96" s="3462"/>
      <c r="C96" s="1068" t="s">
        <v>1575</v>
      </c>
      <c r="D96" s="1068" t="s">
        <v>1576</v>
      </c>
      <c r="E96" s="1139">
        <v>0.2</v>
      </c>
      <c r="F96" s="1154">
        <v>30</v>
      </c>
    </row>
    <row r="97" spans="1:6" s="1105" customFormat="1" ht="36">
      <c r="A97" s="1154">
        <v>37</v>
      </c>
      <c r="B97" s="3462"/>
      <c r="C97" s="1154" t="s">
        <v>1577</v>
      </c>
      <c r="D97" s="1068" t="s">
        <v>1578</v>
      </c>
      <c r="E97" s="1139">
        <v>0.2</v>
      </c>
      <c r="F97" s="1154">
        <v>30</v>
      </c>
    </row>
    <row r="98" spans="1:6" s="1105" customFormat="1" ht="36">
      <c r="A98" s="1154">
        <v>38</v>
      </c>
      <c r="B98" s="3462"/>
      <c r="C98" s="1154" t="s">
        <v>1579</v>
      </c>
      <c r="D98" s="1068" t="s">
        <v>1580</v>
      </c>
      <c r="E98" s="1139">
        <v>0.2</v>
      </c>
      <c r="F98" s="1154">
        <v>30</v>
      </c>
    </row>
    <row r="99" spans="1:6" s="1105" customFormat="1" ht="36">
      <c r="A99" s="1154">
        <v>39</v>
      </c>
      <c r="B99" s="3462" t="s">
        <v>1581</v>
      </c>
      <c r="C99" s="1154" t="s">
        <v>1582</v>
      </c>
      <c r="D99" s="1068" t="s">
        <v>1583</v>
      </c>
      <c r="E99" s="1139">
        <v>0.3</v>
      </c>
      <c r="F99" s="1154">
        <v>50</v>
      </c>
    </row>
    <row r="100" spans="1:6" s="1105" customFormat="1" ht="24">
      <c r="A100" s="1154">
        <v>40</v>
      </c>
      <c r="B100" s="3462"/>
      <c r="C100" s="1154" t="s">
        <v>1584</v>
      </c>
      <c r="D100" s="1068" t="s">
        <v>1585</v>
      </c>
      <c r="E100" s="1139">
        <v>0.2</v>
      </c>
      <c r="F100" s="1154">
        <v>30</v>
      </c>
    </row>
    <row r="101" spans="1:6" s="1105" customFormat="1" ht="36">
      <c r="A101" s="1154">
        <v>41</v>
      </c>
      <c r="B101" s="346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2" t="s">
        <v>1596</v>
      </c>
      <c r="C105" s="1154" t="s">
        <v>1597</v>
      </c>
      <c r="D105" s="1068" t="s">
        <v>1598</v>
      </c>
      <c r="E105" s="1139">
        <v>0.2</v>
      </c>
      <c r="F105" s="1154">
        <v>30</v>
      </c>
    </row>
    <row r="106" spans="1:6" s="1105" customFormat="1" ht="36">
      <c r="A106" s="1154">
        <v>46</v>
      </c>
      <c r="B106" s="3462"/>
      <c r="C106" s="1154" t="s">
        <v>1599</v>
      </c>
      <c r="D106" s="1068" t="s">
        <v>1600</v>
      </c>
      <c r="E106" s="1139">
        <v>0.2</v>
      </c>
      <c r="F106" s="1154">
        <v>30</v>
      </c>
    </row>
    <row r="107" spans="1:6" s="1105" customFormat="1" ht="36">
      <c r="A107" s="1154">
        <v>47</v>
      </c>
      <c r="B107" s="3462" t="s">
        <v>1601</v>
      </c>
      <c r="C107" s="1154" t="s">
        <v>1602</v>
      </c>
      <c r="D107" s="1068" t="s">
        <v>1603</v>
      </c>
      <c r="E107" s="1139">
        <v>0.3</v>
      </c>
      <c r="F107" s="1154">
        <v>50</v>
      </c>
    </row>
    <row r="108" spans="1:6" s="1105" customFormat="1" ht="36">
      <c r="A108" s="1154">
        <v>48</v>
      </c>
      <c r="B108" s="346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2" t="s">
        <v>1612</v>
      </c>
      <c r="C111" s="1154" t="s">
        <v>1613</v>
      </c>
      <c r="D111" s="1068" t="s">
        <v>1614</v>
      </c>
      <c r="E111" s="1139">
        <v>0.2</v>
      </c>
      <c r="F111" s="1154">
        <v>30</v>
      </c>
    </row>
    <row r="112" spans="1:6" s="1105" customFormat="1" ht="24">
      <c r="A112" s="1154">
        <v>52</v>
      </c>
      <c r="B112" s="3462"/>
      <c r="C112" s="1154" t="s">
        <v>1615</v>
      </c>
      <c r="D112" s="1068" t="s">
        <v>1616</v>
      </c>
      <c r="E112" s="1139">
        <v>0.2</v>
      </c>
      <c r="F112" s="1154">
        <v>30</v>
      </c>
    </row>
    <row r="113" spans="1:14" s="1105" customFormat="1" ht="24">
      <c r="A113" s="1154">
        <v>53</v>
      </c>
      <c r="B113" s="346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2" t="s">
        <v>1625</v>
      </c>
      <c r="C116" s="1154" t="s">
        <v>1626</v>
      </c>
      <c r="D116" s="1068" t="s">
        <v>1627</v>
      </c>
      <c r="E116" s="1139">
        <v>0.2</v>
      </c>
      <c r="F116" s="1154">
        <v>30</v>
      </c>
    </row>
    <row r="117" spans="1:14" ht="36">
      <c r="A117" s="1154">
        <v>57</v>
      </c>
      <c r="B117" s="346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1" t="s">
        <v>1634</v>
      </c>
      <c r="B121" s="3461"/>
      <c r="C121" s="3461"/>
      <c r="D121" s="3461"/>
      <c r="E121" s="3461"/>
      <c r="F121" s="3461"/>
      <c r="G121" s="3461"/>
      <c r="H121" s="3461"/>
      <c r="I121" s="3461"/>
      <c r="J121" s="346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2078</v>
      </c>
      <c r="B1" s="3478"/>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80" t="s">
        <v>2463</v>
      </c>
      <c r="C8" s="1827">
        <f ca="1">ROUND(F8*F10*F9*(1-F11)/10000,0)</f>
        <v>0</v>
      </c>
      <c r="D8" s="1824" t="s">
        <v>2534</v>
      </c>
      <c r="E8" s="61" t="s">
        <v>637</v>
      </c>
      <c r="F8" s="785">
        <f ca="1">INDIRECT("'数据-取费表'!u"&amp;$G$1)</f>
        <v>0</v>
      </c>
      <c r="G8" s="1593"/>
      <c r="H8" s="2530" t="s">
        <v>1822</v>
      </c>
      <c r="I8" s="3480" t="s">
        <v>2463</v>
      </c>
      <c r="J8" s="783">
        <f ca="1">ROUND(M8*M10*M9*(1-M11)/10000,0)</f>
        <v>0</v>
      </c>
      <c r="K8" s="341" t="s">
        <v>2534</v>
      </c>
      <c r="L8" s="784" t="s">
        <v>1736</v>
      </c>
      <c r="M8" s="785">
        <f ca="1">INDIRECT("'数据-取费表'!z"&amp;$G$1)</f>
        <v>0</v>
      </c>
    </row>
    <row r="9" spans="1:25" ht="18" customHeight="1">
      <c r="A9" s="2526"/>
      <c r="B9" s="3481"/>
      <c r="C9" s="1828"/>
      <c r="D9" s="1825"/>
      <c r="E9" s="61" t="s">
        <v>638</v>
      </c>
      <c r="F9" s="785">
        <f ca="1">IF(INDIRECT("'数据-取费表'!ah"&amp;$G$1)="",INDIRECT("'数据-取费表'!k"&amp;$G$1),INDIRECT("'数据-取费表'!ah"&amp;$G$1))</f>
        <v>0</v>
      </c>
      <c r="G9" s="1593"/>
      <c r="H9" s="2515"/>
      <c r="I9" s="3481"/>
      <c r="J9" s="788"/>
      <c r="K9" s="789"/>
      <c r="L9" s="784" t="s">
        <v>1737</v>
      </c>
      <c r="M9" s="785">
        <f ca="1">F9</f>
        <v>0</v>
      </c>
    </row>
    <row r="10" spans="1:25" ht="18" customHeight="1">
      <c r="A10" s="2519"/>
      <c r="B10" s="3482"/>
      <c r="C10" s="1828"/>
      <c r="D10" s="1825"/>
      <c r="E10" s="61" t="s">
        <v>639</v>
      </c>
      <c r="F10" s="785">
        <f ca="1">INDIRECT("'数据-取费表'!ai"&amp;$G$1)</f>
        <v>0</v>
      </c>
      <c r="G10" s="1593"/>
      <c r="H10" s="2515"/>
      <c r="I10" s="3482"/>
      <c r="J10" s="788"/>
      <c r="K10" s="789"/>
      <c r="L10" s="784" t="s">
        <v>1738</v>
      </c>
      <c r="M10" s="785">
        <f ca="1">INDIRECT("'数据-取费表'!ai"&amp;$G$1)</f>
        <v>0</v>
      </c>
    </row>
    <row r="11" spans="1:25" ht="18" customHeight="1">
      <c r="A11" s="786"/>
      <c r="B11" s="3483"/>
      <c r="C11" s="1828"/>
      <c r="D11" s="1825"/>
      <c r="E11" s="61" t="s">
        <v>640</v>
      </c>
      <c r="F11" s="794">
        <f ca="1">INDIRECT("'数据-取费表'!w"&amp;$G$1)</f>
        <v>0</v>
      </c>
      <c r="G11" s="1593"/>
      <c r="H11" s="2531"/>
      <c r="I11" s="3482"/>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0.01</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5.0000000000000001E-4</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4"/>
      <c r="L54" s="3485"/>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根据《国有土地使用证》[]，估价对象（分摊）出让国有建设用地使用权面积为11382.9平方米。根据《建设工程规划许可证》[]、《出让合同》[]，估价对象规划建筑面积为56746.02平方米。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88" t="s">
        <v>2576</v>
      </c>
      <c r="C1" s="3488"/>
      <c r="D1" s="3488"/>
      <c r="E1" s="3488"/>
      <c r="F1" s="3488"/>
      <c r="G1" s="3487" t="s">
        <v>2577</v>
      </c>
      <c r="H1" s="3487"/>
      <c r="I1" s="3487"/>
      <c r="J1" s="3487"/>
      <c r="K1" s="3487"/>
      <c r="L1" s="3487"/>
      <c r="N1" s="3487" t="s">
        <v>2578</v>
      </c>
      <c r="O1" s="3487"/>
      <c r="P1" s="3487"/>
      <c r="Q1" s="3487"/>
      <c r="R1" s="2680"/>
      <c r="S1" s="3487" t="s">
        <v>2579</v>
      </c>
      <c r="T1" s="3487"/>
      <c r="U1" s="3487"/>
      <c r="V1" s="3487"/>
      <c r="X1" s="3486" t="s">
        <v>2639</v>
      </c>
      <c r="Y1" s="3487"/>
      <c r="Z1" s="3487"/>
      <c r="AA1" s="3487"/>
      <c r="AB1" s="3487"/>
      <c r="AD1" s="3486" t="s">
        <v>2643</v>
      </c>
      <c r="AE1" s="3487"/>
      <c r="AF1" s="3487"/>
      <c r="AG1" s="3487"/>
      <c r="AH1" s="3487"/>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95">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90"/>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90"/>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91"/>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9">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90"/>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90"/>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91"/>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9">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90"/>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90"/>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91"/>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9">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90"/>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90"/>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91"/>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9">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90">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90">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91">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9">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90">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90">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91">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9">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90">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90">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91">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9">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90">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90">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91">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9">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90">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90">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91">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9">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90">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90">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91">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9">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90">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90">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91">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9">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90">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90">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91">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9">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90">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90">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91">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9">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90">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90">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91">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L50" sqref="L50"/>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267437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148482</v>
      </c>
      <c r="C3" s="852" t="s">
        <v>722</v>
      </c>
      <c r="D3" s="851">
        <f>SUMIF('数据-汇总表'!$C19:$C33,D1,'数据-汇总表'!$E19:$E33)</f>
        <v>18011.39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6" t="s">
        <v>522</v>
      </c>
      <c r="D4" s="3427"/>
      <c r="E4" s="3450" t="s">
        <v>523</v>
      </c>
      <c r="F4" s="3451"/>
      <c r="G4" s="3426" t="s">
        <v>524</v>
      </c>
      <c r="H4" s="3427"/>
      <c r="I4" s="3426" t="s">
        <v>525</v>
      </c>
      <c r="J4" s="3427"/>
      <c r="K4" s="853"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2927</v>
      </c>
      <c r="D5" s="3438"/>
      <c r="E5" s="3496" t="s">
        <v>3084</v>
      </c>
      <c r="F5" s="3453"/>
      <c r="G5" s="3497" t="s">
        <v>3111</v>
      </c>
      <c r="H5" s="3438"/>
      <c r="I5" s="3497" t="s">
        <v>3104</v>
      </c>
      <c r="J5" s="3438"/>
      <c r="K5" s="85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2931</v>
      </c>
      <c r="D6" s="3436"/>
      <c r="E6" s="3454" t="s">
        <v>2931</v>
      </c>
      <c r="F6" s="3455"/>
      <c r="G6" s="3435" t="s">
        <v>2931</v>
      </c>
      <c r="H6" s="3436"/>
      <c r="I6" s="3435" t="s">
        <v>2931</v>
      </c>
      <c r="J6" s="3436"/>
      <c r="K6" s="85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12" t="s">
        <v>530</v>
      </c>
      <c r="Q7" s="3421"/>
      <c r="R7" s="1569" t="s">
        <v>13</v>
      </c>
      <c r="S7" s="1570">
        <f t="shared" ref="S7:S15" si="0">F7</f>
        <v>100</v>
      </c>
      <c r="T7" s="1569" t="s">
        <v>13</v>
      </c>
      <c r="U7" s="1570">
        <f t="shared" ref="U7:U15" si="1">H7</f>
        <v>100</v>
      </c>
      <c r="V7" s="1569" t="s">
        <v>13</v>
      </c>
      <c r="W7" s="1570">
        <f t="shared" ref="W7:W15" si="2">J7</f>
        <v>100</v>
      </c>
      <c r="X7" s="1571"/>
      <c r="Y7" s="3412" t="s">
        <v>530</v>
      </c>
      <c r="Z7" s="3413"/>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12" t="s">
        <v>533</v>
      </c>
      <c r="Q8" s="3413"/>
      <c r="R8" s="1569" t="s">
        <v>13</v>
      </c>
      <c r="S8" s="1570">
        <f t="shared" si="0"/>
        <v>100</v>
      </c>
      <c r="T8" s="1569" t="s">
        <v>13</v>
      </c>
      <c r="U8" s="1570">
        <f t="shared" si="1"/>
        <v>100</v>
      </c>
      <c r="V8" s="1569" t="s">
        <v>13</v>
      </c>
      <c r="W8" s="1570">
        <f t="shared" si="2"/>
        <v>100</v>
      </c>
      <c r="X8" s="1571"/>
      <c r="Y8" s="3412" t="s">
        <v>533</v>
      </c>
      <c r="Z8" s="3413"/>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2"/>
      <c r="B11" s="2946" t="s">
        <v>2758</v>
      </c>
      <c r="C11" s="533">
        <f>'数据-汇总表'!I7</f>
        <v>3.84</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20"/>
      <c r="Q11" s="1151" t="str">
        <f t="shared" si="6"/>
        <v>容积率</v>
      </c>
      <c r="R11" s="1569" t="s">
        <v>11</v>
      </c>
      <c r="S11" s="1570">
        <f t="shared" si="0"/>
        <v>100</v>
      </c>
      <c r="T11" s="1569" t="s">
        <v>11</v>
      </c>
      <c r="U11" s="1570">
        <f t="shared" si="1"/>
        <v>101</v>
      </c>
      <c r="V11" s="1569" t="s">
        <v>11</v>
      </c>
      <c r="W11" s="1570">
        <f t="shared" si="2"/>
        <v>100</v>
      </c>
      <c r="X11" s="1571"/>
      <c r="Y11" s="3377"/>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20"/>
      <c r="Q12" s="1151">
        <f t="shared" si="6"/>
        <v>111</v>
      </c>
      <c r="R12" s="1569" t="s">
        <v>11</v>
      </c>
      <c r="S12" s="1570">
        <f t="shared" si="0"/>
        <v>100</v>
      </c>
      <c r="T12" s="1569" t="s">
        <v>11</v>
      </c>
      <c r="U12" s="1570">
        <f t="shared" si="1"/>
        <v>100</v>
      </c>
      <c r="V12" s="1569" t="s">
        <v>11</v>
      </c>
      <c r="W12" s="1570">
        <f t="shared" si="2"/>
        <v>100</v>
      </c>
      <c r="X12" s="1571"/>
      <c r="Y12" s="3377"/>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20"/>
      <c r="Q13" s="1151">
        <f t="shared" si="6"/>
        <v>111</v>
      </c>
      <c r="R13" s="1569" t="s">
        <v>11</v>
      </c>
      <c r="S13" s="1570">
        <f t="shared" si="0"/>
        <v>100</v>
      </c>
      <c r="T13" s="1569" t="s">
        <v>11</v>
      </c>
      <c r="U13" s="1570">
        <f t="shared" si="1"/>
        <v>100</v>
      </c>
      <c r="V13" s="1569" t="s">
        <v>11</v>
      </c>
      <c r="W13" s="1570">
        <f t="shared" si="2"/>
        <v>100</v>
      </c>
      <c r="X13" s="1571"/>
      <c r="Y13" s="3377"/>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20"/>
      <c r="Q14" s="1151">
        <f t="shared" si="6"/>
        <v>111</v>
      </c>
      <c r="R14" s="1569" t="s">
        <v>11</v>
      </c>
      <c r="S14" s="1570">
        <f t="shared" si="0"/>
        <v>100</v>
      </c>
      <c r="T14" s="1569" t="s">
        <v>11</v>
      </c>
      <c r="U14" s="1570">
        <f t="shared" si="1"/>
        <v>100</v>
      </c>
      <c r="V14" s="1569" t="s">
        <v>11</v>
      </c>
      <c r="W14" s="1570">
        <f t="shared" si="2"/>
        <v>100</v>
      </c>
      <c r="X14" s="1571"/>
      <c r="Y14" s="3377"/>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3103</v>
      </c>
      <c r="H15" s="549">
        <f>SUMIF(76:76,G16,77:77)-SUMIF(76:76,C16,77:77)+100</f>
        <v>100</v>
      </c>
      <c r="I15" s="3214" t="s">
        <v>3110</v>
      </c>
      <c r="J15" s="549">
        <f>SUMIF(76:76,I16,77:77)-SUMIF(76:76,C16,77:77)+100</f>
        <v>100</v>
      </c>
      <c r="K15" s="868">
        <v>3</v>
      </c>
      <c r="L15" s="2144"/>
      <c r="M15" s="2136"/>
      <c r="N15" s="2136"/>
      <c r="O15" s="2143"/>
      <c r="P15" s="3422" t="s">
        <v>540</v>
      </c>
      <c r="Q15" s="1573" t="str">
        <f t="shared" si="6"/>
        <v>居住社区成熟度</v>
      </c>
      <c r="R15" s="1574" t="s">
        <v>11</v>
      </c>
      <c r="S15" s="1575">
        <f t="shared" si="0"/>
        <v>100</v>
      </c>
      <c r="T15" s="1574" t="s">
        <v>11</v>
      </c>
      <c r="U15" s="1575">
        <f t="shared" si="1"/>
        <v>100</v>
      </c>
      <c r="V15" s="1574" t="s">
        <v>11</v>
      </c>
      <c r="W15" s="1575">
        <f t="shared" si="2"/>
        <v>100</v>
      </c>
      <c r="X15" s="1568"/>
      <c r="Y15" s="3422"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3089</v>
      </c>
      <c r="H17" s="565">
        <f>SUMIF(78:78,G18,79:79)-SUMIF(78:78,C18,79:79)+100</f>
        <v>100</v>
      </c>
      <c r="I17" s="562" t="s">
        <v>3089</v>
      </c>
      <c r="J17" s="565">
        <f>SUMIF(78:78,I18,79:79)-SUMIF(78:78,C18,79:79)+100</f>
        <v>100</v>
      </c>
      <c r="K17" s="868">
        <v>2</v>
      </c>
      <c r="L17" s="2144"/>
      <c r="M17" s="2136"/>
      <c r="N17" s="2136"/>
      <c r="O17" s="2143"/>
      <c r="P17" s="3423"/>
      <c r="Q17" s="1573" t="str">
        <f>B17</f>
        <v>交通便捷度</v>
      </c>
      <c r="R17" s="1574" t="s">
        <v>11</v>
      </c>
      <c r="S17" s="1575">
        <f>F17</f>
        <v>100</v>
      </c>
      <c r="T17" s="1574" t="s">
        <v>11</v>
      </c>
      <c r="U17" s="1575">
        <f>H17</f>
        <v>100</v>
      </c>
      <c r="V17" s="1574" t="s">
        <v>11</v>
      </c>
      <c r="W17" s="1575">
        <f>J17</f>
        <v>100</v>
      </c>
      <c r="X17" s="1568"/>
      <c r="Y17" s="3423"/>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23"/>
      <c r="Q18" s="1573"/>
      <c r="R18" s="1574"/>
      <c r="S18" s="1575"/>
      <c r="T18" s="1574"/>
      <c r="U18" s="1575"/>
      <c r="V18" s="1574"/>
      <c r="W18" s="1575"/>
      <c r="X18" s="1568"/>
      <c r="Y18" s="3423"/>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3"/>
      <c r="Q19" s="1573" t="str">
        <f>B19</f>
        <v>公共配套设施</v>
      </c>
      <c r="R19" s="1574" t="s">
        <v>11</v>
      </c>
      <c r="S19" s="1575">
        <f>F19</f>
        <v>100</v>
      </c>
      <c r="T19" s="1574" t="s">
        <v>11</v>
      </c>
      <c r="U19" s="1575">
        <f>H19</f>
        <v>100</v>
      </c>
      <c r="V19" s="1574" t="s">
        <v>11</v>
      </c>
      <c r="W19" s="1575">
        <f>J19</f>
        <v>100</v>
      </c>
      <c r="X19" s="1568"/>
      <c r="Y19" s="3423"/>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23"/>
      <c r="Q21" s="2605" t="str">
        <f>B21</f>
        <v>基础设施水平</v>
      </c>
      <c r="R21" s="1574" t="s">
        <v>11</v>
      </c>
      <c r="S21" s="1575">
        <f>F21</f>
        <v>100</v>
      </c>
      <c r="T21" s="1574" t="s">
        <v>11</v>
      </c>
      <c r="U21" s="1575">
        <f>H21</f>
        <v>100</v>
      </c>
      <c r="V21" s="1574" t="s">
        <v>11</v>
      </c>
      <c r="W21" s="1575">
        <f>J21</f>
        <v>100</v>
      </c>
      <c r="X21" s="2607"/>
      <c r="Y21" s="3423"/>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23"/>
      <c r="Q22" s="2605"/>
      <c r="R22" s="1574"/>
      <c r="S22" s="1575"/>
      <c r="T22" s="1574"/>
      <c r="U22" s="1575"/>
      <c r="V22" s="1574"/>
      <c r="W22" s="1575"/>
      <c r="X22" s="2607"/>
      <c r="Y22" s="3423"/>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23"/>
      <c r="Q23" s="1573" t="str">
        <f>B23</f>
        <v>自然及人文环境</v>
      </c>
      <c r="R23" s="1574" t="s">
        <v>11</v>
      </c>
      <c r="S23" s="1575">
        <f>F23</f>
        <v>100</v>
      </c>
      <c r="T23" s="1574" t="s">
        <v>11</v>
      </c>
      <c r="U23" s="1575">
        <f>H23</f>
        <v>100</v>
      </c>
      <c r="V23" s="1574" t="s">
        <v>11</v>
      </c>
      <c r="W23" s="1575">
        <f>J23</f>
        <v>100</v>
      </c>
      <c r="X23" s="1568"/>
      <c r="Y23" s="3423"/>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3"/>
      <c r="Q25" s="1573" t="str">
        <f t="shared" ref="Q25:Q46" si="11">B25</f>
        <v>楼层-1</v>
      </c>
      <c r="R25" s="1574" t="s">
        <v>11</v>
      </c>
      <c r="S25" s="1575">
        <f>F25</f>
        <v>100</v>
      </c>
      <c r="T25" s="1574" t="s">
        <v>11</v>
      </c>
      <c r="U25" s="1575">
        <f>H25</f>
        <v>100</v>
      </c>
      <c r="V25" s="1574" t="s">
        <v>11</v>
      </c>
      <c r="W25" s="1575">
        <f>J25</f>
        <v>100</v>
      </c>
      <c r="X25" s="1568"/>
      <c r="Y25" s="342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3"/>
      <c r="Q26" s="1573" t="str">
        <f t="shared" si="11"/>
        <v>朝向</v>
      </c>
      <c r="R26" s="1574" t="s">
        <v>11</v>
      </c>
      <c r="S26" s="1575">
        <f>F26</f>
        <v>100</v>
      </c>
      <c r="T26" s="1574" t="s">
        <v>11</v>
      </c>
      <c r="U26" s="1575">
        <f>H26</f>
        <v>100</v>
      </c>
      <c r="V26" s="1574" t="s">
        <v>11</v>
      </c>
      <c r="W26" s="1575">
        <f>J26</f>
        <v>100</v>
      </c>
      <c r="X26" s="1568"/>
      <c r="Y26" s="3423"/>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23"/>
      <c r="Q27" s="1151" t="str">
        <f t="shared" si="11"/>
        <v>道路级别</v>
      </c>
      <c r="R27" s="1569" t="s">
        <v>11</v>
      </c>
      <c r="S27" s="1570">
        <f>F27</f>
        <v>100</v>
      </c>
      <c r="T27" s="1569" t="s">
        <v>11</v>
      </c>
      <c r="U27" s="1570">
        <f>H27</f>
        <v>100</v>
      </c>
      <c r="V27" s="1569" t="s">
        <v>11</v>
      </c>
      <c r="W27" s="1570">
        <f>J27</f>
        <v>100</v>
      </c>
      <c r="X27" s="1571"/>
      <c r="Y27" s="3423"/>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3"/>
      <c r="Q28" s="1573">
        <f t="shared" si="11"/>
        <v>0</v>
      </c>
      <c r="R28" s="1574" t="s">
        <v>11</v>
      </c>
      <c r="S28" s="1575">
        <f t="shared" ref="S28:S46" si="12">F28</f>
        <v>100</v>
      </c>
      <c r="T28" s="1574" t="s">
        <v>11</v>
      </c>
      <c r="U28" s="1575">
        <f t="shared" ref="U28:U46" si="13">H28</f>
        <v>100</v>
      </c>
      <c r="V28" s="1574" t="s">
        <v>11</v>
      </c>
      <c r="W28" s="1575">
        <f t="shared" ref="W28:W46" si="14">J28</f>
        <v>100</v>
      </c>
      <c r="X28" s="1568"/>
      <c r="Y28" s="3423"/>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3"/>
      <c r="Q29" s="1573">
        <f t="shared" si="11"/>
        <v>0</v>
      </c>
      <c r="R29" s="1574" t="s">
        <v>11</v>
      </c>
      <c r="S29" s="1575">
        <f t="shared" si="12"/>
        <v>100</v>
      </c>
      <c r="T29" s="1574" t="s">
        <v>11</v>
      </c>
      <c r="U29" s="1575">
        <f t="shared" si="13"/>
        <v>100</v>
      </c>
      <c r="V29" s="1574" t="s">
        <v>11</v>
      </c>
      <c r="W29" s="1575">
        <f t="shared" si="14"/>
        <v>100</v>
      </c>
      <c r="X29" s="1568"/>
      <c r="Y29" s="3423"/>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3"/>
      <c r="Q30" s="1573">
        <f t="shared" si="11"/>
        <v>0</v>
      </c>
      <c r="R30" s="1574" t="s">
        <v>11</v>
      </c>
      <c r="S30" s="1575">
        <f t="shared" si="12"/>
        <v>100</v>
      </c>
      <c r="T30" s="1574" t="s">
        <v>11</v>
      </c>
      <c r="U30" s="1575">
        <f t="shared" si="13"/>
        <v>100</v>
      </c>
      <c r="V30" s="1574" t="s">
        <v>11</v>
      </c>
      <c r="W30" s="1575">
        <f t="shared" si="14"/>
        <v>100</v>
      </c>
      <c r="X30" s="1568"/>
      <c r="Y30" s="3423"/>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3"/>
      <c r="Q31" s="1573">
        <f t="shared" si="11"/>
        <v>0</v>
      </c>
      <c r="R31" s="1574" t="s">
        <v>11</v>
      </c>
      <c r="S31" s="1575">
        <f t="shared" si="12"/>
        <v>100</v>
      </c>
      <c r="T31" s="1574" t="s">
        <v>11</v>
      </c>
      <c r="U31" s="1575">
        <f t="shared" si="13"/>
        <v>100</v>
      </c>
      <c r="V31" s="1574" t="s">
        <v>11</v>
      </c>
      <c r="W31" s="1575">
        <f t="shared" si="14"/>
        <v>100</v>
      </c>
      <c r="X31" s="1568"/>
      <c r="Y31" s="3423"/>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3108</v>
      </c>
      <c r="J32" s="540">
        <f>SUMIF(100:100,I32,101:101)-SUMIF(100:100,C32,101:101)+100</f>
        <v>95</v>
      </c>
      <c r="K32" s="864">
        <v>5</v>
      </c>
      <c r="L32" s="2144"/>
      <c r="M32" s="2136"/>
      <c r="N32" s="2136"/>
      <c r="O32" s="2143"/>
      <c r="P32" s="3424" t="s">
        <v>550</v>
      </c>
      <c r="Q32" s="1573" t="str">
        <f t="shared" si="11"/>
        <v>建筑类型</v>
      </c>
      <c r="R32" s="1574" t="s">
        <v>11</v>
      </c>
      <c r="S32" s="1575">
        <f t="shared" si="12"/>
        <v>100</v>
      </c>
      <c r="T32" s="1574" t="s">
        <v>11</v>
      </c>
      <c r="U32" s="1575">
        <f t="shared" si="13"/>
        <v>100</v>
      </c>
      <c r="V32" s="1574" t="s">
        <v>11</v>
      </c>
      <c r="W32" s="1575">
        <f t="shared" si="14"/>
        <v>95</v>
      </c>
      <c r="X32" s="1568"/>
      <c r="Y32" s="3425"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面积表!E12</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25"/>
      <c r="Q33" s="1606" t="str">
        <f t="shared" si="11"/>
        <v>项目建筑规模</v>
      </c>
      <c r="R33" s="1578" t="s">
        <v>11</v>
      </c>
      <c r="S33" s="1579">
        <f t="shared" si="12"/>
        <v>101</v>
      </c>
      <c r="T33" s="1578" t="s">
        <v>11</v>
      </c>
      <c r="U33" s="1579">
        <f t="shared" si="13"/>
        <v>99</v>
      </c>
      <c r="V33" s="1578" t="s">
        <v>11</v>
      </c>
      <c r="W33" s="1579">
        <f t="shared" si="14"/>
        <v>102</v>
      </c>
      <c r="X33" s="1580"/>
      <c r="Y33" s="3425"/>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25"/>
      <c r="Q34" s="1573" t="str">
        <f t="shared" si="11"/>
        <v>建筑结构</v>
      </c>
      <c r="R34" s="1574" t="s">
        <v>11</v>
      </c>
      <c r="S34" s="1575">
        <f t="shared" si="12"/>
        <v>100</v>
      </c>
      <c r="T34" s="1574" t="s">
        <v>11</v>
      </c>
      <c r="U34" s="1575">
        <f t="shared" si="13"/>
        <v>100</v>
      </c>
      <c r="V34" s="1574" t="s">
        <v>11</v>
      </c>
      <c r="W34" s="1575">
        <f t="shared" si="14"/>
        <v>100</v>
      </c>
      <c r="X34" s="1568"/>
      <c r="Y34" s="3425"/>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25"/>
      <c r="Q35" s="1573" t="str">
        <f t="shared" si="11"/>
        <v>建筑品质</v>
      </c>
      <c r="R35" s="1574" t="s">
        <v>11</v>
      </c>
      <c r="S35" s="1575">
        <f t="shared" si="12"/>
        <v>100</v>
      </c>
      <c r="T35" s="1574" t="s">
        <v>11</v>
      </c>
      <c r="U35" s="1575">
        <f t="shared" si="13"/>
        <v>100</v>
      </c>
      <c r="V35" s="1574" t="s">
        <v>11</v>
      </c>
      <c r="W35" s="1575">
        <f t="shared" si="14"/>
        <v>100</v>
      </c>
      <c r="X35" s="1568"/>
      <c r="Y35" s="3425"/>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25"/>
      <c r="Q36" s="1573" t="str">
        <f t="shared" si="11"/>
        <v>公共部分装修</v>
      </c>
      <c r="R36" s="1574" t="s">
        <v>11</v>
      </c>
      <c r="S36" s="1575">
        <f t="shared" si="12"/>
        <v>100</v>
      </c>
      <c r="T36" s="1574" t="s">
        <v>11</v>
      </c>
      <c r="U36" s="1575">
        <f t="shared" si="13"/>
        <v>100</v>
      </c>
      <c r="V36" s="1574" t="s">
        <v>11</v>
      </c>
      <c r="W36" s="1575">
        <f t="shared" si="14"/>
        <v>100</v>
      </c>
      <c r="X36" s="1568"/>
      <c r="Y36" s="3425"/>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f>1-(2018-2015)/60</f>
        <v>0.95</v>
      </c>
      <c r="J37" s="255">
        <f>LOOKUP(I37,112:112,113:113)-LOOKUP(C37,112:112,113:113)+100</f>
        <v>100</v>
      </c>
      <c r="K37" s="864">
        <v>1</v>
      </c>
      <c r="L37" s="2137"/>
      <c r="M37" s="2138"/>
      <c r="N37" s="2138"/>
      <c r="O37" s="2139"/>
      <c r="P37" s="3425"/>
      <c r="Q37" s="1151" t="str">
        <f t="shared" si="11"/>
        <v>成新度</v>
      </c>
      <c r="R37" s="1569" t="s">
        <v>11</v>
      </c>
      <c r="S37" s="1570">
        <f t="shared" si="12"/>
        <v>100</v>
      </c>
      <c r="T37" s="1569" t="s">
        <v>11</v>
      </c>
      <c r="U37" s="1570">
        <f t="shared" si="13"/>
        <v>100</v>
      </c>
      <c r="V37" s="1569" t="s">
        <v>11</v>
      </c>
      <c r="W37" s="1570">
        <f t="shared" si="14"/>
        <v>100</v>
      </c>
      <c r="X37" s="1571"/>
      <c r="Y37" s="3425"/>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25" t="s">
        <v>550</v>
      </c>
      <c r="Q38" s="1573" t="str">
        <f t="shared" si="11"/>
        <v>物业管理</v>
      </c>
      <c r="R38" s="1574" t="s">
        <v>11</v>
      </c>
      <c r="S38" s="1575">
        <f t="shared" si="12"/>
        <v>100</v>
      </c>
      <c r="T38" s="1574" t="s">
        <v>11</v>
      </c>
      <c r="U38" s="1575">
        <f t="shared" si="13"/>
        <v>100</v>
      </c>
      <c r="V38" s="1574" t="s">
        <v>11</v>
      </c>
      <c r="W38" s="1575">
        <f t="shared" si="14"/>
        <v>100</v>
      </c>
      <c r="X38" s="1568"/>
      <c r="Y38" s="3425"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25"/>
      <c r="Q39" s="1573" t="str">
        <f t="shared" si="11"/>
        <v>市政基础设施</v>
      </c>
      <c r="R39" s="1574" t="s">
        <v>11</v>
      </c>
      <c r="S39" s="1575">
        <f t="shared" si="12"/>
        <v>100</v>
      </c>
      <c r="T39" s="1574" t="s">
        <v>11</v>
      </c>
      <c r="U39" s="1575">
        <f t="shared" si="13"/>
        <v>100</v>
      </c>
      <c r="V39" s="1574" t="s">
        <v>11</v>
      </c>
      <c r="W39" s="1575">
        <f t="shared" si="14"/>
        <v>100</v>
      </c>
      <c r="X39" s="1568"/>
      <c r="Y39" s="3425"/>
      <c r="Z39" s="1576" t="str">
        <f t="shared" si="15"/>
        <v>市政基础设施</v>
      </c>
      <c r="AA39" s="1577">
        <f t="shared" si="3"/>
        <v>1</v>
      </c>
      <c r="AB39" s="1577">
        <f t="shared" si="4"/>
        <v>1</v>
      </c>
      <c r="AC39" s="1577">
        <f t="shared" si="5"/>
        <v>1</v>
      </c>
    </row>
    <row r="40" spans="1:29" ht="15.75" thickBot="1">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25"/>
      <c r="Q40" s="1573" t="str">
        <f t="shared" si="11"/>
        <v>房型</v>
      </c>
      <c r="R40" s="1574" t="s">
        <v>11</v>
      </c>
      <c r="S40" s="1575">
        <f t="shared" si="12"/>
        <v>100</v>
      </c>
      <c r="T40" s="1574" t="s">
        <v>11</v>
      </c>
      <c r="U40" s="1575">
        <f t="shared" si="13"/>
        <v>100</v>
      </c>
      <c r="V40" s="1574" t="s">
        <v>11</v>
      </c>
      <c r="W40" s="1575">
        <f t="shared" si="14"/>
        <v>100</v>
      </c>
      <c r="X40" s="1568"/>
      <c r="Y40" s="3425"/>
      <c r="Z40" s="1576" t="str">
        <f t="shared" si="15"/>
        <v>房型</v>
      </c>
      <c r="AA40" s="1577">
        <f t="shared" si="3"/>
        <v>1</v>
      </c>
      <c r="AB40" s="1577">
        <f t="shared" si="4"/>
        <v>1</v>
      </c>
      <c r="AC40" s="1577">
        <f t="shared" si="5"/>
        <v>1</v>
      </c>
    </row>
    <row r="41" spans="1:29" s="1339" customFormat="1" ht="29.25" thickTop="1">
      <c r="A41" s="603"/>
      <c r="B41" s="527" t="s">
        <v>733</v>
      </c>
      <c r="C41" s="880" t="s">
        <v>3206</v>
      </c>
      <c r="D41" s="255">
        <v>100</v>
      </c>
      <c r="E41" s="688" t="s">
        <v>3202</v>
      </c>
      <c r="F41" s="863">
        <f>SUMIF(120:120,E41,121:121)-SUMIF(120:120,C41,121:121)+100</f>
        <v>97.5</v>
      </c>
      <c r="G41" s="533" t="s">
        <v>3203</v>
      </c>
      <c r="H41" s="255">
        <f>SUMIF(120:120,G41,121:121)-SUMIF(120:120,C41,121:121)+100</f>
        <v>95</v>
      </c>
      <c r="I41" s="533" t="s">
        <v>3207</v>
      </c>
      <c r="J41" s="540">
        <f>SUMIF(120:120,I41,121:121)-SUMIF(120:120,C41,121:121)+100</f>
        <v>92.5</v>
      </c>
      <c r="K41" s="865"/>
      <c r="L41" s="2142"/>
      <c r="M41" s="2173"/>
      <c r="N41" s="2173"/>
      <c r="O41" s="2145"/>
      <c r="P41" s="3425"/>
      <c r="Q41" s="1606" t="str">
        <f t="shared" si="11"/>
        <v>单套/主力户型建筑面积</v>
      </c>
      <c r="R41" s="1578" t="s">
        <v>11</v>
      </c>
      <c r="S41" s="1579">
        <f t="shared" si="12"/>
        <v>97.5</v>
      </c>
      <c r="T41" s="1578" t="s">
        <v>11</v>
      </c>
      <c r="U41" s="1579">
        <f t="shared" si="13"/>
        <v>95</v>
      </c>
      <c r="V41" s="1578" t="s">
        <v>11</v>
      </c>
      <c r="W41" s="1579">
        <f t="shared" si="14"/>
        <v>92.5</v>
      </c>
      <c r="X41" s="1580"/>
      <c r="Y41" s="3425"/>
      <c r="Z41" s="1581" t="str">
        <f t="shared" si="15"/>
        <v>单套/主力户型建筑面积</v>
      </c>
      <c r="AA41" s="1577">
        <f t="shared" si="3"/>
        <v>1.0256410256410255</v>
      </c>
      <c r="AB41" s="1577">
        <f t="shared" si="4"/>
        <v>1.0526315789473684</v>
      </c>
      <c r="AC41" s="1577">
        <f t="shared" si="5"/>
        <v>1.0810810810810811</v>
      </c>
    </row>
    <row r="42" spans="1:29" ht="15">
      <c r="A42" s="594"/>
      <c r="B42" s="527" t="s">
        <v>734</v>
      </c>
      <c r="C42" s="599" t="s">
        <v>3082</v>
      </c>
      <c r="D42" s="540">
        <v>100</v>
      </c>
      <c r="E42" s="599" t="s">
        <v>3082</v>
      </c>
      <c r="F42" s="575">
        <f>SUMIF(122:122,E42,123:123)-SUMIF(122:122,C42,123:123)+100</f>
        <v>100</v>
      </c>
      <c r="G42" s="599" t="s">
        <v>3088</v>
      </c>
      <c r="H42" s="540">
        <f>SUMIF(122:122,G42,123:123)-SUMIF(122:122,C42,123:123)+100</f>
        <v>91</v>
      </c>
      <c r="I42" s="599" t="s">
        <v>3208</v>
      </c>
      <c r="J42" s="540">
        <f>SUMIF(122:122,I42,123:123)-SUMIF(122:122,C42,123:123)+100</f>
        <v>103</v>
      </c>
      <c r="K42" s="864">
        <v>3</v>
      </c>
      <c r="L42" s="2144"/>
      <c r="M42" s="2136"/>
      <c r="N42" s="2136"/>
      <c r="O42" s="2143"/>
      <c r="P42" s="3425"/>
      <c r="Q42" s="1573" t="str">
        <f t="shared" si="11"/>
        <v>内部装修</v>
      </c>
      <c r="R42" s="1574" t="s">
        <v>11</v>
      </c>
      <c r="S42" s="1575">
        <f t="shared" si="12"/>
        <v>100</v>
      </c>
      <c r="T42" s="1574" t="s">
        <v>11</v>
      </c>
      <c r="U42" s="1575">
        <f t="shared" si="13"/>
        <v>91</v>
      </c>
      <c r="V42" s="1574" t="s">
        <v>11</v>
      </c>
      <c r="W42" s="1575">
        <f t="shared" si="14"/>
        <v>103</v>
      </c>
      <c r="X42" s="1568"/>
      <c r="Y42" s="3425"/>
      <c r="Z42" s="1576" t="str">
        <f t="shared" si="15"/>
        <v>内部装修</v>
      </c>
      <c r="AA42" s="1577">
        <f t="shared" si="3"/>
        <v>1</v>
      </c>
      <c r="AB42" s="1577">
        <f t="shared" si="4"/>
        <v>1.098901098901099</v>
      </c>
      <c r="AC42" s="1577">
        <f t="shared" si="5"/>
        <v>0.970873786407767</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25"/>
      <c r="Q43" s="1573" t="str">
        <f t="shared" si="11"/>
        <v>内部装修维护情况</v>
      </c>
      <c r="R43" s="1574" t="s">
        <v>11</v>
      </c>
      <c r="S43" s="1575">
        <f t="shared" si="12"/>
        <v>100</v>
      </c>
      <c r="T43" s="1574" t="s">
        <v>11</v>
      </c>
      <c r="U43" s="1575">
        <f t="shared" si="13"/>
        <v>100</v>
      </c>
      <c r="V43" s="1574" t="s">
        <v>11</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3215" t="s">
        <v>3105</v>
      </c>
      <c r="C44" s="3216" t="s">
        <v>3106</v>
      </c>
      <c r="D44" s="255">
        <v>100</v>
      </c>
      <c r="E44" s="3216" t="s">
        <v>3106</v>
      </c>
      <c r="F44" s="863">
        <f>SUMIF(126:126,E44,127:127)-SUMIF(126:126,C44,127:127)+100</f>
        <v>100</v>
      </c>
      <c r="G44" s="3216" t="s">
        <v>3106</v>
      </c>
      <c r="H44" s="255">
        <f>SUMIF(126:126,G44,127:127)-SUMIF(126:126,C44,127:127)+100</f>
        <v>100</v>
      </c>
      <c r="I44" s="3216" t="s">
        <v>3107</v>
      </c>
      <c r="J44" s="255">
        <f>SUMIF(126:126,I44,127:127)-SUMIF(126:126,C44,127:127)+100</f>
        <v>105</v>
      </c>
      <c r="K44" s="865"/>
      <c r="L44" s="2137"/>
      <c r="M44" s="2138"/>
      <c r="N44" s="2138"/>
      <c r="O44" s="2139"/>
      <c r="P44" s="3425"/>
      <c r="Q44" s="1151" t="str">
        <f t="shared" si="11"/>
        <v>临江</v>
      </c>
      <c r="R44" s="1569" t="s">
        <v>11</v>
      </c>
      <c r="S44" s="1570">
        <f t="shared" si="12"/>
        <v>100</v>
      </c>
      <c r="T44" s="1569" t="s">
        <v>11</v>
      </c>
      <c r="U44" s="1570">
        <f t="shared" si="13"/>
        <v>100</v>
      </c>
      <c r="V44" s="1569" t="s">
        <v>11</v>
      </c>
      <c r="W44" s="1570">
        <f t="shared" si="14"/>
        <v>105</v>
      </c>
      <c r="X44" s="1571"/>
      <c r="Y44" s="3425"/>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5"/>
      <c r="Q45" s="1573">
        <f t="shared" si="11"/>
        <v>111</v>
      </c>
      <c r="R45" s="1574" t="s">
        <v>11</v>
      </c>
      <c r="S45" s="1575">
        <f t="shared" si="12"/>
        <v>100</v>
      </c>
      <c r="T45" s="1574" t="s">
        <v>11</v>
      </c>
      <c r="U45" s="1575">
        <f t="shared" si="13"/>
        <v>100</v>
      </c>
      <c r="V45" s="1574" t="s">
        <v>11</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0"/>
      <c r="Q46" s="1573">
        <f t="shared" si="11"/>
        <v>111</v>
      </c>
      <c r="R46" s="1574" t="s">
        <v>10</v>
      </c>
      <c r="S46" s="1575">
        <f t="shared" si="12"/>
        <v>100</v>
      </c>
      <c r="T46" s="1574" t="s">
        <v>10</v>
      </c>
      <c r="U46" s="1575">
        <f t="shared" si="13"/>
        <v>100</v>
      </c>
      <c r="V46" s="1574" t="s">
        <v>10</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20" t="str">
        <f>A47</f>
        <v>成交单价（元/平方米）</v>
      </c>
      <c r="Q47" s="3420"/>
      <c r="R47" s="3499">
        <f>E47</f>
        <v>136292</v>
      </c>
      <c r="S47" s="3499"/>
      <c r="T47" s="3499">
        <f>G47</f>
        <v>130000</v>
      </c>
      <c r="U47" s="3499"/>
      <c r="V47" s="3499">
        <f>I47</f>
        <v>151855</v>
      </c>
      <c r="W47" s="3499"/>
      <c r="X47" s="1560"/>
      <c r="Y47" s="1582"/>
      <c r="Z47" s="1560"/>
      <c r="AA47" s="1560"/>
      <c r="AB47" s="1560"/>
      <c r="AC47" s="1560"/>
    </row>
    <row r="48" spans="1:29" ht="15.75" thickBot="1">
      <c r="A48" s="615" t="s">
        <v>2760</v>
      </c>
      <c r="B48" s="888"/>
      <c r="C48" s="2659">
        <f>R49</f>
        <v>148482</v>
      </c>
      <c r="D48" s="2660"/>
      <c r="E48" s="2661">
        <f>R48</f>
        <v>138403</v>
      </c>
      <c r="F48" s="2661"/>
      <c r="G48" s="2659">
        <f>T48</f>
        <v>150391</v>
      </c>
      <c r="H48" s="2660"/>
      <c r="I48" s="2661">
        <f>V48</f>
        <v>156652</v>
      </c>
      <c r="J48" s="2660"/>
      <c r="K48" s="1608"/>
      <c r="L48" s="2146"/>
      <c r="M48" s="2147"/>
      <c r="N48" s="2147"/>
      <c r="O48" s="2147"/>
      <c r="P48" s="3420" t="str">
        <f>A48</f>
        <v>比较价格（元/平方米）</v>
      </c>
      <c r="Q48" s="3420"/>
      <c r="R48" s="3499">
        <f>IF(F1="售价",ROUND(PRODUCT(R47,AA7:AA46),0),ROUND(PRODUCT(R47,AA7:AA46),1))</f>
        <v>138403</v>
      </c>
      <c r="S48" s="3499"/>
      <c r="T48" s="3499">
        <f>IF(F1="售价",ROUND(PRODUCT(T47,AB7:AB46),0),ROUND(PRODUCT(T47,AB7:AB46),1))</f>
        <v>150391</v>
      </c>
      <c r="U48" s="3499"/>
      <c r="V48" s="3499">
        <f>IF(F1="售价",ROUND(PRODUCT(V47,AC7:AC46),0),ROUND(PRODUCT(V47,AC7:AC46),1))</f>
        <v>156652</v>
      </c>
      <c r="W48" s="3499"/>
      <c r="X48" s="1560"/>
      <c r="Y48" s="1560"/>
      <c r="Z48" s="1560"/>
      <c r="AA48" s="1560"/>
      <c r="AB48" s="1560"/>
      <c r="AC48" s="1560"/>
    </row>
    <row r="49" spans="1:29" ht="15.75" thickBot="1">
      <c r="A49" s="621" t="s">
        <v>2933</v>
      </c>
      <c r="B49" s="622"/>
      <c r="C49" s="2662">
        <f>R49</f>
        <v>148482</v>
      </c>
      <c r="D49" s="2662"/>
      <c r="E49" s="2662"/>
      <c r="F49" s="2662"/>
      <c r="G49" s="2662"/>
      <c r="H49" s="2662"/>
      <c r="I49" s="2662"/>
      <c r="J49" s="2662"/>
      <c r="K49" s="1609"/>
      <c r="L49" s="2146"/>
      <c r="M49" s="2147"/>
      <c r="N49" s="2147"/>
      <c r="O49" s="2147"/>
      <c r="P49" s="3441" t="str">
        <f>A49</f>
        <v>估价对象XX用房的比较价格（楼面单价，元/平方米）</v>
      </c>
      <c r="Q49" s="3442"/>
      <c r="R49" s="3498">
        <f>IF(F1="售价",ROUND(AVERAGE(R48:V48),0),ROUND(AVERAGE(R48:V48),1))</f>
        <v>148482</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1.5488803451413125E-2</v>
      </c>
      <c r="F52" s="627" t="str">
        <f>IF(OR(E52&gt;=0.3,E52&lt;=-0.3),"超过30%","")</f>
        <v/>
      </c>
      <c r="G52" s="626">
        <f>IF(G47&lt;G48,G48/G47-1,G47/G48-1)</f>
        <v>0.15685384615384623</v>
      </c>
      <c r="H52" s="627" t="str">
        <f>IF(OR(G52&gt;=0.3,G52&lt;=-0.3),"超过30%","")</f>
        <v/>
      </c>
      <c r="I52" s="626">
        <f>IF(I47&lt;I48,I48/I47-1,I47/I48-1)</f>
        <v>3.1589345098943067E-2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8.6616619581945553E-2</v>
      </c>
      <c r="F53" s="627" t="str">
        <f>IF(OR(E53&gt;=0.2,E53&lt;=-0.2),"超过20%","")</f>
        <v/>
      </c>
      <c r="G53" s="626">
        <f>IF(G48&lt;I48,I48/G48-1,G48/I48-1)</f>
        <v>4.1631480607217108E-2</v>
      </c>
      <c r="H53" s="627" t="str">
        <f>IF(OR(G53&gt;=0.2,G53&lt;=-0.2),"超过20%","")</f>
        <v/>
      </c>
      <c r="I53" s="626">
        <f>IF(I48&lt;E48,E48/I48-1,I48/E48-1)</f>
        <v>0.13185407830755125</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3109</v>
      </c>
      <c r="D100" s="3208" t="s">
        <v>3112</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t="s">
        <v>3201</v>
      </c>
      <c r="D120" s="688" t="s">
        <v>3202</v>
      </c>
      <c r="E120" s="688" t="s">
        <v>3204</v>
      </c>
      <c r="F120" s="688" t="s">
        <v>3205</v>
      </c>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v>100</v>
      </c>
      <c r="D121" s="671">
        <f>C121-2.5</f>
        <v>97.5</v>
      </c>
      <c r="E121" s="671">
        <f t="shared" ref="E121:F121" si="29">D121-2.5</f>
        <v>95</v>
      </c>
      <c r="F121" s="671">
        <f t="shared" si="29"/>
        <v>92.5</v>
      </c>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3209</v>
      </c>
      <c r="D122" s="3207" t="s">
        <v>3073</v>
      </c>
      <c r="E122" s="3207" t="s">
        <v>3074</v>
      </c>
      <c r="F122" s="3207" t="s">
        <v>3075</v>
      </c>
      <c r="G122" s="3209" t="s">
        <v>3076</v>
      </c>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3107</v>
      </c>
      <c r="D126" s="3207" t="s">
        <v>3106</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J53" sqref="J5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3101</v>
      </c>
      <c r="E1" s="2413" t="s">
        <v>2374</v>
      </c>
      <c r="F1" s="2414">
        <f ca="1">J53</f>
        <v>68.510000000000005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129182</v>
      </c>
      <c r="C2" s="2059"/>
      <c r="D2" s="2057"/>
      <c r="E2" s="2058"/>
      <c r="F2" s="2058"/>
      <c r="G2" s="1591"/>
      <c r="H2" s="2059"/>
      <c r="I2" s="2059"/>
      <c r="J2" s="2059"/>
      <c r="K2" s="2060"/>
      <c r="L2" s="2059"/>
      <c r="M2" s="2059"/>
    </row>
    <row r="3" spans="1:33" ht="18" customHeight="1" thickBot="1">
      <c r="A3" s="833" t="s">
        <v>519</v>
      </c>
      <c r="B3" s="834">
        <f ca="1">IF(ISERROR(B2*10000/F43),0,ROUND(B2*10000/F43,0))</f>
        <v>102368</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2628</v>
      </c>
      <c r="D5" s="2522" t="s">
        <v>2461</v>
      </c>
      <c r="E5" s="2516"/>
      <c r="F5" s="2517"/>
      <c r="G5" s="1593"/>
      <c r="H5" s="781">
        <v>1</v>
      </c>
      <c r="I5" s="782" t="s">
        <v>2458</v>
      </c>
      <c r="J5" s="55">
        <f ca="1">J6+J10+J12</f>
        <v>0</v>
      </c>
      <c r="K5" s="2522" t="s">
        <v>2461</v>
      </c>
      <c r="L5" s="2516"/>
      <c r="M5" s="2517"/>
    </row>
    <row r="6" spans="1:33" ht="18" customHeight="1">
      <c r="A6" s="1832" t="s">
        <v>1822</v>
      </c>
      <c r="B6" s="3480" t="s">
        <v>2463</v>
      </c>
      <c r="C6" s="783">
        <f ca="1">ROUND(F6*F8*F7*(1-F9)/10000,0)</f>
        <v>2625</v>
      </c>
      <c r="D6" s="2523" t="s">
        <v>2462</v>
      </c>
      <c r="E6" s="784" t="s">
        <v>1736</v>
      </c>
      <c r="F6" s="785">
        <f ca="1">INDIRECT("'数据-取费表'!u"&amp;$G$1)</f>
        <v>6</v>
      </c>
      <c r="G6" s="1593"/>
      <c r="H6" s="2530" t="s">
        <v>1822</v>
      </c>
      <c r="I6" s="3480" t="s">
        <v>2463</v>
      </c>
      <c r="J6" s="783">
        <f ca="1">ROUND(M6*M8*M7*(1-M9)/10000,0)</f>
        <v>0</v>
      </c>
      <c r="K6" s="341" t="s">
        <v>1735</v>
      </c>
      <c r="L6" s="784" t="s">
        <v>1736</v>
      </c>
      <c r="M6" s="785">
        <f ca="1">INDIRECT("'数据-取费表'!z"&amp;$G$1)</f>
        <v>0</v>
      </c>
    </row>
    <row r="7" spans="1:33" ht="18" customHeight="1">
      <c r="A7" s="2526"/>
      <c r="B7" s="3481"/>
      <c r="C7" s="788"/>
      <c r="D7" s="789"/>
      <c r="E7" s="784" t="s">
        <v>1737</v>
      </c>
      <c r="F7" s="785">
        <f ca="1">IF(INDIRECT("'数据-取费表'!ah"&amp;$G$1)="",INDIRECT("'数据-取费表'!k"&amp;$G$1),INDIRECT("'数据-取费表'!ah"&amp;$G$1))</f>
        <v>12619.33</v>
      </c>
      <c r="G7" s="1593"/>
      <c r="H7" s="2515"/>
      <c r="I7" s="3481"/>
      <c r="J7" s="788"/>
      <c r="K7" s="789"/>
      <c r="L7" s="784" t="s">
        <v>1737</v>
      </c>
      <c r="M7" s="785">
        <f ca="1">F7</f>
        <v>12619.33</v>
      </c>
    </row>
    <row r="8" spans="1:33" ht="18" customHeight="1">
      <c r="A8" s="2519"/>
      <c r="B8" s="3482"/>
      <c r="C8" s="788"/>
      <c r="D8" s="789"/>
      <c r="E8" s="784" t="s">
        <v>1738</v>
      </c>
      <c r="F8" s="785">
        <f ca="1">INDIRECT("'数据-取费表'!ai"&amp;$G$1)</f>
        <v>365</v>
      </c>
      <c r="G8" s="1593"/>
      <c r="H8" s="2515"/>
      <c r="I8" s="3482"/>
      <c r="J8" s="788"/>
      <c r="K8" s="789"/>
      <c r="L8" s="784" t="s">
        <v>1738</v>
      </c>
      <c r="M8" s="785">
        <f ca="1">INDIRECT("'数据-取费表'!ai"&amp;$G$1)</f>
        <v>365</v>
      </c>
    </row>
    <row r="9" spans="1:33" ht="18" customHeight="1">
      <c r="A9" s="786"/>
      <c r="B9" s="3483"/>
      <c r="C9" s="788"/>
      <c r="D9" s="789"/>
      <c r="E9" s="784" t="s">
        <v>1739</v>
      </c>
      <c r="F9" s="794">
        <f ca="1">INDIRECT("'数据-取费表'!w"&amp;$G$1)</f>
        <v>0.05</v>
      </c>
      <c r="G9" s="1593"/>
      <c r="H9" s="2531"/>
      <c r="I9" s="3482"/>
      <c r="J9" s="788"/>
      <c r="K9" s="789"/>
      <c r="L9" s="795" t="s">
        <v>1739</v>
      </c>
      <c r="M9" s="796">
        <f ca="1">INDIRECT("'数据-取费表'!ab"&amp;$G$1)</f>
        <v>0</v>
      </c>
    </row>
    <row r="10" spans="1:33" ht="18" customHeight="1">
      <c r="A10" s="1832" t="s">
        <v>1832</v>
      </c>
      <c r="B10" s="2520" t="s">
        <v>2459</v>
      </c>
      <c r="C10" s="799">
        <f ca="1">ROUND(IF(F10="押一",C6/12*F11,IF(F10="押二",C6/12*2*F11,IF(F10="押三",C6/12*3*F11,C11*F11))),0)</f>
        <v>3</v>
      </c>
      <c r="D10" s="2527" t="s">
        <v>2974</v>
      </c>
      <c r="E10" s="2524" t="s">
        <v>2464</v>
      </c>
      <c r="F10" s="2647" t="s">
        <v>3102</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7833</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5910</v>
      </c>
      <c r="D14" s="3181" t="s">
        <v>1743</v>
      </c>
      <c r="E14" s="3182"/>
      <c r="F14" s="805"/>
      <c r="G14" s="1593"/>
      <c r="H14" s="1650" t="s">
        <v>1822</v>
      </c>
      <c r="I14" s="2233" t="s">
        <v>2826</v>
      </c>
      <c r="J14" s="53">
        <f ca="1">C29</f>
        <v>7833</v>
      </c>
      <c r="K14" s="26"/>
      <c r="L14" s="801"/>
      <c r="M14" s="802"/>
    </row>
    <row r="15" spans="1:33" s="2066" customFormat="1" ht="18" customHeight="1" thickBot="1">
      <c r="A15" s="1649" t="s">
        <v>1830</v>
      </c>
      <c r="B15" s="784" t="s">
        <v>647</v>
      </c>
      <c r="C15" s="53">
        <f ca="1">ROUND(C14*F15,0)</f>
        <v>177</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170</v>
      </c>
      <c r="D16" s="784" t="s">
        <v>1744</v>
      </c>
      <c r="E16" s="784" t="s">
        <v>1745</v>
      </c>
      <c r="F16" s="809">
        <f ca="1">IF(INDIRECT("'数据-取费表'!c"&amp;$G$1)="住宅",'数据-取费表'!B34,0)</f>
        <v>0.03</v>
      </c>
      <c r="G16" s="1593"/>
      <c r="H16" s="1831" t="s">
        <v>1746</v>
      </c>
      <c r="I16" s="1829" t="s">
        <v>1747</v>
      </c>
      <c r="J16" s="792">
        <f ca="1">ROUND(J17+J22+J23+J24,0)</f>
        <v>153</v>
      </c>
      <c r="K16" s="1823" t="s">
        <v>1748</v>
      </c>
      <c r="L16" s="3183"/>
      <c r="M16" s="2517"/>
    </row>
    <row r="17" spans="1:33" s="2066" customFormat="1" ht="18" customHeight="1">
      <c r="A17" s="1649" t="s">
        <v>1885</v>
      </c>
      <c r="B17" s="784" t="s">
        <v>653</v>
      </c>
      <c r="C17" s="53">
        <f ca="1">ROUND(F17*(F43+INDIRECT("'数据-取费表'!S"&amp;$G$1))/10000,0)</f>
        <v>266</v>
      </c>
      <c r="D17" s="784" t="s">
        <v>1749</v>
      </c>
      <c r="E17" s="784" t="s">
        <v>1750</v>
      </c>
      <c r="F17" s="56">
        <f>'数据-取费表'!B35</f>
        <v>200</v>
      </c>
      <c r="G17" s="1594"/>
      <c r="H17" s="1650" t="s">
        <v>1822</v>
      </c>
      <c r="I17" s="784" t="s">
        <v>656</v>
      </c>
      <c r="J17" s="53">
        <f ca="1">ROUND(IF(项目基本情况!B11="自然人",J5*M17,J18+J19+J20),0)</f>
        <v>75</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89</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6612</v>
      </c>
      <c r="D19" s="261" t="s">
        <v>1755</v>
      </c>
      <c r="E19" s="3185"/>
      <c r="F19" s="56"/>
      <c r="G19" s="1593"/>
      <c r="H19" s="1649" t="s">
        <v>1830</v>
      </c>
      <c r="I19" s="784" t="s">
        <v>1756</v>
      </c>
      <c r="J19" s="53">
        <f ca="1">IF(K19="按租金收入计税",ROUND(J5*M19,1),ROUND(C29*F33*0.7,1))</f>
        <v>65.8</v>
      </c>
      <c r="K19" s="811" t="s">
        <v>665</v>
      </c>
      <c r="L19" s="784" t="s">
        <v>1745</v>
      </c>
      <c r="M19" s="809">
        <f>IF(K19="按租金收入计税",'数据-取费表'!B51,'数据-取费表'!B50)</f>
        <v>1.2E-2</v>
      </c>
    </row>
    <row r="20" spans="1:33" s="2066" customFormat="1" ht="18" customHeight="1">
      <c r="A20" s="1650" t="s">
        <v>1887</v>
      </c>
      <c r="B20" s="784" t="s">
        <v>666</v>
      </c>
      <c r="C20" s="53">
        <f ca="1">ROUND(C19*F20,0)</f>
        <v>66</v>
      </c>
      <c r="D20" s="812" t="s">
        <v>1757</v>
      </c>
      <c r="E20" s="784" t="s">
        <v>1745</v>
      </c>
      <c r="F20" s="809">
        <f>'数据-取费表'!B37</f>
        <v>0.01</v>
      </c>
      <c r="G20" s="1594"/>
      <c r="H20" s="1652" t="s">
        <v>1831</v>
      </c>
      <c r="I20" s="341" t="s">
        <v>1758</v>
      </c>
      <c r="J20" s="54">
        <f ca="1">ROUND(M20*M21/10000,0)</f>
        <v>9</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2946.32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78</v>
      </c>
      <c r="K22" s="318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317</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-153</v>
      </c>
      <c r="K25" s="2574" t="s">
        <v>1775</v>
      </c>
      <c r="L25" s="2575"/>
      <c r="M25" s="2576"/>
    </row>
    <row r="26" spans="1:33" ht="18" customHeight="1">
      <c r="A26" s="1649" t="s">
        <v>1829</v>
      </c>
      <c r="B26" s="784" t="s">
        <v>2438</v>
      </c>
      <c r="C26" s="53">
        <f ca="1">ROUND((C19+C20)*F26,0)</f>
        <v>334</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5.0000000000000001E-4</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7833</v>
      </c>
      <c r="D29" s="2571"/>
      <c r="E29" s="2572"/>
      <c r="F29" s="2573"/>
      <c r="G29" s="1594"/>
      <c r="H29" s="823" t="s">
        <v>1785</v>
      </c>
      <c r="I29" s="824" t="s">
        <v>1786</v>
      </c>
      <c r="J29" s="825">
        <f ca="1">ROUND(J26/(1+F40)^F41,0)</f>
        <v>0</v>
      </c>
      <c r="K29" s="826" t="s">
        <v>1787</v>
      </c>
      <c r="L29" s="827"/>
      <c r="M29" s="828">
        <f ca="1">INDIRECT("'数据-取费表'!k"&amp;$G$1)</f>
        <v>12619.33</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331</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214.8</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140.19999999999999</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65.8</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8.8000000000000007</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2946.32</v>
      </c>
      <c r="G35" s="2064"/>
      <c r="H35" s="2067"/>
      <c r="I35" s="837" t="s">
        <v>1812</v>
      </c>
      <c r="J35" s="838">
        <f ca="1">ROUND(C13*J36,0)</f>
        <v>627</v>
      </c>
      <c r="K35" s="2080"/>
      <c r="L35" s="2079"/>
      <c r="M35" s="2079"/>
    </row>
    <row r="36" spans="1:18" ht="18" customHeight="1">
      <c r="A36" s="1650" t="s">
        <v>1887</v>
      </c>
      <c r="B36" s="784" t="s">
        <v>1766</v>
      </c>
      <c r="C36" s="53">
        <f ca="1">ROUND(C29*F36,1)</f>
        <v>78.3</v>
      </c>
      <c r="D36" s="3180"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11.7</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26.3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2297</v>
      </c>
      <c r="D39" s="2574" t="s">
        <v>1775</v>
      </c>
      <c r="E39" s="2575"/>
      <c r="F39" s="2576"/>
      <c r="G39" s="2064"/>
      <c r="H39" s="2079"/>
      <c r="I39" s="837" t="s">
        <v>1816</v>
      </c>
      <c r="J39" s="845">
        <f ca="1">ROUND(J35/C39,3)</f>
        <v>0.27300000000000002</v>
      </c>
      <c r="K39" s="2085"/>
      <c r="L39" s="2079"/>
      <c r="M39" s="2079"/>
    </row>
    <row r="40" spans="1:18" ht="18" customHeight="1">
      <c r="A40" s="781" t="s">
        <v>1893</v>
      </c>
      <c r="B40" s="2234" t="s">
        <v>2300</v>
      </c>
      <c r="C40" s="783">
        <f ca="1">ROUND(C39*(1-((1+F42)/(1+F40))^F41)/(F40-F42),0)</f>
        <v>129182</v>
      </c>
      <c r="D40" s="814" t="s">
        <v>1779</v>
      </c>
      <c r="E40" s="784" t="s">
        <v>2419</v>
      </c>
      <c r="F40" s="794">
        <f ca="1">INDIRECT("'数据-取费表'!I"&amp;$G$1)</f>
        <v>0.04</v>
      </c>
      <c r="G40" s="2064"/>
      <c r="H40" s="2064"/>
      <c r="I40" s="837" t="s">
        <v>1817</v>
      </c>
      <c r="J40" s="845">
        <f ca="1">1-J39</f>
        <v>0.72699999999999998</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68.510000000000005</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6.0999999999999999E-2</v>
      </c>
      <c r="K42" s="2084"/>
      <c r="L42" s="1990"/>
      <c r="M42" s="1990"/>
    </row>
    <row r="43" spans="1:18" ht="18" customHeight="1" thickBot="1">
      <c r="A43" s="823" t="s">
        <v>1785</v>
      </c>
      <c r="B43" s="824" t="s">
        <v>1808</v>
      </c>
      <c r="C43" s="825">
        <f ca="1">ROUND(C40*10000/F43,0)</f>
        <v>102368</v>
      </c>
      <c r="D43" s="826" t="s">
        <v>1809</v>
      </c>
      <c r="E43" s="827" t="s">
        <v>1810</v>
      </c>
      <c r="F43" s="828">
        <f ca="1">INDIRECT("'数据-取费表'!k"&amp;$G$1)</f>
        <v>12619.33</v>
      </c>
      <c r="G43" s="2064"/>
      <c r="H43" s="1990"/>
      <c r="I43" s="847" t="s">
        <v>1820</v>
      </c>
      <c r="J43" s="848">
        <f ca="1">1-J42</f>
        <v>0.93900000000000006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-133026</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129182</v>
      </c>
      <c r="R48" s="2425" t="s">
        <v>2380</v>
      </c>
    </row>
    <row r="49" spans="1:18" s="2061" customFormat="1" ht="18" customHeight="1" thickBot="1">
      <c r="A49" s="786"/>
      <c r="B49" s="787"/>
      <c r="C49" s="788"/>
      <c r="D49" s="789"/>
      <c r="E49" s="784" t="s">
        <v>1737</v>
      </c>
      <c r="F49" s="785">
        <f ca="1">F7</f>
        <v>12619.33</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7833</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43204</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3225">
        <f ca="1">L48</f>
        <v>68.510000000000005</v>
      </c>
      <c r="K53" s="3501" t="s">
        <v>2966</v>
      </c>
      <c r="L53" s="3502"/>
      <c r="O53" s="2427" t="s">
        <v>2388</v>
      </c>
      <c r="P53" s="2425" t="s">
        <v>2389</v>
      </c>
      <c r="Q53" s="2426">
        <f ca="1">J53</f>
        <v>68.510000000000005</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129182</v>
      </c>
      <c r="R54" s="2429" t="s">
        <v>2392</v>
      </c>
    </row>
    <row r="55" spans="1:18" s="2061" customFormat="1" ht="18" customHeight="1" thickTop="1" thickBot="1">
      <c r="A55" s="797">
        <v>2</v>
      </c>
      <c r="B55" s="798" t="s">
        <v>644</v>
      </c>
      <c r="C55" s="799">
        <f ca="1">C13</f>
        <v>7833</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7833</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165</v>
      </c>
      <c r="D57" s="26" t="s">
        <v>1748</v>
      </c>
      <c r="E57" s="3185"/>
      <c r="F57" s="56"/>
      <c r="I57" s="2406" t="s">
        <v>2358</v>
      </c>
      <c r="J57" s="2408" t="str">
        <f ca="1">IF(OR(M47="住宅",J51&lt;L48,J56="是"),"——",J51-L48)</f>
        <v>——</v>
      </c>
      <c r="K57" s="2385" t="s">
        <v>2363</v>
      </c>
      <c r="L57" s="2394">
        <f ca="1">IF(L48&lt;J51,"——",IF(L55="比较法",L49,IF(L55="基准地价",L50,L51)))</f>
        <v>43204</v>
      </c>
      <c r="O57" s="2424" t="s">
        <v>2379</v>
      </c>
      <c r="P57" s="2425" t="s">
        <v>2409</v>
      </c>
      <c r="Q57" s="2426">
        <f ca="1">C40+J29</f>
        <v>129182</v>
      </c>
      <c r="R57" s="2425" t="s">
        <v>2380</v>
      </c>
    </row>
    <row r="58" spans="1:18" s="2061" customFormat="1" ht="28.5" customHeight="1" thickBot="1">
      <c r="A58" s="1650" t="s">
        <v>1822</v>
      </c>
      <c r="B58" s="784" t="s">
        <v>656</v>
      </c>
      <c r="C58" s="53">
        <f ca="1">ROUND(IF(项目基本情况!B11="自然人",C47*F58,C59+C60+C61),1)</f>
        <v>74.599999999999994</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65.8</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8.8000000000000007</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2946.32</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78.3</v>
      </c>
      <c r="D63" s="3180" t="s">
        <v>1801</v>
      </c>
      <c r="E63" s="784" t="s">
        <v>1745</v>
      </c>
      <c r="F63" s="817">
        <f t="shared" ca="1" si="0"/>
        <v>0.01</v>
      </c>
      <c r="I63" s="2411" t="s">
        <v>2370</v>
      </c>
      <c r="J63" s="2412">
        <v>70</v>
      </c>
      <c r="K63" s="2412">
        <v>50</v>
      </c>
      <c r="L63" s="2412">
        <v>80</v>
      </c>
      <c r="M63" s="3129">
        <v>0.02</v>
      </c>
      <c r="O63" s="2424" t="s">
        <v>2391</v>
      </c>
      <c r="P63" s="2425" t="s">
        <v>2408</v>
      </c>
      <c r="Q63" s="2426">
        <f ca="1">Q57+Q58</f>
        <v>129182</v>
      </c>
      <c r="R63" s="2429" t="s">
        <v>2392</v>
      </c>
    </row>
    <row r="64" spans="1:18" s="2061" customFormat="1" ht="16.5" thickBot="1">
      <c r="A64" s="1650" t="s">
        <v>1888</v>
      </c>
      <c r="B64" s="784" t="s">
        <v>679</v>
      </c>
      <c r="C64" s="53">
        <f ca="1">ROUND(C55*F64,1)</f>
        <v>11.7</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-165</v>
      </c>
      <c r="D66" s="3181" t="s">
        <v>700</v>
      </c>
      <c r="E66" s="3184"/>
      <c r="F66" s="820"/>
      <c r="K66" s="2088"/>
      <c r="O66" s="2424" t="s">
        <v>2379</v>
      </c>
      <c r="P66" s="2425" t="s">
        <v>2409</v>
      </c>
      <c r="Q66" s="2426">
        <f ca="1">C40+J29</f>
        <v>129182</v>
      </c>
      <c r="R66" s="2425" t="s">
        <v>2380</v>
      </c>
    </row>
    <row r="67" spans="1:18" s="2061" customFormat="1" ht="20.25" thickBot="1">
      <c r="A67" s="781" t="s">
        <v>1778</v>
      </c>
      <c r="B67" s="2234" t="s">
        <v>2300</v>
      </c>
      <c r="C67" s="783">
        <f ca="1">ROUND(C66*(1-((1+F69)/(1+F67))^F68)/(F67-F69),0)</f>
        <v>-3844</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68.510000000000005</v>
      </c>
      <c r="O68" s="2427" t="s">
        <v>2383</v>
      </c>
      <c r="P68" s="2425" t="s">
        <v>2413</v>
      </c>
      <c r="Q68" s="2431">
        <f ca="1">L51</f>
        <v>43204</v>
      </c>
      <c r="R68" s="2432" t="s">
        <v>2416</v>
      </c>
    </row>
    <row r="69" spans="1:18" ht="20.25" thickBot="1">
      <c r="A69" s="790"/>
      <c r="B69" s="791"/>
      <c r="C69" s="792"/>
      <c r="D69" s="816"/>
      <c r="E69" s="784" t="s">
        <v>710</v>
      </c>
      <c r="F69" s="2373"/>
      <c r="O69" s="2427" t="s">
        <v>2384</v>
      </c>
      <c r="P69" s="2433" t="s">
        <v>2398</v>
      </c>
      <c r="Q69" s="2426">
        <f ca="1">ROUND(Q70-Q71*Q72,0)</f>
        <v>1670</v>
      </c>
      <c r="R69" s="2429"/>
    </row>
    <row r="70" spans="1:18" ht="15.75" thickBot="1">
      <c r="A70" s="823" t="s">
        <v>1785</v>
      </c>
      <c r="B70" s="824" t="s">
        <v>1808</v>
      </c>
      <c r="C70" s="825">
        <f ca="1">ROUND(C67*10000/F70,0)</f>
        <v>-3046</v>
      </c>
      <c r="D70" s="826" t="s">
        <v>1809</v>
      </c>
      <c r="E70" s="827" t="s">
        <v>1810</v>
      </c>
      <c r="F70" s="828">
        <f ca="1">F43</f>
        <v>12619.33</v>
      </c>
      <c r="O70" s="2427" t="s">
        <v>2399</v>
      </c>
      <c r="P70" s="2433" t="s">
        <v>2400</v>
      </c>
      <c r="Q70" s="2426">
        <f ca="1">C39</f>
        <v>2297</v>
      </c>
      <c r="R70" s="2425" t="s">
        <v>2380</v>
      </c>
    </row>
    <row r="71" spans="1:18" ht="15.75" thickBot="1">
      <c r="O71" s="2427" t="s">
        <v>2401</v>
      </c>
      <c r="P71" s="2433" t="s">
        <v>2402</v>
      </c>
      <c r="Q71" s="2426">
        <f ca="1">C13</f>
        <v>7833</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129182</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H6" sqref="H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3101</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38424</v>
      </c>
      <c r="C2" s="2059"/>
      <c r="D2" s="2057"/>
      <c r="E2" s="2058"/>
      <c r="F2" s="2058"/>
      <c r="G2" s="1591"/>
      <c r="H2" s="2059"/>
      <c r="I2" s="2059"/>
      <c r="J2" s="2059"/>
      <c r="K2" s="2060"/>
      <c r="L2" s="2059"/>
      <c r="M2" s="2059"/>
    </row>
    <row r="3" spans="1:33" ht="18" customHeight="1" thickBot="1">
      <c r="A3" s="833" t="s">
        <v>1725</v>
      </c>
      <c r="B3" s="834">
        <f ca="1">IF(ISERROR(B2*10000/F43),0,ROUND(B2*10000/F43,0))</f>
        <v>138445</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1542</v>
      </c>
      <c r="D5" s="2522" t="s">
        <v>2461</v>
      </c>
      <c r="E5" s="2516"/>
      <c r="F5" s="2517"/>
      <c r="G5" s="1593"/>
      <c r="H5" s="781">
        <v>1</v>
      </c>
      <c r="I5" s="782" t="s">
        <v>2458</v>
      </c>
      <c r="J5" s="55">
        <f ca="1">J6+J10+J12</f>
        <v>0</v>
      </c>
      <c r="K5" s="2522" t="s">
        <v>2461</v>
      </c>
      <c r="L5" s="2516"/>
      <c r="M5" s="2517"/>
    </row>
    <row r="6" spans="1:33" ht="18" customHeight="1">
      <c r="A6" s="1832" t="s">
        <v>1822</v>
      </c>
      <c r="B6" s="3480" t="s">
        <v>2463</v>
      </c>
      <c r="C6" s="783">
        <f ca="1">ROUND(F6*F8*F7*(1-F9)/10000,0)</f>
        <v>1540</v>
      </c>
      <c r="D6" s="2523" t="s">
        <v>2462</v>
      </c>
      <c r="E6" s="784" t="s">
        <v>1736</v>
      </c>
      <c r="F6" s="785">
        <f ca="1">INDIRECT("'数据-取费表'!u"&amp;$G$1)</f>
        <v>16</v>
      </c>
      <c r="G6" s="1593"/>
      <c r="H6" s="2530" t="s">
        <v>2468</v>
      </c>
      <c r="I6" s="3480" t="s">
        <v>2463</v>
      </c>
      <c r="J6" s="783">
        <f ca="1">ROUND(M6*M8*M7*(1-M9)/10000,0)</f>
        <v>0</v>
      </c>
      <c r="K6" s="341" t="s">
        <v>1735</v>
      </c>
      <c r="L6" s="784" t="s">
        <v>1736</v>
      </c>
      <c r="M6" s="785">
        <f ca="1">INDIRECT("'数据-取费表'!z"&amp;$G$1)</f>
        <v>0</v>
      </c>
    </row>
    <row r="7" spans="1:33" ht="18" customHeight="1">
      <c r="A7" s="2526"/>
      <c r="B7" s="3481"/>
      <c r="C7" s="788"/>
      <c r="D7" s="789"/>
      <c r="E7" s="784" t="s">
        <v>1737</v>
      </c>
      <c r="F7" s="785">
        <f ca="1">IF(INDIRECT("'数据-取费表'!ah"&amp;$G$1)="",INDIRECT("'数据-取费表'!k"&amp;$G$1),INDIRECT("'数据-取费表'!ah"&amp;$G$1))</f>
        <v>2775.4</v>
      </c>
      <c r="G7" s="1593"/>
      <c r="H7" s="2515"/>
      <c r="I7" s="3481"/>
      <c r="J7" s="788"/>
      <c r="K7" s="789"/>
      <c r="L7" s="784" t="s">
        <v>1737</v>
      </c>
      <c r="M7" s="785">
        <f ca="1">F7</f>
        <v>2775.4</v>
      </c>
    </row>
    <row r="8" spans="1:33" ht="18" customHeight="1">
      <c r="A8" s="2519"/>
      <c r="B8" s="3482"/>
      <c r="C8" s="788"/>
      <c r="D8" s="789"/>
      <c r="E8" s="784" t="s">
        <v>1738</v>
      </c>
      <c r="F8" s="785">
        <f ca="1">INDIRECT("'数据-取费表'!ai"&amp;$G$1)</f>
        <v>365</v>
      </c>
      <c r="G8" s="1593"/>
      <c r="H8" s="2515"/>
      <c r="I8" s="3482"/>
      <c r="J8" s="788"/>
      <c r="K8" s="789"/>
      <c r="L8" s="784" t="s">
        <v>1738</v>
      </c>
      <c r="M8" s="785">
        <f ca="1">INDIRECT("'数据-取费表'!ai"&amp;$G$1)</f>
        <v>365</v>
      </c>
    </row>
    <row r="9" spans="1:33" ht="18" customHeight="1">
      <c r="A9" s="786"/>
      <c r="B9" s="3483"/>
      <c r="C9" s="788"/>
      <c r="D9" s="789"/>
      <c r="E9" s="784" t="s">
        <v>1739</v>
      </c>
      <c r="F9" s="794">
        <f ca="1">INDIRECT("'数据-取费表'!w"&amp;$G$1)</f>
        <v>0.05</v>
      </c>
      <c r="G9" s="1593"/>
      <c r="H9" s="2531"/>
      <c r="I9" s="3482"/>
      <c r="J9" s="788"/>
      <c r="K9" s="789"/>
      <c r="L9" s="795" t="s">
        <v>1739</v>
      </c>
      <c r="M9" s="796">
        <f ca="1">INDIRECT("'数据-取费表'!ab"&amp;$G$1)</f>
        <v>0</v>
      </c>
    </row>
    <row r="10" spans="1:33" ht="18" customHeight="1">
      <c r="A10" s="1832" t="s">
        <v>2466</v>
      </c>
      <c r="B10" s="2520" t="s">
        <v>2459</v>
      </c>
      <c r="C10" s="799">
        <f ca="1">ROUND(IF(F10="押一",C6/12*F11,IF(F10="押二",C6/12*2*F11,IF(F10="押三",C6/12*3*F11,C11*F11))),0)</f>
        <v>2</v>
      </c>
      <c r="D10" s="2527" t="s">
        <v>2974</v>
      </c>
      <c r="E10" s="2524" t="s">
        <v>2464</v>
      </c>
      <c r="F10" s="2647" t="s">
        <v>3102</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1575</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1161</v>
      </c>
      <c r="D14" s="1981" t="s">
        <v>1743</v>
      </c>
      <c r="E14" s="1982"/>
      <c r="F14" s="805"/>
      <c r="G14" s="1593"/>
      <c r="H14" s="1650" t="s">
        <v>1828</v>
      </c>
      <c r="I14" s="2233" t="s">
        <v>2826</v>
      </c>
      <c r="J14" s="53">
        <f ca="1">C29</f>
        <v>1575</v>
      </c>
      <c r="K14" s="26"/>
      <c r="L14" s="801"/>
      <c r="M14" s="802"/>
    </row>
    <row r="15" spans="1:33" s="2066" customFormat="1" ht="18" customHeight="1" thickBot="1">
      <c r="A15" s="1649" t="s">
        <v>1883</v>
      </c>
      <c r="B15" s="784" t="s">
        <v>647</v>
      </c>
      <c r="C15" s="53">
        <f ca="1">ROUND(C14*F15,0)</f>
        <v>35</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31</v>
      </c>
      <c r="K16" s="1823" t="s">
        <v>1748</v>
      </c>
      <c r="L16" s="2512"/>
      <c r="M16" s="2517"/>
    </row>
    <row r="17" spans="1:33" s="2066" customFormat="1" ht="18" customHeight="1">
      <c r="A17" s="1649" t="s">
        <v>1885</v>
      </c>
      <c r="B17" s="784" t="s">
        <v>653</v>
      </c>
      <c r="C17" s="53">
        <f ca="1">ROUND(F17*(F43+INDIRECT("'数据-取费表'!S"&amp;$G$1))/10000,0)</f>
        <v>58</v>
      </c>
      <c r="D17" s="784" t="s">
        <v>1749</v>
      </c>
      <c r="E17" s="784" t="s">
        <v>1750</v>
      </c>
      <c r="F17" s="56">
        <f>'数据-取费表'!B35</f>
        <v>200</v>
      </c>
      <c r="G17" s="1594"/>
      <c r="H17" s="1650" t="s">
        <v>1828</v>
      </c>
      <c r="I17" s="784" t="s">
        <v>656</v>
      </c>
      <c r="J17" s="53">
        <f ca="1">ROUND(IF(项目基本情况!B11="自然人",J5*M17,J18+J19+J20),0)</f>
        <v>15</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17</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1271</v>
      </c>
      <c r="D19" s="261" t="s">
        <v>1755</v>
      </c>
      <c r="E19" s="1984"/>
      <c r="F19" s="56"/>
      <c r="G19" s="1593"/>
      <c r="H19" s="1649" t="s">
        <v>1883</v>
      </c>
      <c r="I19" s="784" t="s">
        <v>1756</v>
      </c>
      <c r="J19" s="53">
        <f ca="1">IF(K19="按租金收入计税",ROUND(J5*M19,1),ROUND(C29*F33*0.7,1))</f>
        <v>13.2</v>
      </c>
      <c r="K19" s="811" t="s">
        <v>665</v>
      </c>
      <c r="L19" s="784" t="s">
        <v>1745</v>
      </c>
      <c r="M19" s="809">
        <f>IF(K19="按租金收入计税",'数据-取费表'!B51,'数据-取费表'!B50)</f>
        <v>1.2E-2</v>
      </c>
    </row>
    <row r="20" spans="1:33" s="2066" customFormat="1" ht="18" customHeight="1">
      <c r="A20" s="1650" t="s">
        <v>1887</v>
      </c>
      <c r="B20" s="784" t="s">
        <v>666</v>
      </c>
      <c r="C20" s="53">
        <f ca="1">ROUND(C19*F20,0)</f>
        <v>13</v>
      </c>
      <c r="D20" s="812" t="s">
        <v>1757</v>
      </c>
      <c r="E20" s="784" t="s">
        <v>1745</v>
      </c>
      <c r="F20" s="809">
        <f>'数据-取费表'!B37</f>
        <v>0.01</v>
      </c>
      <c r="G20" s="1594"/>
      <c r="H20" s="1652" t="s">
        <v>1878</v>
      </c>
      <c r="I20" s="341" t="s">
        <v>1758</v>
      </c>
      <c r="J20" s="54">
        <f ca="1">ROUND(M20*M21/10000,0)</f>
        <v>2</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585.89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16</v>
      </c>
      <c r="K22" s="251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61</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-31</v>
      </c>
      <c r="K25" s="2574" t="s">
        <v>1775</v>
      </c>
      <c r="L25" s="2575"/>
      <c r="M25" s="2576"/>
    </row>
    <row r="26" spans="1:33" ht="18" customHeight="1">
      <c r="A26" s="1649" t="s">
        <v>1829</v>
      </c>
      <c r="B26" s="784" t="s">
        <v>2438</v>
      </c>
      <c r="C26" s="53">
        <f ca="1">ROUND((C19+C20)*F26,0)</f>
        <v>128</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1575</v>
      </c>
      <c r="D29" s="2571"/>
      <c r="E29" s="2572"/>
      <c r="F29" s="2573"/>
      <c r="G29" s="1594"/>
      <c r="H29" s="823" t="s">
        <v>1785</v>
      </c>
      <c r="I29" s="824" t="s">
        <v>1786</v>
      </c>
      <c r="J29" s="825">
        <f ca="1">ROUND(J26/(1+F40)^F41,0)</f>
        <v>0</v>
      </c>
      <c r="K29" s="826" t="s">
        <v>1787</v>
      </c>
      <c r="L29" s="827"/>
      <c r="M29" s="828">
        <f ca="1">INDIRECT("'数据-取费表'!k"&amp;$G$1)</f>
        <v>2775.4</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131</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97.2</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82.2</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13.2</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1.8</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585.89</v>
      </c>
      <c r="G35" s="2064"/>
      <c r="H35" s="2067"/>
      <c r="I35" s="837" t="s">
        <v>1812</v>
      </c>
      <c r="J35" s="838">
        <f ca="1">ROUND(C13*J36,0)</f>
        <v>126</v>
      </c>
      <c r="K35" s="2080"/>
      <c r="L35" s="2079"/>
      <c r="M35" s="2079"/>
    </row>
    <row r="36" spans="1:18" ht="18" customHeight="1">
      <c r="A36" s="1650" t="s">
        <v>1887</v>
      </c>
      <c r="B36" s="784" t="s">
        <v>1800</v>
      </c>
      <c r="C36" s="53">
        <f ca="1">ROUND(C29*F36,1)</f>
        <v>15.8</v>
      </c>
      <c r="D36" s="1979"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2.4</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15.4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1411</v>
      </c>
      <c r="D39" s="2574" t="s">
        <v>1804</v>
      </c>
      <c r="E39" s="2575"/>
      <c r="F39" s="2576"/>
      <c r="G39" s="2064"/>
      <c r="H39" s="2079"/>
      <c r="I39" s="837" t="s">
        <v>1816</v>
      </c>
      <c r="J39" s="845">
        <f ca="1">ROUND(J35/C39,3)</f>
        <v>8.8999999999999996E-2</v>
      </c>
      <c r="K39" s="2085"/>
      <c r="L39" s="2079"/>
      <c r="M39" s="2079"/>
    </row>
    <row r="40" spans="1:18" ht="18" customHeight="1">
      <c r="A40" s="781" t="s">
        <v>1893</v>
      </c>
      <c r="B40" s="2234" t="s">
        <v>2300</v>
      </c>
      <c r="C40" s="783">
        <f ca="1">ROUND(C39*(1-((1+F42)/(1+F40))^F41)/(F40-F42),0)</f>
        <v>38424</v>
      </c>
      <c r="D40" s="814" t="s">
        <v>1805</v>
      </c>
      <c r="E40" s="784" t="s">
        <v>2419</v>
      </c>
      <c r="F40" s="794">
        <f ca="1">INDIRECT("'数据-取费表'!I"&amp;$G$1)</f>
        <v>0.05</v>
      </c>
      <c r="G40" s="2064"/>
      <c r="H40" s="2064"/>
      <c r="I40" s="837" t="s">
        <v>1817</v>
      </c>
      <c r="J40" s="845">
        <f ca="1">1-J39</f>
        <v>0.91100000000000003</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4.1000000000000002E-2</v>
      </c>
      <c r="K42" s="2084"/>
      <c r="L42" s="1990"/>
      <c r="M42" s="1990"/>
    </row>
    <row r="43" spans="1:18" ht="18" customHeight="1" thickBot="1">
      <c r="A43" s="823" t="s">
        <v>1785</v>
      </c>
      <c r="B43" s="824" t="s">
        <v>1808</v>
      </c>
      <c r="C43" s="825">
        <f ca="1">ROUND(C40*10000/F43,0)</f>
        <v>138445</v>
      </c>
      <c r="D43" s="826" t="s">
        <v>1809</v>
      </c>
      <c r="E43" s="827" t="s">
        <v>1810</v>
      </c>
      <c r="F43" s="828">
        <f ca="1">INDIRECT("'数据-取费表'!k"&amp;$G$1)</f>
        <v>2775.4</v>
      </c>
      <c r="G43" s="2064"/>
      <c r="H43" s="1990"/>
      <c r="I43" s="847" t="s">
        <v>1820</v>
      </c>
      <c r="J43" s="848">
        <f ca="1">1-J42</f>
        <v>0.95899999999999996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-38973</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38424</v>
      </c>
      <c r="R48" s="2425" t="s">
        <v>2380</v>
      </c>
    </row>
    <row r="49" spans="1:18" s="2061" customFormat="1" ht="18" customHeight="1" thickBot="1">
      <c r="A49" s="786"/>
      <c r="B49" s="787"/>
      <c r="C49" s="788"/>
      <c r="D49" s="789"/>
      <c r="E49" s="784" t="s">
        <v>1737</v>
      </c>
      <c r="F49" s="785">
        <f ca="1">F7</f>
        <v>2775.4</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1575</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23309</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1" t="s">
        <v>2966</v>
      </c>
      <c r="L53" s="3502"/>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38424</v>
      </c>
      <c r="R54" s="2429" t="s">
        <v>2392</v>
      </c>
    </row>
    <row r="55" spans="1:18" s="2061" customFormat="1" ht="18" customHeight="1" thickTop="1" thickBot="1">
      <c r="A55" s="797">
        <v>2</v>
      </c>
      <c r="B55" s="798" t="s">
        <v>644</v>
      </c>
      <c r="C55" s="799">
        <f ca="1">C13</f>
        <v>1575</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1575</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33</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38424</v>
      </c>
      <c r="R57" s="2425" t="s">
        <v>2380</v>
      </c>
    </row>
    <row r="58" spans="1:18" s="2061" customFormat="1" ht="28.5" customHeight="1" thickBot="1">
      <c r="A58" s="1650" t="s">
        <v>1822</v>
      </c>
      <c r="B58" s="784" t="s">
        <v>656</v>
      </c>
      <c r="C58" s="53">
        <f ca="1">ROUND(IF(项目基本情况!B11="自然人",C47*F58,C59+C60+C61),1)</f>
        <v>15</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13.2</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1.8</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585.89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15.8</v>
      </c>
      <c r="D63" s="2665" t="s">
        <v>1801</v>
      </c>
      <c r="E63" s="784" t="s">
        <v>1745</v>
      </c>
      <c r="F63" s="817">
        <f t="shared" ca="1" si="0"/>
        <v>0.01</v>
      </c>
      <c r="I63" s="2411" t="s">
        <v>2370</v>
      </c>
      <c r="J63" s="2412">
        <v>70</v>
      </c>
      <c r="K63" s="2412">
        <v>50</v>
      </c>
      <c r="L63" s="2412">
        <v>80</v>
      </c>
      <c r="M63" s="3129">
        <v>0.02</v>
      </c>
      <c r="O63" s="2424" t="s">
        <v>2391</v>
      </c>
      <c r="P63" s="2425" t="s">
        <v>2408</v>
      </c>
      <c r="Q63" s="2426">
        <f ca="1">Q57+Q58</f>
        <v>38424</v>
      </c>
      <c r="R63" s="2429" t="s">
        <v>2392</v>
      </c>
    </row>
    <row r="64" spans="1:18" s="2061" customFormat="1" ht="16.5" thickBot="1">
      <c r="A64" s="1650" t="s">
        <v>1888</v>
      </c>
      <c r="B64" s="784" t="s">
        <v>679</v>
      </c>
      <c r="C64" s="53">
        <f ca="1">ROUND(C55*F64,1)</f>
        <v>2.4</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-33</v>
      </c>
      <c r="D66" s="2664" t="s">
        <v>700</v>
      </c>
      <c r="E66" s="2663"/>
      <c r="F66" s="820"/>
      <c r="K66" s="2088"/>
      <c r="O66" s="2424" t="s">
        <v>2379</v>
      </c>
      <c r="P66" s="2425" t="s">
        <v>2409</v>
      </c>
      <c r="Q66" s="2426">
        <f ca="1">C40+J29</f>
        <v>38424</v>
      </c>
      <c r="R66" s="2425" t="s">
        <v>2380</v>
      </c>
    </row>
    <row r="67" spans="1:18" s="2061" customFormat="1" ht="20.25" thickBot="1">
      <c r="A67" s="781" t="s">
        <v>1778</v>
      </c>
      <c r="B67" s="2234" t="s">
        <v>2300</v>
      </c>
      <c r="C67" s="783">
        <f ca="1">ROUND(C66*(1-((1+F69)/(1+F67))^F68)/(F67-F69),0)</f>
        <v>-549</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23309</v>
      </c>
      <c r="R68" s="2432" t="s">
        <v>2416</v>
      </c>
    </row>
    <row r="69" spans="1:18" ht="20.25" thickBot="1">
      <c r="A69" s="790"/>
      <c r="B69" s="791"/>
      <c r="C69" s="792"/>
      <c r="D69" s="816"/>
      <c r="E69" s="784" t="s">
        <v>710</v>
      </c>
      <c r="F69" s="2373"/>
      <c r="O69" s="2427" t="s">
        <v>2384</v>
      </c>
      <c r="P69" s="2433" t="s">
        <v>2398</v>
      </c>
      <c r="Q69" s="2426">
        <f ca="1">ROUND(Q70-Q71*Q72,0)</f>
        <v>1285</v>
      </c>
      <c r="R69" s="2429"/>
    </row>
    <row r="70" spans="1:18" ht="15.75" thickBot="1">
      <c r="A70" s="823" t="s">
        <v>1785</v>
      </c>
      <c r="B70" s="824" t="s">
        <v>1808</v>
      </c>
      <c r="C70" s="825">
        <f ca="1">ROUND(C67*10000/F70,0)</f>
        <v>-1978</v>
      </c>
      <c r="D70" s="826" t="s">
        <v>1809</v>
      </c>
      <c r="E70" s="827" t="s">
        <v>1810</v>
      </c>
      <c r="F70" s="828">
        <f ca="1">F43</f>
        <v>2775.4</v>
      </c>
      <c r="O70" s="2427" t="s">
        <v>2399</v>
      </c>
      <c r="P70" s="2433" t="s">
        <v>2400</v>
      </c>
      <c r="Q70" s="2426">
        <f ca="1">C39</f>
        <v>1411</v>
      </c>
      <c r="R70" s="2425" t="s">
        <v>2380</v>
      </c>
    </row>
    <row r="71" spans="1:18" ht="15.75" thickBot="1">
      <c r="O71" s="2427" t="s">
        <v>2401</v>
      </c>
      <c r="P71" s="2433" t="s">
        <v>2402</v>
      </c>
      <c r="Q71" s="2426">
        <f ca="1">C13</f>
        <v>1575</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38424</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3101</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31876</v>
      </c>
      <c r="C2" s="2059"/>
      <c r="D2" s="2057"/>
      <c r="E2" s="2058"/>
      <c r="F2" s="2058"/>
      <c r="G2" s="1591"/>
      <c r="H2" s="2059"/>
      <c r="I2" s="2059"/>
      <c r="J2" s="2059"/>
      <c r="K2" s="2060"/>
      <c r="L2" s="2059"/>
      <c r="M2" s="2059"/>
    </row>
    <row r="3" spans="1:33" ht="18" customHeight="1" thickBot="1">
      <c r="A3" s="833" t="s">
        <v>519</v>
      </c>
      <c r="B3" s="834">
        <f ca="1">IF(ISERROR(B2*10000/F43),0,ROUND(B2*10000/F43,0))</f>
        <v>25852</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1171</v>
      </c>
      <c r="D5" s="2522" t="s">
        <v>2461</v>
      </c>
      <c r="E5" s="2516"/>
      <c r="F5" s="2517"/>
      <c r="G5" s="1593"/>
      <c r="H5" s="781">
        <v>1</v>
      </c>
      <c r="I5" s="782" t="s">
        <v>2458</v>
      </c>
      <c r="J5" s="55">
        <f ca="1">J6+J10+J12</f>
        <v>0</v>
      </c>
      <c r="K5" s="2522" t="s">
        <v>2461</v>
      </c>
      <c r="L5" s="2516"/>
      <c r="M5" s="2517"/>
    </row>
    <row r="6" spans="1:33" ht="18" customHeight="1">
      <c r="A6" s="1832" t="s">
        <v>1822</v>
      </c>
      <c r="B6" s="3480" t="s">
        <v>2463</v>
      </c>
      <c r="C6" s="783">
        <f ca="1">ROUND(F6*F8*F7*(1-F9)/10000,0)</f>
        <v>1171</v>
      </c>
      <c r="D6" s="2523" t="s">
        <v>2462</v>
      </c>
      <c r="E6" s="784" t="s">
        <v>1736</v>
      </c>
      <c r="F6" s="785">
        <f ca="1">INDIRECT("'数据-取费表'!u"&amp;$G$1)</f>
        <v>2500</v>
      </c>
      <c r="G6" s="1593"/>
      <c r="H6" s="2530" t="s">
        <v>1822</v>
      </c>
      <c r="I6" s="3480" t="s">
        <v>2463</v>
      </c>
      <c r="J6" s="783">
        <f ca="1">ROUND(M6*M8*M7*(1-M9)/10000,0)</f>
        <v>0</v>
      </c>
      <c r="K6" s="341" t="s">
        <v>1735</v>
      </c>
      <c r="L6" s="784" t="s">
        <v>1736</v>
      </c>
      <c r="M6" s="785">
        <f ca="1">INDIRECT("'数据-取费表'!z"&amp;$G$1)</f>
        <v>0</v>
      </c>
    </row>
    <row r="7" spans="1:33" ht="18" customHeight="1">
      <c r="A7" s="2526"/>
      <c r="B7" s="3481"/>
      <c r="C7" s="788"/>
      <c r="D7" s="789"/>
      <c r="E7" s="784" t="s">
        <v>1737</v>
      </c>
      <c r="F7" s="785">
        <f ca="1">IF(INDIRECT("'数据-取费表'!ah"&amp;$G$1)="",INDIRECT("'数据-取费表'!k"&amp;$G$1),INDIRECT("'数据-取费表'!ah"&amp;$G$1))</f>
        <v>411</v>
      </c>
      <c r="G7" s="1593"/>
      <c r="H7" s="2515"/>
      <c r="I7" s="3481"/>
      <c r="J7" s="788"/>
      <c r="K7" s="789"/>
      <c r="L7" s="784" t="s">
        <v>1737</v>
      </c>
      <c r="M7" s="785">
        <f ca="1">F7</f>
        <v>411</v>
      </c>
    </row>
    <row r="8" spans="1:33" ht="18" customHeight="1">
      <c r="A8" s="2519"/>
      <c r="B8" s="3482"/>
      <c r="C8" s="788"/>
      <c r="D8" s="789"/>
      <c r="E8" s="784" t="s">
        <v>1738</v>
      </c>
      <c r="F8" s="785">
        <f ca="1">INDIRECT("'数据-取费表'!ai"&amp;$G$1)</f>
        <v>12</v>
      </c>
      <c r="G8" s="1593"/>
      <c r="H8" s="2515"/>
      <c r="I8" s="3482"/>
      <c r="J8" s="788"/>
      <c r="K8" s="789"/>
      <c r="L8" s="784" t="s">
        <v>1738</v>
      </c>
      <c r="M8" s="785">
        <f ca="1">INDIRECT("'数据-取费表'!ai"&amp;$G$1)</f>
        <v>12</v>
      </c>
    </row>
    <row r="9" spans="1:33" ht="18" customHeight="1">
      <c r="A9" s="786"/>
      <c r="B9" s="3483"/>
      <c r="C9" s="788"/>
      <c r="D9" s="789"/>
      <c r="E9" s="784" t="s">
        <v>1739</v>
      </c>
      <c r="F9" s="794">
        <f ca="1">INDIRECT("'数据-取费表'!w"&amp;$G$1)</f>
        <v>0.05</v>
      </c>
      <c r="G9" s="1593"/>
      <c r="H9" s="2531"/>
      <c r="I9" s="3482"/>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3117</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5930</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4542</v>
      </c>
      <c r="D14" s="3181" t="s">
        <v>1743</v>
      </c>
      <c r="E14" s="3182"/>
      <c r="F14" s="805"/>
      <c r="G14" s="1593"/>
      <c r="H14" s="1650" t="s">
        <v>1822</v>
      </c>
      <c r="I14" s="2233" t="s">
        <v>2826</v>
      </c>
      <c r="J14" s="53">
        <f ca="1">C29</f>
        <v>5930</v>
      </c>
      <c r="K14" s="26"/>
      <c r="L14" s="801"/>
      <c r="M14" s="802"/>
    </row>
    <row r="15" spans="1:33" s="2066" customFormat="1" ht="18" customHeight="1" thickBot="1">
      <c r="A15" s="1649" t="s">
        <v>1830</v>
      </c>
      <c r="B15" s="784" t="s">
        <v>647</v>
      </c>
      <c r="C15" s="53">
        <f ca="1">ROUND(C14*F15,0)</f>
        <v>136</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117</v>
      </c>
      <c r="K16" s="1823" t="s">
        <v>1748</v>
      </c>
      <c r="L16" s="3183"/>
      <c r="M16" s="2517"/>
    </row>
    <row r="17" spans="1:33" s="2066" customFormat="1" ht="18" customHeight="1">
      <c r="A17" s="1649" t="s">
        <v>1885</v>
      </c>
      <c r="B17" s="784" t="s">
        <v>653</v>
      </c>
      <c r="C17" s="53">
        <f ca="1">ROUND(F17*(F43+INDIRECT("'数据-取费表'!S"&amp;$G$1))/10000,0)</f>
        <v>260</v>
      </c>
      <c r="D17" s="784" t="s">
        <v>1749</v>
      </c>
      <c r="E17" s="784" t="s">
        <v>1750</v>
      </c>
      <c r="F17" s="56">
        <f>'数据-取费表'!B35</f>
        <v>200</v>
      </c>
      <c r="G17" s="1594"/>
      <c r="H17" s="1650" t="s">
        <v>1822</v>
      </c>
      <c r="I17" s="784" t="s">
        <v>656</v>
      </c>
      <c r="J17" s="53">
        <f ca="1">ROUND(IF(项目基本情况!B11="自然人",J5*M17,J18+J19+J20),0)</f>
        <v>58</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68</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5006</v>
      </c>
      <c r="D19" s="261" t="s">
        <v>1755</v>
      </c>
      <c r="E19" s="3185"/>
      <c r="F19" s="56"/>
      <c r="G19" s="1593"/>
      <c r="H19" s="1649" t="s">
        <v>1830</v>
      </c>
      <c r="I19" s="784" t="s">
        <v>1756</v>
      </c>
      <c r="J19" s="53">
        <f ca="1">IF(K19="按租金收入计税",ROUND(J5*M19,1),ROUND(C29*F33*0.7,1))</f>
        <v>49.8</v>
      </c>
      <c r="K19" s="811" t="s">
        <v>665</v>
      </c>
      <c r="L19" s="784" t="s">
        <v>1745</v>
      </c>
      <c r="M19" s="809">
        <f>IF(K19="按租金收入计税",'数据-取费表'!B51,'数据-取费表'!B50)</f>
        <v>1.2E-2</v>
      </c>
    </row>
    <row r="20" spans="1:33" s="2066" customFormat="1" ht="18" customHeight="1">
      <c r="A20" s="1650" t="s">
        <v>1887</v>
      </c>
      <c r="B20" s="784" t="s">
        <v>666</v>
      </c>
      <c r="C20" s="53">
        <f ca="1">ROUND(C19*F20,0)</f>
        <v>50</v>
      </c>
      <c r="D20" s="812" t="s">
        <v>1757</v>
      </c>
      <c r="E20" s="784" t="s">
        <v>1745</v>
      </c>
      <c r="F20" s="809">
        <f>'数据-取费表'!B37</f>
        <v>0.01</v>
      </c>
      <c r="G20" s="1594"/>
      <c r="H20" s="1652" t="s">
        <v>1831</v>
      </c>
      <c r="I20" s="341" t="s">
        <v>1758</v>
      </c>
      <c r="J20" s="54">
        <f ca="1">ROUND(M20*M21/10000,0)</f>
        <v>8</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2602.8500000000004</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59</v>
      </c>
      <c r="K22" s="318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240</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5.0000000000000001E-3</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-117</v>
      </c>
      <c r="K25" s="2574" t="s">
        <v>1775</v>
      </c>
      <c r="L25" s="2575"/>
      <c r="M25" s="2576"/>
    </row>
    <row r="26" spans="1:33" ht="18" customHeight="1">
      <c r="A26" s="1649" t="s">
        <v>1829</v>
      </c>
      <c r="B26" s="784" t="s">
        <v>2438</v>
      </c>
      <c r="C26" s="53">
        <f ca="1">ROUND((C19+C20)*F26,0)</f>
        <v>253</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4.4999999999999998E-2</v>
      </c>
    </row>
    <row r="27" spans="1:33" ht="18" customHeight="1">
      <c r="A27" s="1649" t="s">
        <v>1830</v>
      </c>
      <c r="B27" s="784" t="s">
        <v>686</v>
      </c>
      <c r="C27" s="53">
        <f ca="1">ROUND(F21*F26,4)</f>
        <v>5.0000000000000001E-4</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5930</v>
      </c>
      <c r="D29" s="2571"/>
      <c r="E29" s="2572"/>
      <c r="F29" s="2573"/>
      <c r="G29" s="1594"/>
      <c r="H29" s="823" t="s">
        <v>1785</v>
      </c>
      <c r="I29" s="824" t="s">
        <v>1786</v>
      </c>
      <c r="J29" s="825">
        <f ca="1">ROUND(J26/(1+F40)^F41,0)</f>
        <v>0</v>
      </c>
      <c r="K29" s="826" t="s">
        <v>1787</v>
      </c>
      <c r="L29" s="827"/>
      <c r="M29" s="828">
        <f ca="1">INDIRECT("'数据-取费表'!k"&amp;$G$1)</f>
        <v>12330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194</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120.1</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62.5</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49.8</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7.8</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2602.8500000000004</v>
      </c>
      <c r="G35" s="2064"/>
      <c r="H35" s="2067"/>
      <c r="I35" s="837" t="s">
        <v>1812</v>
      </c>
      <c r="J35" s="838">
        <f ca="1">ROUND(C13*J36,0)</f>
        <v>474</v>
      </c>
      <c r="K35" s="2080"/>
      <c r="L35" s="2079"/>
      <c r="M35" s="2079"/>
    </row>
    <row r="36" spans="1:18" ht="18" customHeight="1">
      <c r="A36" s="1650" t="s">
        <v>1887</v>
      </c>
      <c r="B36" s="784" t="s">
        <v>1766</v>
      </c>
      <c r="C36" s="53">
        <f ca="1">ROUND(C29*F36,1)</f>
        <v>59.3</v>
      </c>
      <c r="D36" s="3180"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8.9</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5.9</v>
      </c>
      <c r="D38" s="2571" t="s">
        <v>1772</v>
      </c>
      <c r="E38" s="2572" t="s">
        <v>1794</v>
      </c>
      <c r="F38" s="2568">
        <f ca="1">INDIRECT("'数据-取费表'!Am"&amp;$G$1)</f>
        <v>5.0000000000000001E-3</v>
      </c>
      <c r="G38" s="2064"/>
      <c r="H38" s="2079"/>
      <c r="I38" s="843" t="s">
        <v>1815</v>
      </c>
      <c r="J38" s="844"/>
      <c r="K38" s="2085"/>
      <c r="L38" s="2079"/>
      <c r="M38" s="2079"/>
    </row>
    <row r="39" spans="1:18" ht="24.6" customHeight="1" thickTop="1">
      <c r="A39" s="1831" t="s">
        <v>1774</v>
      </c>
      <c r="B39" s="3036" t="s">
        <v>2822</v>
      </c>
      <c r="C39" s="792">
        <f ca="1">C5-C30</f>
        <v>977</v>
      </c>
      <c r="D39" s="2574" t="s">
        <v>1775</v>
      </c>
      <c r="E39" s="2575"/>
      <c r="F39" s="2576"/>
      <c r="G39" s="2064"/>
      <c r="H39" s="2079"/>
      <c r="I39" s="837" t="s">
        <v>1816</v>
      </c>
      <c r="J39" s="845">
        <f ca="1">ROUND(J35/C39,3)</f>
        <v>0.48499999999999999</v>
      </c>
      <c r="K39" s="2085"/>
      <c r="L39" s="2079"/>
      <c r="M39" s="2079"/>
    </row>
    <row r="40" spans="1:18" ht="18" customHeight="1">
      <c r="A40" s="781" t="s">
        <v>1893</v>
      </c>
      <c r="B40" s="2234" t="s">
        <v>2300</v>
      </c>
      <c r="C40" s="783">
        <f ca="1">ROUND(C39*(1-((1+F42)/(1+F40))^F41)/(F40-F42),0)</f>
        <v>31876</v>
      </c>
      <c r="D40" s="814" t="s">
        <v>1779</v>
      </c>
      <c r="E40" s="784" t="s">
        <v>2419</v>
      </c>
      <c r="F40" s="794">
        <f ca="1">INDIRECT("'数据-取费表'!I"&amp;$G$1)</f>
        <v>4.4999999999999998E-2</v>
      </c>
      <c r="G40" s="2064"/>
      <c r="H40" s="2064"/>
      <c r="I40" s="837" t="s">
        <v>1817</v>
      </c>
      <c r="J40" s="845">
        <f ca="1">1-J39</f>
        <v>0.51500000000000001</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0.186</v>
      </c>
      <c r="K42" s="2084"/>
      <c r="L42" s="1990"/>
      <c r="M42" s="1990"/>
    </row>
    <row r="43" spans="1:18" ht="18" customHeight="1" thickBot="1">
      <c r="A43" s="823" t="s">
        <v>1785</v>
      </c>
      <c r="B43" s="824" t="s">
        <v>1808</v>
      </c>
      <c r="C43" s="825">
        <f ca="1">ROUND(C40*10000/F43,0)</f>
        <v>25852</v>
      </c>
      <c r="D43" s="826" t="s">
        <v>1809</v>
      </c>
      <c r="E43" s="827" t="s">
        <v>1810</v>
      </c>
      <c r="F43" s="828">
        <f ca="1">INDIRECT("'数据-取费表'!k"&amp;$G$1)</f>
        <v>12330</v>
      </c>
      <c r="G43" s="2064"/>
      <c r="H43" s="1990"/>
      <c r="I43" s="847" t="s">
        <v>1820</v>
      </c>
      <c r="J43" s="848">
        <f ca="1">1-J42</f>
        <v>0.81400000000000006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-34314</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31876</v>
      </c>
      <c r="R48" s="2425" t="s">
        <v>2380</v>
      </c>
    </row>
    <row r="49" spans="1:18" s="2061" customFormat="1" ht="18" customHeight="1" thickBot="1">
      <c r="A49" s="786"/>
      <c r="B49" s="787"/>
      <c r="C49" s="788"/>
      <c r="D49" s="789"/>
      <c r="E49" s="784" t="s">
        <v>1737</v>
      </c>
      <c r="F49" s="785">
        <f ca="1">F7</f>
        <v>411</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5930</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10689</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1" t="s">
        <v>2966</v>
      </c>
      <c r="L53" s="3502"/>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31876</v>
      </c>
      <c r="R54" s="2429" t="s">
        <v>2392</v>
      </c>
    </row>
    <row r="55" spans="1:18" s="2061" customFormat="1" ht="18" customHeight="1" thickTop="1" thickBot="1">
      <c r="A55" s="797">
        <v>2</v>
      </c>
      <c r="B55" s="798" t="s">
        <v>644</v>
      </c>
      <c r="C55" s="799">
        <f ca="1">C13</f>
        <v>5930</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5930</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126</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31876</v>
      </c>
      <c r="R57" s="2425" t="s">
        <v>2380</v>
      </c>
    </row>
    <row r="58" spans="1:18" s="2061" customFormat="1" ht="28.5" customHeight="1" thickBot="1">
      <c r="A58" s="1650" t="s">
        <v>1822</v>
      </c>
      <c r="B58" s="784" t="s">
        <v>656</v>
      </c>
      <c r="C58" s="53">
        <f ca="1">ROUND(IF(项目基本情况!B11="自然人",C47*F58,C59+C60+C61),1)</f>
        <v>57.6</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49.8</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7.8</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2602.8500000000004</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59.3</v>
      </c>
      <c r="D63" s="3180" t="s">
        <v>1801</v>
      </c>
      <c r="E63" s="784" t="s">
        <v>1745</v>
      </c>
      <c r="F63" s="817">
        <f t="shared" ca="1" si="0"/>
        <v>0.01</v>
      </c>
      <c r="I63" s="2411" t="s">
        <v>2370</v>
      </c>
      <c r="J63" s="2412">
        <v>70</v>
      </c>
      <c r="K63" s="2412">
        <v>50</v>
      </c>
      <c r="L63" s="2412">
        <v>80</v>
      </c>
      <c r="M63" s="3129">
        <v>0.02</v>
      </c>
      <c r="O63" s="2424" t="s">
        <v>2391</v>
      </c>
      <c r="P63" s="2425" t="s">
        <v>2408</v>
      </c>
      <c r="Q63" s="2426">
        <f ca="1">Q57+Q58</f>
        <v>31876</v>
      </c>
      <c r="R63" s="2429" t="s">
        <v>2392</v>
      </c>
    </row>
    <row r="64" spans="1:18" s="2061" customFormat="1" ht="16.5" thickBot="1">
      <c r="A64" s="1650" t="s">
        <v>1888</v>
      </c>
      <c r="B64" s="784" t="s">
        <v>679</v>
      </c>
      <c r="C64" s="53">
        <f ca="1">ROUND(C55*F64,1)</f>
        <v>8.9</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5.0000000000000001E-3</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-126</v>
      </c>
      <c r="D66" s="3181" t="s">
        <v>700</v>
      </c>
      <c r="E66" s="3184"/>
      <c r="F66" s="820"/>
      <c r="K66" s="2088"/>
      <c r="O66" s="2424" t="s">
        <v>2379</v>
      </c>
      <c r="P66" s="2425" t="s">
        <v>2409</v>
      </c>
      <c r="Q66" s="2426">
        <f ca="1">C40+J29</f>
        <v>31876</v>
      </c>
      <c r="R66" s="2425" t="s">
        <v>2380</v>
      </c>
    </row>
    <row r="67" spans="1:18" s="2061" customFormat="1" ht="20.25" thickBot="1">
      <c r="A67" s="781" t="s">
        <v>1778</v>
      </c>
      <c r="B67" s="2234" t="s">
        <v>2300</v>
      </c>
      <c r="C67" s="783">
        <f ca="1">ROUND(C66*(1-((1+F69)/(1+F67))^F68)/(F67-F69),0)</f>
        <v>-2438</v>
      </c>
      <c r="D67" s="814" t="s">
        <v>704</v>
      </c>
      <c r="E67" s="784" t="s">
        <v>705</v>
      </c>
      <c r="F67" s="794">
        <f ca="1">F40</f>
        <v>4.4999999999999998E-2</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10689</v>
      </c>
      <c r="R68" s="2432" t="s">
        <v>2416</v>
      </c>
    </row>
    <row r="69" spans="1:18" ht="20.25" thickBot="1">
      <c r="A69" s="790"/>
      <c r="B69" s="791"/>
      <c r="C69" s="792"/>
      <c r="D69" s="816"/>
      <c r="E69" s="784" t="s">
        <v>710</v>
      </c>
      <c r="F69" s="2373"/>
      <c r="O69" s="2427" t="s">
        <v>2384</v>
      </c>
      <c r="P69" s="2433" t="s">
        <v>2398</v>
      </c>
      <c r="Q69" s="2426">
        <f ca="1">ROUND(Q70-Q71*Q72,0)</f>
        <v>503</v>
      </c>
      <c r="R69" s="2429"/>
    </row>
    <row r="70" spans="1:18" ht="15.75" thickBot="1">
      <c r="A70" s="823" t="s">
        <v>1785</v>
      </c>
      <c r="B70" s="824" t="s">
        <v>1808</v>
      </c>
      <c r="C70" s="825">
        <f ca="1">ROUND(C67*10000/F70,0)</f>
        <v>-1977</v>
      </c>
      <c r="D70" s="826" t="s">
        <v>1809</v>
      </c>
      <c r="E70" s="827" t="s">
        <v>1810</v>
      </c>
      <c r="F70" s="828">
        <f ca="1">F43</f>
        <v>12330</v>
      </c>
      <c r="O70" s="2427" t="s">
        <v>2399</v>
      </c>
      <c r="P70" s="2433" t="s">
        <v>2400</v>
      </c>
      <c r="Q70" s="2426">
        <f ca="1">C39</f>
        <v>977</v>
      </c>
      <c r="R70" s="2425" t="s">
        <v>2380</v>
      </c>
    </row>
    <row r="71" spans="1:18" ht="15.75" thickBot="1">
      <c r="O71" s="2427" t="s">
        <v>2401</v>
      </c>
      <c r="P71" s="2433" t="s">
        <v>2402</v>
      </c>
      <c r="Q71" s="2426">
        <f ca="1">C13</f>
        <v>5930</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31876</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9" t="s">
        <v>2471</v>
      </c>
      <c r="B1" s="3520"/>
      <c r="C1" s="3521"/>
      <c r="D1" s="3522">
        <f>SUM(I10,I15,I20,I21,I23)</f>
        <v>0</v>
      </c>
      <c r="E1" s="3522"/>
      <c r="F1" s="3522"/>
      <c r="G1" s="3522"/>
      <c r="H1" s="3522"/>
      <c r="I1" s="3523"/>
    </row>
    <row r="2" spans="1:9">
      <c r="A2" s="3509" t="s">
        <v>2472</v>
      </c>
      <c r="B2" s="3510" t="s">
        <v>2473</v>
      </c>
      <c r="C2" s="3510"/>
      <c r="D2" s="2533" t="s">
        <v>2474</v>
      </c>
      <c r="E2" s="2533" t="s">
        <v>2475</v>
      </c>
      <c r="F2" s="2533" t="s">
        <v>2476</v>
      </c>
      <c r="G2" s="2533" t="s">
        <v>2477</v>
      </c>
      <c r="H2" s="2533" t="s">
        <v>2478</v>
      </c>
      <c r="I2" s="2534" t="s">
        <v>2479</v>
      </c>
    </row>
    <row r="3" spans="1:9">
      <c r="A3" s="3509"/>
      <c r="B3" s="3510" t="s">
        <v>2480</v>
      </c>
      <c r="C3" s="3510"/>
      <c r="D3" s="2535"/>
      <c r="E3" s="2533"/>
      <c r="F3" s="2536"/>
      <c r="G3" s="2536"/>
      <c r="H3" s="2537"/>
      <c r="I3" s="2538">
        <f>ROUND(D3*E3*F3*G3*H3/10000,0)</f>
        <v>0</v>
      </c>
    </row>
    <row r="4" spans="1:9">
      <c r="A4" s="3509"/>
      <c r="B4" s="3510" t="s">
        <v>2481</v>
      </c>
      <c r="C4" s="3510"/>
      <c r="D4" s="2535"/>
      <c r="E4" s="2533"/>
      <c r="F4" s="2536"/>
      <c r="G4" s="2536"/>
      <c r="H4" s="2537"/>
      <c r="I4" s="2538">
        <f t="shared" ref="I4:I9" si="0">ROUND(D4*E4*F4*G4*H4/10000,0)</f>
        <v>0</v>
      </c>
    </row>
    <row r="5" spans="1:9">
      <c r="A5" s="3509"/>
      <c r="B5" s="3510" t="s">
        <v>2482</v>
      </c>
      <c r="C5" s="3510"/>
      <c r="D5" s="2535"/>
      <c r="E5" s="2533"/>
      <c r="F5" s="2536"/>
      <c r="G5" s="2536"/>
      <c r="H5" s="2537"/>
      <c r="I5" s="2538">
        <f t="shared" si="0"/>
        <v>0</v>
      </c>
    </row>
    <row r="6" spans="1:9">
      <c r="A6" s="3509"/>
      <c r="B6" s="3510" t="s">
        <v>2483</v>
      </c>
      <c r="C6" s="3510"/>
      <c r="D6" s="2535"/>
      <c r="E6" s="2533"/>
      <c r="F6" s="2536"/>
      <c r="G6" s="2536"/>
      <c r="H6" s="2537"/>
      <c r="I6" s="2538">
        <f t="shared" si="0"/>
        <v>0</v>
      </c>
    </row>
    <row r="7" spans="1:9">
      <c r="A7" s="3509"/>
      <c r="B7" s="3510" t="s">
        <v>2484</v>
      </c>
      <c r="C7" s="3510"/>
      <c r="D7" s="2535"/>
      <c r="E7" s="2533"/>
      <c r="F7" s="2536"/>
      <c r="G7" s="2536"/>
      <c r="H7" s="2537"/>
      <c r="I7" s="2538">
        <f t="shared" si="0"/>
        <v>0</v>
      </c>
    </row>
    <row r="8" spans="1:9">
      <c r="A8" s="3509"/>
      <c r="B8" s="3510" t="s">
        <v>2485</v>
      </c>
      <c r="C8" s="3510"/>
      <c r="D8" s="2535"/>
      <c r="E8" s="2533"/>
      <c r="F8" s="2536"/>
      <c r="G8" s="2536"/>
      <c r="H8" s="2537"/>
      <c r="I8" s="2538">
        <f t="shared" si="0"/>
        <v>0</v>
      </c>
    </row>
    <row r="9" spans="1:9">
      <c r="A9" s="3509"/>
      <c r="B9" s="3510" t="s">
        <v>2486</v>
      </c>
      <c r="C9" s="3510"/>
      <c r="D9" s="2535"/>
      <c r="E9" s="2533"/>
      <c r="F9" s="2536"/>
      <c r="G9" s="2536"/>
      <c r="H9" s="2537"/>
      <c r="I9" s="2538">
        <f t="shared" si="0"/>
        <v>0</v>
      </c>
    </row>
    <row r="10" spans="1:9">
      <c r="A10" s="3509"/>
      <c r="B10" s="3511" t="s">
        <v>2487</v>
      </c>
      <c r="C10" s="3511"/>
      <c r="D10" s="2539">
        <v>527</v>
      </c>
      <c r="E10" s="2539" t="e">
        <f>ROUND(D1*10000/D10/H9,0)</f>
        <v>#DIV/0!</v>
      </c>
      <c r="F10" s="2540"/>
      <c r="G10" s="2540"/>
      <c r="H10" s="2541"/>
      <c r="I10" s="2542">
        <f>SUM(I3:I9)</f>
        <v>0</v>
      </c>
    </row>
    <row r="11" spans="1:9" ht="14.25">
      <c r="A11" s="3509" t="s">
        <v>2488</v>
      </c>
      <c r="B11" s="3510" t="s">
        <v>2489</v>
      </c>
      <c r="C11" s="3510"/>
      <c r="D11" s="2535" t="s">
        <v>2490</v>
      </c>
      <c r="E11" s="2535" t="s">
        <v>2491</v>
      </c>
      <c r="F11" s="2536" t="s">
        <v>2492</v>
      </c>
      <c r="G11" s="2536" t="s">
        <v>2493</v>
      </c>
      <c r="H11" s="2543" t="s">
        <v>2494</v>
      </c>
      <c r="I11" s="2534" t="s">
        <v>2495</v>
      </c>
    </row>
    <row r="12" spans="1:9">
      <c r="A12" s="3509"/>
      <c r="B12" s="3510" t="s">
        <v>2496</v>
      </c>
      <c r="C12" s="3510"/>
      <c r="D12" s="2535"/>
      <c r="E12" s="2535"/>
      <c r="F12" s="2536"/>
      <c r="G12" s="2537"/>
      <c r="H12" s="2544"/>
      <c r="I12" s="2534">
        <f>ROUND(D12*E12*F12*G12/10000,0)</f>
        <v>0</v>
      </c>
    </row>
    <row r="13" spans="1:9">
      <c r="A13" s="3509"/>
      <c r="B13" s="3510" t="s">
        <v>2497</v>
      </c>
      <c r="C13" s="3510"/>
      <c r="D13" s="2535"/>
      <c r="E13" s="2535"/>
      <c r="F13" s="2536"/>
      <c r="G13" s="2537"/>
      <c r="H13" s="2544"/>
      <c r="I13" s="2534">
        <f>ROUND(D13*E13*F13*G13/10000,0)</f>
        <v>0</v>
      </c>
    </row>
    <row r="14" spans="1:9">
      <c r="A14" s="3509"/>
      <c r="B14" s="3510" t="s">
        <v>2498</v>
      </c>
      <c r="C14" s="3510"/>
      <c r="D14" s="2535"/>
      <c r="E14" s="2535"/>
      <c r="F14" s="2536"/>
      <c r="G14" s="2537"/>
      <c r="H14" s="2544"/>
      <c r="I14" s="2534">
        <f>ROUND(D14*E14*F14*G14/10000,0)</f>
        <v>0</v>
      </c>
    </row>
    <row r="15" spans="1:9">
      <c r="A15" s="3509"/>
      <c r="B15" s="3511" t="s">
        <v>2487</v>
      </c>
      <c r="C15" s="3511"/>
      <c r="D15" s="2539"/>
      <c r="E15" s="2539">
        <f>SUM(E12:E14)</f>
        <v>0</v>
      </c>
      <c r="F15" s="2540"/>
      <c r="G15" s="2537"/>
      <c r="H15" s="2544"/>
      <c r="I15" s="2545">
        <f>SUM(I12:I14)</f>
        <v>0</v>
      </c>
    </row>
    <row r="16" spans="1:9" ht="24">
      <c r="A16" s="3509" t="s">
        <v>2499</v>
      </c>
      <c r="B16" s="3510" t="s">
        <v>2500</v>
      </c>
      <c r="C16" s="3510"/>
      <c r="D16" s="2535" t="s">
        <v>2501</v>
      </c>
      <c r="E16" s="2546" t="s">
        <v>2502</v>
      </c>
      <c r="F16" s="2536" t="s">
        <v>2503</v>
      </c>
      <c r="G16" s="2537" t="s">
        <v>2493</v>
      </c>
      <c r="H16" s="2543" t="s">
        <v>2494</v>
      </c>
      <c r="I16" s="2534" t="s">
        <v>2495</v>
      </c>
    </row>
    <row r="17" spans="1:9" ht="14.25">
      <c r="A17" s="3509"/>
      <c r="B17" s="3510" t="s">
        <v>2504</v>
      </c>
      <c r="C17" s="3510"/>
      <c r="D17" s="2535"/>
      <c r="E17" s="2535"/>
      <c r="F17" s="2536"/>
      <c r="G17" s="2537"/>
      <c r="H17" s="2547"/>
      <c r="I17" s="2548">
        <f>ROUND(D17*E17*F17*G17/10000,0)</f>
        <v>0</v>
      </c>
    </row>
    <row r="18" spans="1:9" ht="14.25">
      <c r="A18" s="3509"/>
      <c r="B18" s="3510" t="s">
        <v>2505</v>
      </c>
      <c r="C18" s="3510"/>
      <c r="D18" s="2535"/>
      <c r="E18" s="2535"/>
      <c r="F18" s="2536"/>
      <c r="G18" s="2537"/>
      <c r="H18" s="2547"/>
      <c r="I18" s="2548">
        <f>ROUND(D18*E18*F18*G18/10000,0)</f>
        <v>0</v>
      </c>
    </row>
    <row r="19" spans="1:9" ht="14.25">
      <c r="A19" s="3509"/>
      <c r="B19" s="3510" t="s">
        <v>2506</v>
      </c>
      <c r="C19" s="3510"/>
      <c r="D19" s="2535"/>
      <c r="E19" s="2535"/>
      <c r="F19" s="2536"/>
      <c r="G19" s="2537"/>
      <c r="H19" s="2547"/>
      <c r="I19" s="2548">
        <f>ROUND(D19*E19*F19*G19/10000,0)</f>
        <v>0</v>
      </c>
    </row>
    <row r="20" spans="1:9">
      <c r="A20" s="3509"/>
      <c r="B20" s="3511" t="s">
        <v>2487</v>
      </c>
      <c r="C20" s="3511"/>
      <c r="D20" s="2539">
        <f>SUM(D17:D19)</f>
        <v>0</v>
      </c>
      <c r="E20" s="2539"/>
      <c r="F20" s="2540"/>
      <c r="G20" s="2537"/>
      <c r="H20" s="2544"/>
      <c r="I20" s="2545">
        <f>SUM(I17:I19)</f>
        <v>0</v>
      </c>
    </row>
    <row r="21" spans="1:9">
      <c r="A21" s="3509" t="s">
        <v>2507</v>
      </c>
      <c r="B21" s="3512"/>
      <c r="C21" s="3512"/>
      <c r="D21" s="3512"/>
      <c r="E21" s="3512"/>
      <c r="F21" s="3512"/>
      <c r="G21" s="3512"/>
      <c r="H21" s="2549">
        <v>0.1</v>
      </c>
      <c r="I21" s="2542">
        <f>ROUND(I10*H21,0)</f>
        <v>0</v>
      </c>
    </row>
    <row r="22" spans="1:9" ht="14.25">
      <c r="A22" s="3513" t="s">
        <v>2508</v>
      </c>
      <c r="B22" s="3514"/>
      <c r="C22" s="3515"/>
      <c r="D22" s="2550" t="s">
        <v>2509</v>
      </c>
      <c r="E22" s="2550" t="s">
        <v>2510</v>
      </c>
      <c r="F22" s="2551" t="s">
        <v>2511</v>
      </c>
      <c r="G22" s="2551" t="s">
        <v>2512</v>
      </c>
      <c r="H22" s="2543" t="s">
        <v>2513</v>
      </c>
      <c r="I22" s="2534" t="s">
        <v>2514</v>
      </c>
    </row>
    <row r="23" spans="1:9" ht="14.25" thickBot="1">
      <c r="A23" s="3516"/>
      <c r="B23" s="3517"/>
      <c r="C23" s="3518"/>
      <c r="D23" s="2552"/>
      <c r="E23" s="2552"/>
      <c r="F23" s="2552"/>
      <c r="G23" s="2553"/>
      <c r="H23" s="2554"/>
      <c r="I23" s="2555">
        <f>ROUND(E23*D23*F23*(1-G23)/10000,0)</f>
        <v>0</v>
      </c>
    </row>
    <row r="26" spans="1:9">
      <c r="A26" s="2556" t="s">
        <v>2515</v>
      </c>
      <c r="B26" s="2556"/>
      <c r="C26" s="2556"/>
      <c r="D26" s="2556"/>
      <c r="E26" s="3506">
        <f>C27-C30-C31-C32</f>
        <v>0</v>
      </c>
      <c r="F26" s="3506"/>
      <c r="G26" s="3506"/>
      <c r="H26" s="3068" t="s">
        <v>2843</v>
      </c>
    </row>
    <row r="27" spans="1:9">
      <c r="A27" s="2557">
        <v>1</v>
      </c>
      <c r="B27" s="2558" t="s">
        <v>2516</v>
      </c>
      <c r="C27" s="2558"/>
      <c r="D27" s="2558"/>
      <c r="E27" s="3507"/>
      <c r="F27" s="3507"/>
      <c r="G27" s="3507"/>
    </row>
    <row r="28" spans="1:9">
      <c r="A28" s="2559" t="s">
        <v>2517</v>
      </c>
      <c r="B28" s="2558" t="s">
        <v>2518</v>
      </c>
      <c r="C28" s="2558"/>
      <c r="D28" s="2558"/>
      <c r="E28" s="3507"/>
      <c r="F28" s="3507"/>
      <c r="G28" s="3507"/>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08"/>
      <c r="F32" s="3508"/>
      <c r="G32" s="3508"/>
    </row>
    <row r="33" spans="1:7" hidden="1">
      <c r="A33" s="3503" t="s">
        <v>2526</v>
      </c>
      <c r="B33" s="3504"/>
      <c r="C33" s="3504"/>
      <c r="D33" s="3505"/>
      <c r="E33" s="3506"/>
      <c r="F33" s="3506"/>
      <c r="G33" s="3506"/>
    </row>
    <row r="34" spans="1:7" hidden="1">
      <c r="A34" s="2561">
        <v>1</v>
      </c>
      <c r="B34" s="2558" t="s">
        <v>2527</v>
      </c>
      <c r="C34" s="2558"/>
      <c r="D34" s="2558"/>
      <c r="E34" s="3507"/>
      <c r="F34" s="3507"/>
      <c r="G34" s="3507"/>
    </row>
    <row r="35" spans="1:7" hidden="1">
      <c r="A35" s="2561">
        <v>2</v>
      </c>
      <c r="B35" s="2558" t="s">
        <v>2528</v>
      </c>
      <c r="C35" s="2558"/>
      <c r="D35" s="2558"/>
      <c r="E35" s="3507"/>
      <c r="F35" s="3507"/>
      <c r="G35" s="3507"/>
    </row>
    <row r="36" spans="1:7" hidden="1">
      <c r="A36" s="2561">
        <v>3</v>
      </c>
      <c r="B36" s="2558" t="s">
        <v>2529</v>
      </c>
      <c r="C36" s="2558"/>
      <c r="D36" s="2558"/>
      <c r="E36" s="3507"/>
      <c r="F36" s="3507"/>
      <c r="G36" s="3507"/>
    </row>
    <row r="37" spans="1:7" hidden="1">
      <c r="A37" s="2561">
        <v>4</v>
      </c>
      <c r="B37" s="2558" t="s">
        <v>2530</v>
      </c>
      <c r="C37" s="2558"/>
      <c r="D37" s="2558"/>
      <c r="E37" s="3507"/>
      <c r="F37" s="3507"/>
      <c r="G37" s="3507"/>
    </row>
    <row r="38" spans="1:7" hidden="1">
      <c r="A38" s="3503" t="s">
        <v>2531</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56746.020000000004</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1529</v>
      </c>
      <c r="D12" s="758">
        <f>'数据-汇总表'!E5</f>
        <v>35569.72</v>
      </c>
      <c r="E12" s="757">
        <f>'数据-取费表'!B27</f>
        <v>430</v>
      </c>
      <c r="F12" s="755"/>
      <c r="G12" s="759"/>
    </row>
    <row r="13" spans="1:25" s="2185" customFormat="1" ht="13.5" customHeight="1">
      <c r="A13" s="2502" t="s">
        <v>2447</v>
      </c>
      <c r="B13" s="756" t="s">
        <v>612</v>
      </c>
      <c r="C13" s="757">
        <f>ROUND(D13*E13/10000,0)</f>
        <v>911</v>
      </c>
      <c r="D13" s="758">
        <f>'数据-汇总表'!E6</f>
        <v>21176.300000000003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7.0000000000000007E-2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0.88700000000000001</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34" t="s">
        <v>524</v>
      </c>
      <c r="AC4" s="3409" t="s">
        <v>525</v>
      </c>
    </row>
    <row r="5" spans="1:29" ht="15">
      <c r="A5" s="515"/>
      <c r="B5" s="516"/>
      <c r="C5" s="3437" t="s">
        <v>2927</v>
      </c>
      <c r="D5" s="3438"/>
      <c r="E5" s="3452" t="s">
        <v>2928</v>
      </c>
      <c r="F5" s="3453"/>
      <c r="G5" s="3437" t="s">
        <v>2929</v>
      </c>
      <c r="H5" s="3438"/>
      <c r="I5" s="3437" t="s">
        <v>2930</v>
      </c>
      <c r="J5" s="3438"/>
      <c r="K5" s="514"/>
      <c r="L5" s="2135"/>
      <c r="M5" s="2136"/>
      <c r="N5" s="2136"/>
      <c r="O5" s="2136"/>
      <c r="P5" s="3430"/>
      <c r="Q5" s="3431"/>
      <c r="R5" s="3416"/>
      <c r="S5" s="3417"/>
      <c r="T5" s="3416"/>
      <c r="U5" s="3417"/>
      <c r="V5" s="3434"/>
      <c r="W5" s="3434"/>
      <c r="X5" s="1568"/>
      <c r="Y5" s="3416"/>
      <c r="Z5" s="3417"/>
      <c r="AA5" s="3410"/>
      <c r="AB5" s="3434"/>
      <c r="AC5" s="3410"/>
    </row>
    <row r="6" spans="1:29" ht="15.75" thickBot="1">
      <c r="A6" s="517"/>
      <c r="B6" s="518"/>
      <c r="C6" s="3435" t="s">
        <v>2931</v>
      </c>
      <c r="D6" s="3436"/>
      <c r="E6" s="3454" t="s">
        <v>2931</v>
      </c>
      <c r="F6" s="3455"/>
      <c r="G6" s="3435" t="s">
        <v>2931</v>
      </c>
      <c r="H6" s="3436"/>
      <c r="I6" s="3435" t="s">
        <v>2931</v>
      </c>
      <c r="J6" s="3436"/>
      <c r="K6" s="514" t="s">
        <v>528</v>
      </c>
      <c r="L6" s="2135"/>
      <c r="M6" s="2136"/>
      <c r="N6" s="2136"/>
      <c r="O6" s="2136"/>
      <c r="P6" s="3432"/>
      <c r="Q6" s="3433"/>
      <c r="R6" s="3416"/>
      <c r="S6" s="3417"/>
      <c r="T6" s="3418"/>
      <c r="U6" s="3419"/>
      <c r="V6" s="3434"/>
      <c r="W6" s="3434"/>
      <c r="X6" s="1568"/>
      <c r="Y6" s="3418"/>
      <c r="Z6" s="3419"/>
      <c r="AA6" s="3411"/>
      <c r="AB6" s="3434"/>
      <c r="AC6" s="3411"/>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2"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2" t="s">
        <v>540</v>
      </c>
      <c r="Q15" s="1573" t="str">
        <f t="shared" si="6"/>
        <v>商业繁华度</v>
      </c>
      <c r="R15" s="1574" t="s">
        <v>8</v>
      </c>
      <c r="S15" s="1575">
        <f t="shared" si="0"/>
        <v>100</v>
      </c>
      <c r="T15" s="1574" t="s">
        <v>8</v>
      </c>
      <c r="U15" s="1575">
        <f t="shared" si="1"/>
        <v>100</v>
      </c>
      <c r="V15" s="1574" t="s">
        <v>8</v>
      </c>
      <c r="W15" s="1575">
        <f t="shared" si="2"/>
        <v>100</v>
      </c>
      <c r="X15" s="1568"/>
      <c r="Y15" s="3422"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3"/>
      <c r="Q21" s="2605" t="str">
        <f>B21</f>
        <v>基础设施水平</v>
      </c>
      <c r="R21" s="1574" t="s">
        <v>8</v>
      </c>
      <c r="S21" s="1575">
        <f>F21</f>
        <v>100</v>
      </c>
      <c r="T21" s="1574" t="s">
        <v>8</v>
      </c>
      <c r="U21" s="1575">
        <f>H21</f>
        <v>100</v>
      </c>
      <c r="V21" s="1574" t="s">
        <v>8</v>
      </c>
      <c r="W21" s="1575">
        <f>J21</f>
        <v>100</v>
      </c>
      <c r="X21" s="2607"/>
      <c r="Y21" s="342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23"/>
      <c r="Q22" s="2605"/>
      <c r="R22" s="1574"/>
      <c r="S22" s="1575"/>
      <c r="T22" s="1574"/>
      <c r="U22" s="1575"/>
      <c r="V22" s="1574"/>
      <c r="W22" s="1575"/>
      <c r="X22" s="2607"/>
      <c r="Y22" s="3423"/>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3"/>
      <c r="Q23" s="1573" t="str">
        <f>B23</f>
        <v>自然及人文环境</v>
      </c>
      <c r="R23" s="1574" t="s">
        <v>8</v>
      </c>
      <c r="S23" s="1575">
        <f>F23</f>
        <v>100</v>
      </c>
      <c r="T23" s="1574" t="s">
        <v>8</v>
      </c>
      <c r="U23" s="1575">
        <f>H23</f>
        <v>100</v>
      </c>
      <c r="V23" s="1574" t="s">
        <v>8</v>
      </c>
      <c r="W23" s="1575">
        <f>J23</f>
        <v>100</v>
      </c>
      <c r="X23" s="1568"/>
      <c r="Y23" s="342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3"/>
      <c r="Q25" s="1573" t="str">
        <f t="shared" ref="Q25:Q46" si="11">B25</f>
        <v>临街状况</v>
      </c>
      <c r="R25" s="1574" t="s">
        <v>8</v>
      </c>
      <c r="S25" s="1575">
        <f>F25</f>
        <v>100</v>
      </c>
      <c r="T25" s="1574" t="s">
        <v>8</v>
      </c>
      <c r="U25" s="1575">
        <f>H25</f>
        <v>100</v>
      </c>
      <c r="V25" s="1574" t="s">
        <v>8</v>
      </c>
      <c r="W25" s="1575">
        <f>J25</f>
        <v>100</v>
      </c>
      <c r="X25" s="1568"/>
      <c r="Y25" s="3423"/>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3"/>
      <c r="Q26" s="1573" t="str">
        <f t="shared" si="11"/>
        <v>平面位置/可视性</v>
      </c>
      <c r="R26" s="1574" t="s">
        <v>8</v>
      </c>
      <c r="S26" s="1575">
        <f>F26</f>
        <v>100</v>
      </c>
      <c r="T26" s="1574" t="s">
        <v>8</v>
      </c>
      <c r="U26" s="1575">
        <f>H26</f>
        <v>100</v>
      </c>
      <c r="V26" s="1574" t="s">
        <v>8</v>
      </c>
      <c r="W26" s="1575">
        <f>J26</f>
        <v>100</v>
      </c>
      <c r="X26" s="1568"/>
      <c r="Y26" s="3423"/>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3"/>
      <c r="Q27" s="1151" t="str">
        <f t="shared" si="11"/>
        <v>人流量</v>
      </c>
      <c r="R27" s="1569" t="s">
        <v>8</v>
      </c>
      <c r="S27" s="1570">
        <f>F27</f>
        <v>100</v>
      </c>
      <c r="T27" s="1569" t="s">
        <v>8</v>
      </c>
      <c r="U27" s="1570">
        <f>H27</f>
        <v>100</v>
      </c>
      <c r="V27" s="1569" t="s">
        <v>8</v>
      </c>
      <c r="W27" s="1570">
        <f>J27</f>
        <v>100</v>
      </c>
      <c r="X27" s="1571"/>
      <c r="Y27" s="3423"/>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3"/>
      <c r="Q29" s="1573">
        <f t="shared" si="11"/>
        <v>111</v>
      </c>
      <c r="R29" s="1574" t="s">
        <v>8</v>
      </c>
      <c r="S29" s="1575">
        <f t="shared" si="12"/>
        <v>100</v>
      </c>
      <c r="T29" s="1574" t="s">
        <v>8</v>
      </c>
      <c r="U29" s="1575">
        <f t="shared" si="13"/>
        <v>100</v>
      </c>
      <c r="V29" s="1574" t="s">
        <v>8</v>
      </c>
      <c r="W29" s="1575">
        <f t="shared" si="14"/>
        <v>100</v>
      </c>
      <c r="X29" s="1568"/>
      <c r="Y29" s="34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4" t="s">
        <v>550</v>
      </c>
      <c r="Q32" s="1573" t="str">
        <f t="shared" si="11"/>
        <v>商业类型</v>
      </c>
      <c r="R32" s="1574" t="s">
        <v>8</v>
      </c>
      <c r="S32" s="1575">
        <f t="shared" si="12"/>
        <v>100</v>
      </c>
      <c r="T32" s="1574" t="s">
        <v>8</v>
      </c>
      <c r="U32" s="1575">
        <f t="shared" si="13"/>
        <v>100</v>
      </c>
      <c r="V32" s="1574" t="s">
        <v>8</v>
      </c>
      <c r="W32" s="1575">
        <f t="shared" si="14"/>
        <v>100</v>
      </c>
      <c r="X32" s="1568"/>
      <c r="Y32" s="3425"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5"/>
      <c r="Q33" s="1606" t="str">
        <f t="shared" si="11"/>
        <v>项目建筑规模</v>
      </c>
      <c r="R33" s="1578" t="s">
        <v>8</v>
      </c>
      <c r="S33" s="1579" t="e">
        <f t="shared" si="12"/>
        <v>#N/A</v>
      </c>
      <c r="T33" s="1578" t="s">
        <v>8</v>
      </c>
      <c r="U33" s="1579" t="e">
        <f t="shared" si="13"/>
        <v>#N/A</v>
      </c>
      <c r="V33" s="1578" t="s">
        <v>8</v>
      </c>
      <c r="W33" s="1579" t="e">
        <f t="shared" si="14"/>
        <v>#N/A</v>
      </c>
      <c r="X33" s="1580"/>
      <c r="Y33" s="3425"/>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5"/>
      <c r="Q34" s="1573" t="str">
        <f t="shared" si="11"/>
        <v>建筑结构</v>
      </c>
      <c r="R34" s="1574" t="s">
        <v>8</v>
      </c>
      <c r="S34" s="1575">
        <f t="shared" si="12"/>
        <v>100</v>
      </c>
      <c r="T34" s="1574" t="s">
        <v>8</v>
      </c>
      <c r="U34" s="1575">
        <f t="shared" si="13"/>
        <v>100</v>
      </c>
      <c r="V34" s="1574" t="s">
        <v>8</v>
      </c>
      <c r="W34" s="1575">
        <f t="shared" si="14"/>
        <v>100</v>
      </c>
      <c r="X34" s="1568"/>
      <c r="Y34" s="3425"/>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5"/>
      <c r="Q35" s="1573" t="str">
        <f t="shared" si="11"/>
        <v>公共部分装修</v>
      </c>
      <c r="R35" s="1574" t="s">
        <v>8</v>
      </c>
      <c r="S35" s="1575">
        <f t="shared" si="12"/>
        <v>100</v>
      </c>
      <c r="T35" s="1574" t="s">
        <v>8</v>
      </c>
      <c r="U35" s="1575">
        <f t="shared" si="13"/>
        <v>100</v>
      </c>
      <c r="V35" s="1574" t="s">
        <v>8</v>
      </c>
      <c r="W35" s="1575">
        <f t="shared" si="14"/>
        <v>100</v>
      </c>
      <c r="X35" s="1568"/>
      <c r="Y35" s="3425"/>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5"/>
      <c r="Q36" s="1573" t="str">
        <f t="shared" si="11"/>
        <v>成新度</v>
      </c>
      <c r="R36" s="1574" t="s">
        <v>8</v>
      </c>
      <c r="S36" s="1575" t="e">
        <f t="shared" si="12"/>
        <v>#N/A</v>
      </c>
      <c r="T36" s="1574" t="s">
        <v>8</v>
      </c>
      <c r="U36" s="1575" t="e">
        <f t="shared" si="13"/>
        <v>#N/A</v>
      </c>
      <c r="V36" s="1574" t="s">
        <v>8</v>
      </c>
      <c r="W36" s="1575" t="e">
        <f t="shared" si="14"/>
        <v>#N/A</v>
      </c>
      <c r="X36" s="1568"/>
      <c r="Y36" s="3425"/>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5"/>
      <c r="Q37" s="1151" t="str">
        <f t="shared" si="11"/>
        <v>市政基础设施</v>
      </c>
      <c r="R37" s="1569" t="s">
        <v>8</v>
      </c>
      <c r="S37" s="1570">
        <f t="shared" si="12"/>
        <v>100</v>
      </c>
      <c r="T37" s="1569" t="s">
        <v>8</v>
      </c>
      <c r="U37" s="1570">
        <f t="shared" si="13"/>
        <v>100</v>
      </c>
      <c r="V37" s="1569" t="s">
        <v>8</v>
      </c>
      <c r="W37" s="1570">
        <f t="shared" si="14"/>
        <v>100</v>
      </c>
      <c r="X37" s="1571"/>
      <c r="Y37" s="3425"/>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5" t="s">
        <v>766</v>
      </c>
      <c r="Q38" s="1573" t="str">
        <f t="shared" si="11"/>
        <v>业态</v>
      </c>
      <c r="R38" s="1574" t="s">
        <v>8</v>
      </c>
      <c r="S38" s="1575">
        <f t="shared" si="12"/>
        <v>100</v>
      </c>
      <c r="T38" s="1574" t="s">
        <v>8</v>
      </c>
      <c r="U38" s="1575">
        <f t="shared" si="13"/>
        <v>100</v>
      </c>
      <c r="V38" s="1574" t="s">
        <v>8</v>
      </c>
      <c r="W38" s="1575">
        <f t="shared" si="14"/>
        <v>100</v>
      </c>
      <c r="X38" s="1568"/>
      <c r="Y38" s="3425"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5"/>
      <c r="Q39" s="1573" t="str">
        <f t="shared" si="11"/>
        <v>层高</v>
      </c>
      <c r="R39" s="1574" t="s">
        <v>8</v>
      </c>
      <c r="S39" s="1575">
        <f t="shared" si="12"/>
        <v>100</v>
      </c>
      <c r="T39" s="1574" t="s">
        <v>8</v>
      </c>
      <c r="U39" s="1575">
        <f t="shared" si="13"/>
        <v>100</v>
      </c>
      <c r="V39" s="1574" t="s">
        <v>8</v>
      </c>
      <c r="W39" s="1575">
        <f t="shared" si="14"/>
        <v>100</v>
      </c>
      <c r="X39" s="1568"/>
      <c r="Y39" s="342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5"/>
      <c r="Q40" s="1573" t="str">
        <f t="shared" si="11"/>
        <v>单套建筑面积</v>
      </c>
      <c r="R40" s="1574" t="s">
        <v>8</v>
      </c>
      <c r="S40" s="1575">
        <f t="shared" si="12"/>
        <v>100</v>
      </c>
      <c r="T40" s="1574" t="s">
        <v>8</v>
      </c>
      <c r="U40" s="1575">
        <f t="shared" si="13"/>
        <v>100</v>
      </c>
      <c r="V40" s="1574" t="s">
        <v>8</v>
      </c>
      <c r="W40" s="1575">
        <f t="shared" si="14"/>
        <v>100</v>
      </c>
      <c r="X40" s="1568"/>
      <c r="Y40" s="3425"/>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5"/>
      <c r="Q41" s="1606" t="str">
        <f t="shared" si="11"/>
        <v>进深比</v>
      </c>
      <c r="R41" s="1578" t="s">
        <v>8</v>
      </c>
      <c r="S41" s="1579">
        <f t="shared" si="12"/>
        <v>100</v>
      </c>
      <c r="T41" s="1578" t="s">
        <v>8</v>
      </c>
      <c r="U41" s="1579">
        <f t="shared" si="13"/>
        <v>100</v>
      </c>
      <c r="V41" s="1578" t="s">
        <v>8</v>
      </c>
      <c r="W41" s="1579">
        <f t="shared" si="14"/>
        <v>100</v>
      </c>
      <c r="X41" s="1580"/>
      <c r="Y41" s="3425"/>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5"/>
      <c r="Q42" s="1573" t="str">
        <f t="shared" si="11"/>
        <v>内部装修</v>
      </c>
      <c r="R42" s="1574" t="s">
        <v>8</v>
      </c>
      <c r="S42" s="1575">
        <f t="shared" si="12"/>
        <v>100</v>
      </c>
      <c r="T42" s="1574" t="s">
        <v>8</v>
      </c>
      <c r="U42" s="1575">
        <f t="shared" si="13"/>
        <v>100</v>
      </c>
      <c r="V42" s="1574" t="s">
        <v>8</v>
      </c>
      <c r="W42" s="1575">
        <f t="shared" si="14"/>
        <v>100</v>
      </c>
      <c r="X42" s="1568"/>
      <c r="Y42" s="3425"/>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5"/>
      <c r="Q43" s="1573" t="str">
        <f t="shared" si="11"/>
        <v>内部装修维护情况</v>
      </c>
      <c r="R43" s="1574" t="s">
        <v>8</v>
      </c>
      <c r="S43" s="1575">
        <f t="shared" si="12"/>
        <v>100</v>
      </c>
      <c r="T43" s="1574" t="s">
        <v>8</v>
      </c>
      <c r="U43" s="1575">
        <f t="shared" si="13"/>
        <v>100</v>
      </c>
      <c r="V43" s="1574" t="s">
        <v>8</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5"/>
      <c r="Q44" s="1151">
        <f t="shared" si="11"/>
        <v>111</v>
      </c>
      <c r="R44" s="1569" t="s">
        <v>8</v>
      </c>
      <c r="S44" s="1570">
        <f t="shared" si="12"/>
        <v>100</v>
      </c>
      <c r="T44" s="1569" t="s">
        <v>8</v>
      </c>
      <c r="U44" s="1570">
        <f t="shared" si="13"/>
        <v>100</v>
      </c>
      <c r="V44" s="1569" t="s">
        <v>8</v>
      </c>
      <c r="W44" s="1570">
        <f t="shared" si="14"/>
        <v>100</v>
      </c>
      <c r="X44" s="1571"/>
      <c r="Y44" s="34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5"/>
      <c r="Q45" s="1573">
        <f t="shared" si="11"/>
        <v>111</v>
      </c>
      <c r="R45" s="1574" t="s">
        <v>8</v>
      </c>
      <c r="S45" s="1575">
        <f t="shared" si="12"/>
        <v>100</v>
      </c>
      <c r="T45" s="1574" t="s">
        <v>8</v>
      </c>
      <c r="U45" s="1575">
        <f t="shared" si="13"/>
        <v>100</v>
      </c>
      <c r="V45" s="1574" t="s">
        <v>8</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0"/>
      <c r="Q46" s="1573">
        <f t="shared" si="11"/>
        <v>111</v>
      </c>
      <c r="R46" s="1574" t="s">
        <v>8</v>
      </c>
      <c r="S46" s="1575">
        <f t="shared" si="12"/>
        <v>100</v>
      </c>
      <c r="T46" s="1574" t="s">
        <v>8</v>
      </c>
      <c r="U46" s="1575">
        <f t="shared" si="13"/>
        <v>100</v>
      </c>
      <c r="V46" s="1574" t="s">
        <v>8</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20" t="str">
        <f>A47</f>
        <v>成交单价（元/平方米）</v>
      </c>
      <c r="Q47" s="3420"/>
      <c r="R47" s="3499">
        <f>E47</f>
        <v>0</v>
      </c>
      <c r="S47" s="3499"/>
      <c r="T47" s="3499">
        <f>G47</f>
        <v>0</v>
      </c>
      <c r="U47" s="3499"/>
      <c r="V47" s="3499">
        <f>I47</f>
        <v>0</v>
      </c>
      <c r="W47" s="3499"/>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20" t="str">
        <f>A48</f>
        <v>比较价格（元/平方米）</v>
      </c>
      <c r="Q48" s="3420"/>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41" t="str">
        <f>A49</f>
        <v>估价对象XX用房的比较价格（楼面单价，元/平方米）</v>
      </c>
      <c r="Q49" s="3442"/>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6" t="s">
        <v>522</v>
      </c>
      <c r="D4" s="3427"/>
      <c r="E4" s="3450" t="s">
        <v>523</v>
      </c>
      <c r="F4" s="3451"/>
      <c r="G4" s="3426" t="s">
        <v>524</v>
      </c>
      <c r="H4" s="3427"/>
      <c r="I4" s="3426" t="s">
        <v>525</v>
      </c>
      <c r="J4" s="3427"/>
      <c r="K4" s="514" t="s">
        <v>526</v>
      </c>
      <c r="L4" s="2135"/>
      <c r="M4" s="2136"/>
      <c r="N4" s="2136"/>
      <c r="O4" s="2136"/>
      <c r="P4" s="3524"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2927</v>
      </c>
      <c r="D5" s="3438"/>
      <c r="E5" s="3452" t="s">
        <v>2928</v>
      </c>
      <c r="F5" s="3453"/>
      <c r="G5" s="3437" t="s">
        <v>2929</v>
      </c>
      <c r="H5" s="3438"/>
      <c r="I5" s="3437" t="s">
        <v>2930</v>
      </c>
      <c r="J5" s="3438"/>
      <c r="K5" s="514"/>
      <c r="L5" s="2135"/>
      <c r="M5" s="2136"/>
      <c r="N5" s="2136"/>
      <c r="O5" s="2136"/>
      <c r="P5" s="3525"/>
      <c r="Q5" s="3431"/>
      <c r="R5" s="3416"/>
      <c r="S5" s="3417"/>
      <c r="T5" s="3416"/>
      <c r="U5" s="3417"/>
      <c r="V5" s="3434"/>
      <c r="W5" s="3434"/>
      <c r="X5" s="1568"/>
      <c r="Y5" s="3416"/>
      <c r="Z5" s="3417"/>
      <c r="AA5" s="3410"/>
      <c r="AB5" s="3410"/>
      <c r="AC5" s="3410"/>
    </row>
    <row r="6" spans="1:29" ht="15.75" thickBot="1">
      <c r="A6" s="517"/>
      <c r="B6" s="518"/>
      <c r="C6" s="3435" t="s">
        <v>2931</v>
      </c>
      <c r="D6" s="3436"/>
      <c r="E6" s="3454" t="s">
        <v>2931</v>
      </c>
      <c r="F6" s="3455"/>
      <c r="G6" s="3435" t="s">
        <v>2931</v>
      </c>
      <c r="H6" s="3436"/>
      <c r="I6" s="3435" t="s">
        <v>2931</v>
      </c>
      <c r="J6" s="3436"/>
      <c r="K6" s="514" t="s">
        <v>528</v>
      </c>
      <c r="L6" s="2135"/>
      <c r="M6" s="2136"/>
      <c r="N6" s="2136"/>
      <c r="O6" s="2136"/>
      <c r="P6" s="3526"/>
      <c r="Q6" s="3433"/>
      <c r="R6" s="3416"/>
      <c r="S6" s="3417"/>
      <c r="T6" s="3418"/>
      <c r="U6" s="3419"/>
      <c r="V6" s="3434"/>
      <c r="W6" s="3434"/>
      <c r="X6" s="1568"/>
      <c r="Y6" s="3418"/>
      <c r="Z6" s="3419"/>
      <c r="AA6" s="3411"/>
      <c r="AB6" s="3411"/>
      <c r="AC6" s="3411"/>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1"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1" t="s">
        <v>533</v>
      </c>
      <c r="Q8" s="3413"/>
      <c r="R8" s="1569" t="s">
        <v>8</v>
      </c>
      <c r="S8" s="1570">
        <f t="shared" si="0"/>
        <v>0</v>
      </c>
      <c r="T8" s="1569" t="s">
        <v>8</v>
      </c>
      <c r="U8" s="1570">
        <f t="shared" si="1"/>
        <v>0</v>
      </c>
      <c r="V8" s="1569" t="s">
        <v>8</v>
      </c>
      <c r="W8" s="1570">
        <f t="shared" si="2"/>
        <v>0</v>
      </c>
      <c r="X8" s="1571"/>
      <c r="Y8" s="3412" t="s">
        <v>533</v>
      </c>
      <c r="Z8" s="3413"/>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2" t="s">
        <v>540</v>
      </c>
      <c r="Q15" s="1573" t="str">
        <f t="shared" si="6"/>
        <v>办公集聚程度</v>
      </c>
      <c r="R15" s="1574" t="s">
        <v>8</v>
      </c>
      <c r="S15" s="1575">
        <f t="shared" si="0"/>
        <v>100</v>
      </c>
      <c r="T15" s="1574" t="s">
        <v>8</v>
      </c>
      <c r="U15" s="1575">
        <f t="shared" si="1"/>
        <v>100</v>
      </c>
      <c r="V15" s="1574" t="s">
        <v>8</v>
      </c>
      <c r="W15" s="1575">
        <f t="shared" si="2"/>
        <v>100</v>
      </c>
      <c r="X15" s="1568"/>
      <c r="Y15" s="342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3"/>
      <c r="Q16" s="1573"/>
      <c r="R16" s="1574"/>
      <c r="S16" s="1575"/>
      <c r="T16" s="1574"/>
      <c r="U16" s="1575"/>
      <c r="V16" s="1574"/>
      <c r="W16" s="1575"/>
      <c r="X16" s="1568"/>
      <c r="Y16" s="3423"/>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3"/>
      <c r="Q18" s="1573"/>
      <c r="R18" s="1574"/>
      <c r="S18" s="1575"/>
      <c r="T18" s="1574"/>
      <c r="U18" s="1575"/>
      <c r="V18" s="1574"/>
      <c r="W18" s="1575"/>
      <c r="X18" s="1568"/>
      <c r="Y18" s="3423"/>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3"/>
      <c r="Q20" s="1573"/>
      <c r="R20" s="1574"/>
      <c r="S20" s="1575"/>
      <c r="T20" s="1574"/>
      <c r="U20" s="1575"/>
      <c r="V20" s="1574"/>
      <c r="W20" s="1575"/>
      <c r="X20" s="1568"/>
      <c r="Y20" s="3423"/>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3"/>
      <c r="Q21" s="2605" t="str">
        <f>B21</f>
        <v>基础设施水平</v>
      </c>
      <c r="R21" s="1574" t="s">
        <v>8</v>
      </c>
      <c r="S21" s="1575">
        <f>F21</f>
        <v>100</v>
      </c>
      <c r="T21" s="1574" t="s">
        <v>8</v>
      </c>
      <c r="U21" s="1575">
        <f>H21</f>
        <v>100</v>
      </c>
      <c r="V21" s="1574" t="s">
        <v>8</v>
      </c>
      <c r="W21" s="1575">
        <f>J21</f>
        <v>100</v>
      </c>
      <c r="X21" s="2607"/>
      <c r="Y21" s="3423"/>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23"/>
      <c r="Q22" s="2605"/>
      <c r="R22" s="1574"/>
      <c r="S22" s="1575"/>
      <c r="T22" s="1574"/>
      <c r="U22" s="1575"/>
      <c r="V22" s="1574"/>
      <c r="W22" s="1575"/>
      <c r="X22" s="2607"/>
      <c r="Y22" s="3423"/>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3"/>
      <c r="Q24" s="1573"/>
      <c r="R24" s="1574"/>
      <c r="S24" s="1575"/>
      <c r="T24" s="1574"/>
      <c r="U24" s="1575"/>
      <c r="V24" s="1574"/>
      <c r="W24" s="1575"/>
      <c r="X24" s="1568"/>
      <c r="Y24" s="3423"/>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3"/>
      <c r="Q25" s="1573" t="str">
        <f>B25</f>
        <v>毗邻道路的类型与等级</v>
      </c>
      <c r="R25" s="1574" t="s">
        <v>8</v>
      </c>
      <c r="S25" s="1575">
        <f>F25</f>
        <v>100</v>
      </c>
      <c r="T25" s="1574" t="s">
        <v>8</v>
      </c>
      <c r="U25" s="1575">
        <f>H25</f>
        <v>100</v>
      </c>
      <c r="V25" s="1574" t="s">
        <v>8</v>
      </c>
      <c r="W25" s="1575">
        <f>J25</f>
        <v>100</v>
      </c>
      <c r="X25" s="1568"/>
      <c r="Y25" s="342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3"/>
      <c r="Q26" s="1573"/>
      <c r="R26" s="1574"/>
      <c r="S26" s="1575"/>
      <c r="T26" s="1574"/>
      <c r="U26" s="1575"/>
      <c r="V26" s="1574"/>
      <c r="W26" s="1575"/>
      <c r="X26" s="1568"/>
      <c r="Y26" s="342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3"/>
      <c r="Q27" s="1573" t="str">
        <f t="shared" ref="Q27:Q47" si="11">B27</f>
        <v>楼层</v>
      </c>
      <c r="R27" s="1574" t="s">
        <v>8</v>
      </c>
      <c r="S27" s="1575">
        <f>F27</f>
        <v>100</v>
      </c>
      <c r="T27" s="1574" t="s">
        <v>8</v>
      </c>
      <c r="U27" s="1575">
        <f>H27</f>
        <v>100</v>
      </c>
      <c r="V27" s="1574" t="s">
        <v>8</v>
      </c>
      <c r="W27" s="1575">
        <f>J27</f>
        <v>100</v>
      </c>
      <c r="X27" s="1568"/>
      <c r="Y27" s="342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3"/>
      <c r="Q28" s="1151" t="str">
        <f t="shared" si="11"/>
        <v>朝向</v>
      </c>
      <c r="R28" s="1569" t="s">
        <v>8</v>
      </c>
      <c r="S28" s="1570">
        <f>F28</f>
        <v>100</v>
      </c>
      <c r="T28" s="1569" t="s">
        <v>8</v>
      </c>
      <c r="U28" s="1570">
        <f>H28</f>
        <v>100</v>
      </c>
      <c r="V28" s="1569" t="s">
        <v>8</v>
      </c>
      <c r="W28" s="1570">
        <f>J28</f>
        <v>100</v>
      </c>
      <c r="X28" s="1571"/>
      <c r="Y28" s="342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3"/>
      <c r="Q29" s="1573">
        <f t="shared" si="11"/>
        <v>111</v>
      </c>
      <c r="R29" s="1574" t="s">
        <v>8</v>
      </c>
      <c r="S29" s="1575">
        <f t="shared" ref="S29:S47" si="12">F29</f>
        <v>100</v>
      </c>
      <c r="T29" s="1574" t="s">
        <v>8</v>
      </c>
      <c r="U29" s="1575">
        <f t="shared" ref="U29:U47" si="13">H29</f>
        <v>100</v>
      </c>
      <c r="V29" s="1574" t="s">
        <v>8</v>
      </c>
      <c r="W29" s="1575">
        <f t="shared" ref="W29:W47" si="14">J29</f>
        <v>100</v>
      </c>
      <c r="X29" s="1568"/>
      <c r="Y29" s="342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3"/>
      <c r="Q32" s="1573">
        <f t="shared" si="11"/>
        <v>111</v>
      </c>
      <c r="R32" s="1574" t="s">
        <v>8</v>
      </c>
      <c r="S32" s="1575">
        <f t="shared" si="12"/>
        <v>100</v>
      </c>
      <c r="T32" s="1574" t="s">
        <v>8</v>
      </c>
      <c r="U32" s="1575">
        <f t="shared" si="13"/>
        <v>100</v>
      </c>
      <c r="V32" s="1574" t="s">
        <v>8</v>
      </c>
      <c r="W32" s="1575">
        <f t="shared" si="14"/>
        <v>100</v>
      </c>
      <c r="X32" s="1568"/>
      <c r="Y32" s="3423"/>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4" t="s">
        <v>550</v>
      </c>
      <c r="Q33" s="1573" t="str">
        <f t="shared" si="11"/>
        <v>建筑类型</v>
      </c>
      <c r="R33" s="1574" t="s">
        <v>8</v>
      </c>
      <c r="S33" s="1575">
        <f t="shared" si="12"/>
        <v>100</v>
      </c>
      <c r="T33" s="1574" t="s">
        <v>8</v>
      </c>
      <c r="U33" s="1575">
        <f t="shared" si="13"/>
        <v>100</v>
      </c>
      <c r="V33" s="1574" t="s">
        <v>8</v>
      </c>
      <c r="W33" s="1575">
        <f t="shared" si="14"/>
        <v>100</v>
      </c>
      <c r="X33" s="1568"/>
      <c r="Y33" s="342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5"/>
      <c r="Q34" s="1606" t="str">
        <f t="shared" si="11"/>
        <v>项目建筑规模</v>
      </c>
      <c r="R34" s="1578" t="s">
        <v>8</v>
      </c>
      <c r="S34" s="1579" t="e">
        <f t="shared" si="12"/>
        <v>#N/A</v>
      </c>
      <c r="T34" s="1578" t="s">
        <v>8</v>
      </c>
      <c r="U34" s="1579" t="e">
        <f t="shared" si="13"/>
        <v>#N/A</v>
      </c>
      <c r="V34" s="1578" t="s">
        <v>8</v>
      </c>
      <c r="W34" s="1579" t="e">
        <f t="shared" si="14"/>
        <v>#N/A</v>
      </c>
      <c r="X34" s="1580"/>
      <c r="Y34" s="342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5"/>
      <c r="Q35" s="1573" t="str">
        <f t="shared" si="11"/>
        <v>建筑结构</v>
      </c>
      <c r="R35" s="1574" t="s">
        <v>8</v>
      </c>
      <c r="S35" s="1575">
        <f t="shared" si="12"/>
        <v>100</v>
      </c>
      <c r="T35" s="1574" t="s">
        <v>8</v>
      </c>
      <c r="U35" s="1575">
        <f t="shared" si="13"/>
        <v>100</v>
      </c>
      <c r="V35" s="1574" t="s">
        <v>8</v>
      </c>
      <c r="W35" s="1575">
        <f t="shared" si="14"/>
        <v>100</v>
      </c>
      <c r="X35" s="1568"/>
      <c r="Y35" s="342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5"/>
      <c r="Q36" s="1573" t="str">
        <f t="shared" si="11"/>
        <v>公共部分装修</v>
      </c>
      <c r="R36" s="1574" t="s">
        <v>8</v>
      </c>
      <c r="S36" s="1575">
        <f t="shared" si="12"/>
        <v>100</v>
      </c>
      <c r="T36" s="1574" t="s">
        <v>8</v>
      </c>
      <c r="U36" s="1575">
        <f t="shared" si="13"/>
        <v>100</v>
      </c>
      <c r="V36" s="1574" t="s">
        <v>8</v>
      </c>
      <c r="W36" s="1575">
        <f t="shared" si="14"/>
        <v>100</v>
      </c>
      <c r="X36" s="1568"/>
      <c r="Y36" s="342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5"/>
      <c r="Q37" s="1573" t="str">
        <f t="shared" si="11"/>
        <v>成新度</v>
      </c>
      <c r="R37" s="1574" t="s">
        <v>8</v>
      </c>
      <c r="S37" s="1575" t="e">
        <f t="shared" si="12"/>
        <v>#N/A</v>
      </c>
      <c r="T37" s="1574" t="s">
        <v>8</v>
      </c>
      <c r="U37" s="1575" t="e">
        <f t="shared" si="13"/>
        <v>#N/A</v>
      </c>
      <c r="V37" s="1574" t="s">
        <v>8</v>
      </c>
      <c r="W37" s="1575" t="e">
        <f t="shared" si="14"/>
        <v>#N/A</v>
      </c>
      <c r="X37" s="1568"/>
      <c r="Y37" s="342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5"/>
      <c r="Q38" s="1151" t="str">
        <f t="shared" si="11"/>
        <v>写字楼等级</v>
      </c>
      <c r="R38" s="1569" t="s">
        <v>8</v>
      </c>
      <c r="S38" s="1570">
        <f t="shared" si="12"/>
        <v>100</v>
      </c>
      <c r="T38" s="1569" t="s">
        <v>8</v>
      </c>
      <c r="U38" s="1570">
        <f t="shared" si="13"/>
        <v>100</v>
      </c>
      <c r="V38" s="1569" t="s">
        <v>8</v>
      </c>
      <c r="W38" s="1570">
        <f t="shared" si="14"/>
        <v>100</v>
      </c>
      <c r="X38" s="1571"/>
      <c r="Y38" s="342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5" t="s">
        <v>550</v>
      </c>
      <c r="Q39" s="1573" t="str">
        <f t="shared" si="11"/>
        <v>物业管理</v>
      </c>
      <c r="R39" s="1574" t="s">
        <v>8</v>
      </c>
      <c r="S39" s="1575">
        <f t="shared" si="12"/>
        <v>100</v>
      </c>
      <c r="T39" s="1574" t="s">
        <v>8</v>
      </c>
      <c r="U39" s="1575">
        <f t="shared" si="13"/>
        <v>100</v>
      </c>
      <c r="V39" s="1574" t="s">
        <v>8</v>
      </c>
      <c r="W39" s="1575">
        <f t="shared" si="14"/>
        <v>100</v>
      </c>
      <c r="X39" s="1568"/>
      <c r="Y39" s="3425"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5"/>
      <c r="Q40" s="1573" t="str">
        <f t="shared" si="11"/>
        <v>市政基础设施</v>
      </c>
      <c r="R40" s="1574" t="s">
        <v>8</v>
      </c>
      <c r="S40" s="1575">
        <f t="shared" si="12"/>
        <v>100</v>
      </c>
      <c r="T40" s="1574" t="s">
        <v>8</v>
      </c>
      <c r="U40" s="1575">
        <f t="shared" si="13"/>
        <v>100</v>
      </c>
      <c r="V40" s="1574" t="s">
        <v>8</v>
      </c>
      <c r="W40" s="1575">
        <f t="shared" si="14"/>
        <v>100</v>
      </c>
      <c r="X40" s="1568"/>
      <c r="Y40" s="342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5"/>
      <c r="Q41" s="1573" t="str">
        <f t="shared" si="11"/>
        <v>层高</v>
      </c>
      <c r="R41" s="1574" t="s">
        <v>8</v>
      </c>
      <c r="S41" s="1575">
        <f t="shared" si="12"/>
        <v>100</v>
      </c>
      <c r="T41" s="1574" t="s">
        <v>8</v>
      </c>
      <c r="U41" s="1575">
        <f t="shared" si="13"/>
        <v>100</v>
      </c>
      <c r="V41" s="1574" t="s">
        <v>8</v>
      </c>
      <c r="W41" s="1575">
        <f t="shared" si="14"/>
        <v>100</v>
      </c>
      <c r="X41" s="1568"/>
      <c r="Y41" s="342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5"/>
      <c r="Q42" s="1606" t="str">
        <f t="shared" si="11"/>
        <v>单套建筑面积</v>
      </c>
      <c r="R42" s="1578" t="s">
        <v>8</v>
      </c>
      <c r="S42" s="1579">
        <f t="shared" si="12"/>
        <v>100</v>
      </c>
      <c r="T42" s="1578" t="s">
        <v>8</v>
      </c>
      <c r="U42" s="1579">
        <f t="shared" si="13"/>
        <v>100</v>
      </c>
      <c r="V42" s="1578" t="s">
        <v>8</v>
      </c>
      <c r="W42" s="1579">
        <f t="shared" si="14"/>
        <v>100</v>
      </c>
      <c r="X42" s="1580"/>
      <c r="Y42" s="342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5"/>
      <c r="Q43" s="1573" t="str">
        <f t="shared" si="11"/>
        <v>内部装修</v>
      </c>
      <c r="R43" s="1574" t="s">
        <v>8</v>
      </c>
      <c r="S43" s="1575">
        <f t="shared" si="12"/>
        <v>100</v>
      </c>
      <c r="T43" s="1574" t="s">
        <v>8</v>
      </c>
      <c r="U43" s="1575">
        <f t="shared" si="13"/>
        <v>100</v>
      </c>
      <c r="V43" s="1574" t="s">
        <v>8</v>
      </c>
      <c r="W43" s="1575">
        <f t="shared" si="14"/>
        <v>100</v>
      </c>
      <c r="X43" s="1568"/>
      <c r="Y43" s="3425"/>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5"/>
      <c r="Q44" s="1573" t="str">
        <f t="shared" si="11"/>
        <v>内部装修维护情况</v>
      </c>
      <c r="R44" s="1574" t="s">
        <v>8</v>
      </c>
      <c r="S44" s="1575">
        <f t="shared" si="12"/>
        <v>100</v>
      </c>
      <c r="T44" s="1574" t="s">
        <v>8</v>
      </c>
      <c r="U44" s="1575">
        <f t="shared" si="13"/>
        <v>100</v>
      </c>
      <c r="V44" s="1574" t="s">
        <v>8</v>
      </c>
      <c r="W44" s="1575">
        <f t="shared" si="14"/>
        <v>100</v>
      </c>
      <c r="X44" s="1568"/>
      <c r="Y44" s="342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5"/>
      <c r="Q45" s="1151">
        <f t="shared" si="11"/>
        <v>111</v>
      </c>
      <c r="R45" s="1569" t="s">
        <v>8</v>
      </c>
      <c r="S45" s="1570">
        <f t="shared" si="12"/>
        <v>100</v>
      </c>
      <c r="T45" s="1569" t="s">
        <v>8</v>
      </c>
      <c r="U45" s="1570">
        <f t="shared" si="13"/>
        <v>100</v>
      </c>
      <c r="V45" s="1569" t="s">
        <v>8</v>
      </c>
      <c r="W45" s="1570">
        <f t="shared" si="14"/>
        <v>100</v>
      </c>
      <c r="X45" s="1571"/>
      <c r="Y45" s="342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5"/>
      <c r="Q46" s="1573">
        <f t="shared" si="11"/>
        <v>111</v>
      </c>
      <c r="R46" s="1574" t="s">
        <v>8</v>
      </c>
      <c r="S46" s="1575">
        <f t="shared" si="12"/>
        <v>100</v>
      </c>
      <c r="T46" s="1574" t="s">
        <v>8</v>
      </c>
      <c r="U46" s="1575">
        <f t="shared" si="13"/>
        <v>100</v>
      </c>
      <c r="V46" s="1574" t="s">
        <v>8</v>
      </c>
      <c r="W46" s="1575">
        <f t="shared" si="14"/>
        <v>100</v>
      </c>
      <c r="X46" s="1568"/>
      <c r="Y46" s="342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0"/>
      <c r="Q47" s="1573">
        <f t="shared" si="11"/>
        <v>111</v>
      </c>
      <c r="R47" s="1574" t="s">
        <v>8</v>
      </c>
      <c r="S47" s="1575">
        <f t="shared" si="12"/>
        <v>100</v>
      </c>
      <c r="T47" s="1574" t="s">
        <v>8</v>
      </c>
      <c r="U47" s="1575">
        <f t="shared" si="13"/>
        <v>100</v>
      </c>
      <c r="V47" s="1574" t="s">
        <v>8</v>
      </c>
      <c r="W47" s="1575">
        <f t="shared" si="14"/>
        <v>100</v>
      </c>
      <c r="X47" s="1568"/>
      <c r="Y47" s="3500"/>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42" t="str">
        <f>A48</f>
        <v>成交单价（元/平方米）</v>
      </c>
      <c r="Q48" s="3420"/>
      <c r="R48" s="3499">
        <f>E48</f>
        <v>0</v>
      </c>
      <c r="S48" s="3499"/>
      <c r="T48" s="3499">
        <f>G48</f>
        <v>0</v>
      </c>
      <c r="U48" s="3499"/>
      <c r="V48" s="3499">
        <f>I48</f>
        <v>0</v>
      </c>
      <c r="W48" s="3499"/>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42" t="str">
        <f>A49</f>
        <v>比较价格（元/平方米）</v>
      </c>
      <c r="Q49" s="3420"/>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7" t="str">
        <f>A50</f>
        <v>估价对象XX用房的比较价格（楼面单价，元/平方米）</v>
      </c>
      <c r="Q50" s="3442"/>
      <c r="R50" s="3498" t="e">
        <f>IF(F1="售价",ROUND(AVERAGE(R49:V49),0),ROUND(AVERAGE(R49:V49),1))</f>
        <v>#DIV/0!</v>
      </c>
      <c r="S50" s="3498"/>
      <c r="T50" s="3498"/>
      <c r="U50" s="3498"/>
      <c r="V50" s="3498"/>
      <c r="W50" s="349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10" t="s">
        <v>524</v>
      </c>
      <c r="AC4" s="3409" t="s">
        <v>525</v>
      </c>
    </row>
    <row r="5" spans="1:29" ht="15">
      <c r="A5" s="515"/>
      <c r="B5" s="516"/>
      <c r="C5" s="3437" t="s">
        <v>2927</v>
      </c>
      <c r="D5" s="3438"/>
      <c r="E5" s="3452" t="s">
        <v>2928</v>
      </c>
      <c r="F5" s="3453"/>
      <c r="G5" s="3437" t="s">
        <v>2929</v>
      </c>
      <c r="H5" s="3438"/>
      <c r="I5" s="3437" t="s">
        <v>2930</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2931</v>
      </c>
      <c r="D6" s="3436"/>
      <c r="E6" s="3454" t="s">
        <v>2931</v>
      </c>
      <c r="F6" s="3455"/>
      <c r="G6" s="3435" t="s">
        <v>2931</v>
      </c>
      <c r="H6" s="3436"/>
      <c r="I6" s="3435" t="s">
        <v>2931</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2"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2" t="s">
        <v>540</v>
      </c>
      <c r="Q15" s="1573" t="str">
        <f t="shared" si="6"/>
        <v>产业集聚程度</v>
      </c>
      <c r="R15" s="1574" t="s">
        <v>8</v>
      </c>
      <c r="S15" s="1575">
        <f t="shared" si="0"/>
        <v>100</v>
      </c>
      <c r="T15" s="1574" t="s">
        <v>8</v>
      </c>
      <c r="U15" s="1575">
        <f t="shared" si="1"/>
        <v>100</v>
      </c>
      <c r="V15" s="1574" t="s">
        <v>8</v>
      </c>
      <c r="W15" s="1575">
        <f t="shared" si="2"/>
        <v>100</v>
      </c>
      <c r="X15" s="1568"/>
      <c r="Y15" s="342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3"/>
      <c r="Q21" s="2605" t="str">
        <f>B21</f>
        <v>基础设施水平</v>
      </c>
      <c r="R21" s="1574" t="s">
        <v>8</v>
      </c>
      <c r="S21" s="1575">
        <f>F21</f>
        <v>100</v>
      </c>
      <c r="T21" s="1574" t="s">
        <v>8</v>
      </c>
      <c r="U21" s="1575">
        <f>H21</f>
        <v>100</v>
      </c>
      <c r="V21" s="1574" t="s">
        <v>8</v>
      </c>
      <c r="W21" s="1575">
        <f>J21</f>
        <v>100</v>
      </c>
      <c r="X21" s="2607"/>
      <c r="Y21" s="3423"/>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23"/>
      <c r="Q22" s="2605"/>
      <c r="R22" s="1574"/>
      <c r="S22" s="1575"/>
      <c r="T22" s="1574"/>
      <c r="U22" s="1575"/>
      <c r="V22" s="1574"/>
      <c r="W22" s="1575"/>
      <c r="X22" s="2607"/>
      <c r="Y22" s="3423"/>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3"/>
      <c r="Q25" s="1573">
        <f>B25</f>
        <v>111</v>
      </c>
      <c r="R25" s="1574" t="s">
        <v>8</v>
      </c>
      <c r="S25" s="1575">
        <f>F25</f>
        <v>100</v>
      </c>
      <c r="T25" s="1574" t="s">
        <v>8</v>
      </c>
      <c r="U25" s="1575">
        <f>H25</f>
        <v>100</v>
      </c>
      <c r="V25" s="1574" t="s">
        <v>8</v>
      </c>
      <c r="W25" s="1575">
        <f>J25</f>
        <v>100</v>
      </c>
      <c r="X25" s="1568"/>
      <c r="Y25" s="342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3"/>
      <c r="Q26" s="1573">
        <f t="shared" ref="Q26:Q40" si="11">B26</f>
        <v>111</v>
      </c>
      <c r="R26" s="1574" t="s">
        <v>8</v>
      </c>
      <c r="S26" s="1575">
        <f>F26</f>
        <v>100</v>
      </c>
      <c r="T26" s="1574" t="s">
        <v>8</v>
      </c>
      <c r="U26" s="1575">
        <f>H26</f>
        <v>100</v>
      </c>
      <c r="V26" s="1574" t="s">
        <v>8</v>
      </c>
      <c r="W26" s="1575">
        <f>J26</f>
        <v>100</v>
      </c>
      <c r="X26" s="1568"/>
      <c r="Y26" s="342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3"/>
      <c r="Q27" s="1151">
        <f t="shared" si="11"/>
        <v>111</v>
      </c>
      <c r="R27" s="1569" t="s">
        <v>8</v>
      </c>
      <c r="S27" s="1570">
        <f>F27</f>
        <v>100</v>
      </c>
      <c r="T27" s="1569" t="s">
        <v>8</v>
      </c>
      <c r="U27" s="1570">
        <f>H27</f>
        <v>100</v>
      </c>
      <c r="V27" s="1569" t="s">
        <v>8</v>
      </c>
      <c r="W27" s="1570">
        <f>J27</f>
        <v>100</v>
      </c>
      <c r="X27" s="1571"/>
      <c r="Y27" s="342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3"/>
      <c r="Q28" s="1573">
        <f t="shared" si="11"/>
        <v>111</v>
      </c>
      <c r="R28" s="1574" t="s">
        <v>8</v>
      </c>
      <c r="S28" s="1575">
        <f t="shared" ref="S28:S40" si="12">F28</f>
        <v>100</v>
      </c>
      <c r="T28" s="1574" t="s">
        <v>8</v>
      </c>
      <c r="U28" s="1575">
        <f t="shared" ref="U28:U40" si="13">H28</f>
        <v>100</v>
      </c>
      <c r="V28" s="1574" t="s">
        <v>8</v>
      </c>
      <c r="W28" s="1575">
        <f t="shared" ref="W28:W40" si="14">J28</f>
        <v>100</v>
      </c>
      <c r="X28" s="1568"/>
      <c r="Y28" s="3423"/>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4" t="s">
        <v>550</v>
      </c>
      <c r="Q29" s="1573" t="str">
        <f t="shared" si="11"/>
        <v>建筑类型</v>
      </c>
      <c r="R29" s="1574" t="s">
        <v>8</v>
      </c>
      <c r="S29" s="1575">
        <f t="shared" si="12"/>
        <v>100</v>
      </c>
      <c r="T29" s="1574" t="s">
        <v>8</v>
      </c>
      <c r="U29" s="1575">
        <f t="shared" si="13"/>
        <v>100</v>
      </c>
      <c r="V29" s="1574" t="s">
        <v>8</v>
      </c>
      <c r="W29" s="1575">
        <f t="shared" si="14"/>
        <v>100</v>
      </c>
      <c r="X29" s="1568"/>
      <c r="Y29" s="342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5"/>
      <c r="Q30" s="1606" t="str">
        <f t="shared" si="11"/>
        <v>项目建筑规模</v>
      </c>
      <c r="R30" s="1578" t="s">
        <v>8</v>
      </c>
      <c r="S30" s="1579" t="e">
        <f t="shared" si="12"/>
        <v>#N/A</v>
      </c>
      <c r="T30" s="1578" t="s">
        <v>8</v>
      </c>
      <c r="U30" s="1579" t="e">
        <f t="shared" si="13"/>
        <v>#N/A</v>
      </c>
      <c r="V30" s="1578" t="s">
        <v>8</v>
      </c>
      <c r="W30" s="1579" t="e">
        <f t="shared" si="14"/>
        <v>#N/A</v>
      </c>
      <c r="X30" s="1580"/>
      <c r="Y30" s="342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5"/>
      <c r="Q31" s="1573" t="str">
        <f t="shared" si="11"/>
        <v>建筑结构</v>
      </c>
      <c r="R31" s="1574" t="s">
        <v>8</v>
      </c>
      <c r="S31" s="1575">
        <f t="shared" si="12"/>
        <v>100</v>
      </c>
      <c r="T31" s="1574" t="s">
        <v>8</v>
      </c>
      <c r="U31" s="1575">
        <f t="shared" si="13"/>
        <v>100</v>
      </c>
      <c r="V31" s="1574" t="s">
        <v>8</v>
      </c>
      <c r="W31" s="1575">
        <f t="shared" si="14"/>
        <v>100</v>
      </c>
      <c r="X31" s="1568"/>
      <c r="Y31" s="342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5"/>
      <c r="Q32" s="1573" t="str">
        <f t="shared" si="11"/>
        <v>公共部分装修</v>
      </c>
      <c r="R32" s="1574" t="s">
        <v>8</v>
      </c>
      <c r="S32" s="1575">
        <f t="shared" si="12"/>
        <v>100</v>
      </c>
      <c r="T32" s="1574" t="s">
        <v>8</v>
      </c>
      <c r="U32" s="1575">
        <f t="shared" si="13"/>
        <v>100</v>
      </c>
      <c r="V32" s="1574" t="s">
        <v>8</v>
      </c>
      <c r="W32" s="1575">
        <f t="shared" si="14"/>
        <v>100</v>
      </c>
      <c r="X32" s="1568"/>
      <c r="Y32" s="342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5"/>
      <c r="Q33" s="1573" t="str">
        <f t="shared" si="11"/>
        <v>成新度</v>
      </c>
      <c r="R33" s="1574" t="s">
        <v>8</v>
      </c>
      <c r="S33" s="1575" t="e">
        <f t="shared" si="12"/>
        <v>#N/A</v>
      </c>
      <c r="T33" s="1574" t="s">
        <v>8</v>
      </c>
      <c r="U33" s="1575" t="e">
        <f t="shared" si="13"/>
        <v>#N/A</v>
      </c>
      <c r="V33" s="1574" t="s">
        <v>8</v>
      </c>
      <c r="W33" s="1575" t="e">
        <f t="shared" si="14"/>
        <v>#N/A</v>
      </c>
      <c r="X33" s="1568"/>
      <c r="Y33" s="342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5"/>
      <c r="Q34" s="1151" t="str">
        <f t="shared" si="11"/>
        <v>物业管理</v>
      </c>
      <c r="R34" s="1569" t="s">
        <v>8</v>
      </c>
      <c r="S34" s="1570">
        <f t="shared" si="12"/>
        <v>100</v>
      </c>
      <c r="T34" s="1569" t="s">
        <v>8</v>
      </c>
      <c r="U34" s="1570">
        <f t="shared" si="13"/>
        <v>100</v>
      </c>
      <c r="V34" s="1569" t="s">
        <v>8</v>
      </c>
      <c r="W34" s="1570">
        <f t="shared" si="14"/>
        <v>100</v>
      </c>
      <c r="X34" s="1571"/>
      <c r="Y34" s="3425"/>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5" t="s">
        <v>550</v>
      </c>
      <c r="Q35" s="1573" t="str">
        <f t="shared" si="11"/>
        <v>市政基础设施</v>
      </c>
      <c r="R35" s="1574" t="s">
        <v>8</v>
      </c>
      <c r="S35" s="1575">
        <f t="shared" si="12"/>
        <v>100</v>
      </c>
      <c r="T35" s="1574" t="s">
        <v>8</v>
      </c>
      <c r="U35" s="1575">
        <f t="shared" si="13"/>
        <v>100</v>
      </c>
      <c r="V35" s="1574" t="s">
        <v>8</v>
      </c>
      <c r="W35" s="1575">
        <f t="shared" si="14"/>
        <v>100</v>
      </c>
      <c r="X35" s="1568"/>
      <c r="Y35" s="342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5"/>
      <c r="Q36" s="1573" t="str">
        <f t="shared" si="11"/>
        <v>内部装修</v>
      </c>
      <c r="R36" s="1574" t="s">
        <v>8</v>
      </c>
      <c r="S36" s="1575">
        <f t="shared" si="12"/>
        <v>100</v>
      </c>
      <c r="T36" s="1574" t="s">
        <v>8</v>
      </c>
      <c r="U36" s="1575">
        <f t="shared" si="13"/>
        <v>100</v>
      </c>
      <c r="V36" s="1574" t="s">
        <v>8</v>
      </c>
      <c r="W36" s="1575">
        <f t="shared" si="14"/>
        <v>100</v>
      </c>
      <c r="X36" s="1568"/>
      <c r="Y36" s="342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5"/>
      <c r="Q37" s="1573" t="str">
        <f t="shared" si="11"/>
        <v>内部装修状况</v>
      </c>
      <c r="R37" s="1574" t="s">
        <v>8</v>
      </c>
      <c r="S37" s="1575">
        <f t="shared" si="12"/>
        <v>100</v>
      </c>
      <c r="T37" s="1574" t="s">
        <v>8</v>
      </c>
      <c r="U37" s="1575">
        <f t="shared" si="13"/>
        <v>100</v>
      </c>
      <c r="V37" s="1574" t="s">
        <v>8</v>
      </c>
      <c r="W37" s="1575">
        <f t="shared" si="14"/>
        <v>100</v>
      </c>
      <c r="X37" s="1568"/>
      <c r="Y37" s="342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5"/>
      <c r="Q38" s="1606">
        <f t="shared" si="11"/>
        <v>111</v>
      </c>
      <c r="R38" s="1578" t="s">
        <v>8</v>
      </c>
      <c r="S38" s="1579">
        <f t="shared" si="12"/>
        <v>100</v>
      </c>
      <c r="T38" s="1578" t="s">
        <v>8</v>
      </c>
      <c r="U38" s="1579">
        <f t="shared" si="13"/>
        <v>100</v>
      </c>
      <c r="V38" s="1578" t="s">
        <v>8</v>
      </c>
      <c r="W38" s="1579">
        <f t="shared" si="14"/>
        <v>100</v>
      </c>
      <c r="X38" s="1580"/>
      <c r="Y38" s="342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5"/>
      <c r="Q39" s="1573">
        <f t="shared" si="11"/>
        <v>111</v>
      </c>
      <c r="R39" s="1574" t="s">
        <v>8</v>
      </c>
      <c r="S39" s="1575">
        <f t="shared" si="12"/>
        <v>100</v>
      </c>
      <c r="T39" s="1574" t="s">
        <v>8</v>
      </c>
      <c r="U39" s="1575">
        <f t="shared" si="13"/>
        <v>100</v>
      </c>
      <c r="V39" s="1574" t="s">
        <v>8</v>
      </c>
      <c r="W39" s="1575">
        <f t="shared" si="14"/>
        <v>100</v>
      </c>
      <c r="X39" s="1568"/>
      <c r="Y39" s="342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0"/>
      <c r="Q40" s="1573">
        <f t="shared" si="11"/>
        <v>111</v>
      </c>
      <c r="R40" s="1574" t="s">
        <v>8</v>
      </c>
      <c r="S40" s="1575">
        <f t="shared" si="12"/>
        <v>100</v>
      </c>
      <c r="T40" s="1574" t="s">
        <v>8</v>
      </c>
      <c r="U40" s="1575">
        <f t="shared" si="13"/>
        <v>100</v>
      </c>
      <c r="V40" s="1574" t="s">
        <v>8</v>
      </c>
      <c r="W40" s="1575">
        <f t="shared" si="14"/>
        <v>100</v>
      </c>
      <c r="X40" s="1568"/>
      <c r="Y40" s="3500"/>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20" t="str">
        <f>A41</f>
        <v>成交单价（元/平方米）</v>
      </c>
      <c r="Q41" s="3420"/>
      <c r="R41" s="3499">
        <f>E41</f>
        <v>0</v>
      </c>
      <c r="S41" s="3499"/>
      <c r="T41" s="3499">
        <f>G41</f>
        <v>0</v>
      </c>
      <c r="U41" s="3499"/>
      <c r="V41" s="3499">
        <f>I41</f>
        <v>0</v>
      </c>
      <c r="W41" s="3499"/>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20" t="str">
        <f>A42</f>
        <v>比较价格（元/平方米）</v>
      </c>
      <c r="Q42" s="3420"/>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41" t="str">
        <f>A43</f>
        <v>估价对象XX用房的比较价格（楼面单价，元/平方米）</v>
      </c>
      <c r="Q43" s="3442"/>
      <c r="R43" s="3498" t="e">
        <f>IF(F1="售价",ROUND(AVERAGE(R42:V42),0),ROUND(AVERAGE(R42:V42),1))</f>
        <v>#DIV/0!</v>
      </c>
      <c r="S43" s="3498"/>
      <c r="T43" s="3498"/>
      <c r="U43" s="3498"/>
      <c r="V43" s="3498"/>
      <c r="W43" s="349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11382.9平方米。根据《建设工程规划许可证》[]、《出让合同》[]，估价对象规划建筑面积为56746.02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根据《国有土地使用证》[]，估价对象（分摊）出让国有建设用地使用权面积为11382.9平方米。根据《建设工程规划许可证》[]、《出让合同》[]，估价对象规划建筑面积为56746.02平方米。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26" t="s">
        <v>799</v>
      </c>
      <c r="F4" s="3427"/>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2927</v>
      </c>
      <c r="D5" s="3438"/>
      <c r="E5" s="3437" t="s">
        <v>2928</v>
      </c>
      <c r="F5" s="3438"/>
      <c r="G5" s="3437" t="s">
        <v>2929</v>
      </c>
      <c r="H5" s="3438"/>
      <c r="I5" s="3437" t="s">
        <v>2930</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2931</v>
      </c>
      <c r="D6" s="3436"/>
      <c r="E6" s="3439" t="s">
        <v>2931</v>
      </c>
      <c r="F6" s="3440"/>
      <c r="G6" s="3435" t="s">
        <v>2931</v>
      </c>
      <c r="H6" s="3436"/>
      <c r="I6" s="3435" t="s">
        <v>2931</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3"/>
      <c r="Q18" s="2605" t="str">
        <f>B18</f>
        <v>基础设施水平</v>
      </c>
      <c r="R18" s="1574" t="s">
        <v>8</v>
      </c>
      <c r="S18" s="1575">
        <f>F18</f>
        <v>100</v>
      </c>
      <c r="T18" s="1574" t="s">
        <v>8</v>
      </c>
      <c r="U18" s="1575">
        <f>H18</f>
        <v>100</v>
      </c>
      <c r="V18" s="1574" t="s">
        <v>8</v>
      </c>
      <c r="W18" s="1575">
        <f>J18</f>
        <v>100</v>
      </c>
      <c r="X18" s="2607"/>
      <c r="Y18" s="3423"/>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23"/>
      <c r="Q19" s="2605"/>
      <c r="R19" s="1574"/>
      <c r="S19" s="1575"/>
      <c r="T19" s="1574"/>
      <c r="U19" s="1575"/>
      <c r="V19" s="1574"/>
      <c r="W19" s="1575"/>
      <c r="X19" s="2607"/>
      <c r="Y19" s="3423"/>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3"/>
      <c r="Q24" s="1573">
        <f t="shared" ref="Q24:Q36"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5"/>
      <c r="Q27" s="1606" t="str">
        <f t="shared" si="11"/>
        <v>项目停车位配比</v>
      </c>
      <c r="R27" s="1578" t="s">
        <v>8</v>
      </c>
      <c r="S27" s="1579">
        <f t="shared" si="12"/>
        <v>100</v>
      </c>
      <c r="T27" s="1578" t="s">
        <v>8</v>
      </c>
      <c r="U27" s="1579">
        <f t="shared" si="13"/>
        <v>100</v>
      </c>
      <c r="V27" s="1578" t="s">
        <v>8</v>
      </c>
      <c r="W27" s="1579">
        <f t="shared" si="14"/>
        <v>100</v>
      </c>
      <c r="X27" s="1580"/>
      <c r="Y27" s="342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5"/>
      <c r="Q28" s="1573" t="str">
        <f t="shared" si="11"/>
        <v>公共部分装修</v>
      </c>
      <c r="R28" s="1574" t="s">
        <v>8</v>
      </c>
      <c r="S28" s="1575">
        <f t="shared" si="12"/>
        <v>100</v>
      </c>
      <c r="T28" s="1574" t="s">
        <v>8</v>
      </c>
      <c r="U28" s="1575">
        <f t="shared" si="13"/>
        <v>100</v>
      </c>
      <c r="V28" s="1574" t="s">
        <v>8</v>
      </c>
      <c r="W28" s="1575">
        <f t="shared" si="14"/>
        <v>100</v>
      </c>
      <c r="X28" s="1568"/>
      <c r="Y28" s="342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5"/>
      <c r="Q29" s="1573" t="str">
        <f t="shared" si="11"/>
        <v>成新率</v>
      </c>
      <c r="R29" s="1574" t="s">
        <v>8</v>
      </c>
      <c r="S29" s="1575" t="e">
        <f t="shared" si="12"/>
        <v>#N/A</v>
      </c>
      <c r="T29" s="1574" t="s">
        <v>8</v>
      </c>
      <c r="U29" s="1575" t="e">
        <f t="shared" si="13"/>
        <v>#N/A</v>
      </c>
      <c r="V29" s="1574" t="s">
        <v>8</v>
      </c>
      <c r="W29" s="1575" t="e">
        <f t="shared" si="14"/>
        <v>#N/A</v>
      </c>
      <c r="X29" s="1568"/>
      <c r="Y29" s="342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5"/>
      <c r="Q30" s="1573" t="str">
        <f t="shared" si="11"/>
        <v>物业等级</v>
      </c>
      <c r="R30" s="1574" t="s">
        <v>8</v>
      </c>
      <c r="S30" s="1575">
        <f t="shared" si="12"/>
        <v>100</v>
      </c>
      <c r="T30" s="1574" t="s">
        <v>8</v>
      </c>
      <c r="U30" s="1575">
        <f t="shared" si="13"/>
        <v>100</v>
      </c>
      <c r="V30" s="1574" t="s">
        <v>8</v>
      </c>
      <c r="W30" s="1575">
        <f t="shared" si="14"/>
        <v>100</v>
      </c>
      <c r="X30" s="1568"/>
      <c r="Y30" s="342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5"/>
      <c r="Q31" s="1151" t="str">
        <f t="shared" si="11"/>
        <v>停车位面积</v>
      </c>
      <c r="R31" s="1569" t="s">
        <v>8</v>
      </c>
      <c r="S31" s="1570" t="e">
        <f t="shared" si="12"/>
        <v>#N/A</v>
      </c>
      <c r="T31" s="1569" t="s">
        <v>8</v>
      </c>
      <c r="U31" s="1570" t="e">
        <f t="shared" si="13"/>
        <v>#N/A</v>
      </c>
      <c r="V31" s="1569" t="s">
        <v>8</v>
      </c>
      <c r="W31" s="1570" t="e">
        <f t="shared" si="14"/>
        <v>#N/A</v>
      </c>
      <c r="X31" s="1571"/>
      <c r="Y31" s="342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5" t="s">
        <v>550</v>
      </c>
      <c r="Q32" s="1573" t="str">
        <f t="shared" si="11"/>
        <v>车位类型</v>
      </c>
      <c r="R32" s="1574" t="s">
        <v>8</v>
      </c>
      <c r="S32" s="1575">
        <f t="shared" si="12"/>
        <v>100</v>
      </c>
      <c r="T32" s="1574" t="s">
        <v>8</v>
      </c>
      <c r="U32" s="1575">
        <f t="shared" si="13"/>
        <v>100</v>
      </c>
      <c r="V32" s="1574" t="s">
        <v>8</v>
      </c>
      <c r="W32" s="1575">
        <f t="shared" si="14"/>
        <v>100</v>
      </c>
      <c r="X32" s="1568"/>
      <c r="Y32" s="342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5"/>
      <c r="Q33" s="1573" t="str">
        <f t="shared" si="11"/>
        <v>是否直接入户</v>
      </c>
      <c r="R33" s="1574" t="s">
        <v>8</v>
      </c>
      <c r="S33" s="1575">
        <f t="shared" si="12"/>
        <v>100</v>
      </c>
      <c r="T33" s="1574" t="s">
        <v>8</v>
      </c>
      <c r="U33" s="1575">
        <f t="shared" si="13"/>
        <v>100</v>
      </c>
      <c r="V33" s="1574" t="s">
        <v>8</v>
      </c>
      <c r="W33" s="1575">
        <f t="shared" si="14"/>
        <v>100</v>
      </c>
      <c r="X33" s="1568"/>
      <c r="Y33" s="342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5"/>
      <c r="Q35" s="1606">
        <f t="shared" si="11"/>
        <v>111</v>
      </c>
      <c r="R35" s="1578" t="s">
        <v>8</v>
      </c>
      <c r="S35" s="1579">
        <f t="shared" si="12"/>
        <v>100</v>
      </c>
      <c r="T35" s="1578" t="s">
        <v>8</v>
      </c>
      <c r="U35" s="1579">
        <f t="shared" si="13"/>
        <v>100</v>
      </c>
      <c r="V35" s="1578" t="s">
        <v>8</v>
      </c>
      <c r="W35" s="1579">
        <f t="shared" si="14"/>
        <v>100</v>
      </c>
      <c r="X35" s="1580"/>
      <c r="Y35" s="342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5"/>
      <c r="Q36" s="1573">
        <f t="shared" si="11"/>
        <v>111</v>
      </c>
      <c r="R36" s="1574" t="s">
        <v>8</v>
      </c>
      <c r="S36" s="1575">
        <f t="shared" si="12"/>
        <v>100</v>
      </c>
      <c r="T36" s="1574" t="s">
        <v>8</v>
      </c>
      <c r="U36" s="1575">
        <f t="shared" si="13"/>
        <v>100</v>
      </c>
      <c r="V36" s="1574" t="s">
        <v>8</v>
      </c>
      <c r="W36" s="1575">
        <f t="shared" si="14"/>
        <v>100</v>
      </c>
      <c r="X36" s="1568"/>
      <c r="Y36" s="3425"/>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20" t="str">
        <f>A37</f>
        <v>成交单价</v>
      </c>
      <c r="Q37" s="3420"/>
      <c r="R37" s="3499">
        <f>E37</f>
        <v>0</v>
      </c>
      <c r="S37" s="3499"/>
      <c r="T37" s="3499">
        <f>G37</f>
        <v>0</v>
      </c>
      <c r="U37" s="3499"/>
      <c r="V37" s="3499">
        <f>I37</f>
        <v>0</v>
      </c>
      <c r="W37" s="3499"/>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20" t="str">
        <f>A38</f>
        <v>比较价格（元/平方米）</v>
      </c>
      <c r="Q38" s="3420"/>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41" t="str">
        <f>A39</f>
        <v>估价对象XX用房的比较价格（楼面单价，元/平方米）</v>
      </c>
      <c r="Q39" s="3442"/>
      <c r="R39" s="3498" t="e">
        <f>IF(F1="售价",ROUND(AVERAGE(R38:V38),0),ROUND(AVERAGE(R38:V38),1))</f>
        <v>#DIV/0!</v>
      </c>
      <c r="S39" s="3498"/>
      <c r="T39" s="3498"/>
      <c r="U39" s="3498"/>
      <c r="V39" s="3498"/>
      <c r="W39" s="349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50" t="s">
        <v>799</v>
      </c>
      <c r="F4" s="3451"/>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2927</v>
      </c>
      <c r="D5" s="3438"/>
      <c r="E5" s="3452" t="s">
        <v>2928</v>
      </c>
      <c r="F5" s="3453"/>
      <c r="G5" s="3437" t="s">
        <v>2929</v>
      </c>
      <c r="H5" s="3438"/>
      <c r="I5" s="3437" t="s">
        <v>2930</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2931</v>
      </c>
      <c r="D6" s="3436"/>
      <c r="E6" s="3454" t="s">
        <v>2931</v>
      </c>
      <c r="F6" s="3455"/>
      <c r="G6" s="3435" t="s">
        <v>2931</v>
      </c>
      <c r="H6" s="3436"/>
      <c r="I6" s="3435" t="s">
        <v>2931</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3"/>
      <c r="Q18" s="2605" t="str">
        <f>B18</f>
        <v>基础设施水平</v>
      </c>
      <c r="R18" s="1574" t="s">
        <v>8</v>
      </c>
      <c r="S18" s="1575">
        <f>F18</f>
        <v>100</v>
      </c>
      <c r="T18" s="1574" t="s">
        <v>8</v>
      </c>
      <c r="U18" s="1575">
        <f>H18</f>
        <v>100</v>
      </c>
      <c r="V18" s="1574" t="s">
        <v>8</v>
      </c>
      <c r="W18" s="1575">
        <f>J18</f>
        <v>100</v>
      </c>
      <c r="X18" s="2607"/>
      <c r="Y18" s="3423"/>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23"/>
      <c r="Q19" s="2605"/>
      <c r="R19" s="1574"/>
      <c r="S19" s="1575"/>
      <c r="T19" s="1574"/>
      <c r="U19" s="1575"/>
      <c r="V19" s="1574"/>
      <c r="W19" s="1575"/>
      <c r="X19" s="2607"/>
      <c r="Y19" s="3423"/>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3"/>
      <c r="Q24" s="1573">
        <f t="shared" ref="Q24:Q34"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5"/>
      <c r="Q27" s="1606" t="str">
        <f t="shared" si="11"/>
        <v>成新率</v>
      </c>
      <c r="R27" s="1578" t="s">
        <v>8</v>
      </c>
      <c r="S27" s="1579" t="e">
        <f t="shared" si="12"/>
        <v>#N/A</v>
      </c>
      <c r="T27" s="1578" t="s">
        <v>8</v>
      </c>
      <c r="U27" s="1579" t="e">
        <f t="shared" si="13"/>
        <v>#N/A</v>
      </c>
      <c r="V27" s="1578" t="s">
        <v>8</v>
      </c>
      <c r="W27" s="1579" t="e">
        <f t="shared" si="14"/>
        <v>#N/A</v>
      </c>
      <c r="X27" s="1580"/>
      <c r="Y27" s="342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5"/>
      <c r="Q28" s="1573" t="str">
        <f t="shared" si="11"/>
        <v>物业等级</v>
      </c>
      <c r="R28" s="1574" t="s">
        <v>8</v>
      </c>
      <c r="S28" s="1575">
        <f t="shared" si="12"/>
        <v>100</v>
      </c>
      <c r="T28" s="1574" t="s">
        <v>8</v>
      </c>
      <c r="U28" s="1575">
        <f t="shared" si="13"/>
        <v>100</v>
      </c>
      <c r="V28" s="1574" t="s">
        <v>8</v>
      </c>
      <c r="W28" s="1575">
        <f t="shared" si="14"/>
        <v>100</v>
      </c>
      <c r="X28" s="1568"/>
      <c r="Y28" s="342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5"/>
      <c r="Q29" s="1573" t="str">
        <f t="shared" si="11"/>
        <v>有无电梯</v>
      </c>
      <c r="R29" s="1574" t="s">
        <v>8</v>
      </c>
      <c r="S29" s="1575">
        <f t="shared" si="12"/>
        <v>100</v>
      </c>
      <c r="T29" s="1574" t="s">
        <v>8</v>
      </c>
      <c r="U29" s="1575">
        <f t="shared" si="13"/>
        <v>100</v>
      </c>
      <c r="V29" s="1574" t="s">
        <v>8</v>
      </c>
      <c r="W29" s="1575">
        <f t="shared" si="14"/>
        <v>100</v>
      </c>
      <c r="X29" s="1568"/>
      <c r="Y29" s="342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5"/>
      <c r="Q30" s="1573" t="str">
        <f t="shared" si="11"/>
        <v>建筑面积</v>
      </c>
      <c r="R30" s="1574" t="s">
        <v>8</v>
      </c>
      <c r="S30" s="1575" t="e">
        <f t="shared" si="12"/>
        <v>#N/A</v>
      </c>
      <c r="T30" s="1574" t="s">
        <v>8</v>
      </c>
      <c r="U30" s="1575" t="e">
        <f t="shared" si="13"/>
        <v>#N/A</v>
      </c>
      <c r="V30" s="1574" t="s">
        <v>8</v>
      </c>
      <c r="W30" s="1575" t="e">
        <f t="shared" si="14"/>
        <v>#N/A</v>
      </c>
      <c r="X30" s="1568"/>
      <c r="Y30" s="342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5"/>
      <c r="Q31" s="1151" t="str">
        <f t="shared" si="11"/>
        <v>是否封闭</v>
      </c>
      <c r="R31" s="1569" t="s">
        <v>8</v>
      </c>
      <c r="S31" s="1570">
        <f t="shared" si="12"/>
        <v>100</v>
      </c>
      <c r="T31" s="1569" t="s">
        <v>8</v>
      </c>
      <c r="U31" s="1570">
        <f t="shared" si="13"/>
        <v>100</v>
      </c>
      <c r="V31" s="1569" t="s">
        <v>8</v>
      </c>
      <c r="W31" s="1570">
        <f t="shared" si="14"/>
        <v>100</v>
      </c>
      <c r="X31" s="1571"/>
      <c r="Y31" s="342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5" t="s">
        <v>550</v>
      </c>
      <c r="Q32" s="1573">
        <f t="shared" si="11"/>
        <v>111</v>
      </c>
      <c r="R32" s="1574" t="s">
        <v>8</v>
      </c>
      <c r="S32" s="1575">
        <f t="shared" si="12"/>
        <v>100</v>
      </c>
      <c r="T32" s="1574" t="s">
        <v>8</v>
      </c>
      <c r="U32" s="1575">
        <f t="shared" si="13"/>
        <v>100</v>
      </c>
      <c r="V32" s="1574" t="s">
        <v>8</v>
      </c>
      <c r="W32" s="1575">
        <f t="shared" si="14"/>
        <v>100</v>
      </c>
      <c r="X32" s="1568"/>
      <c r="Y32" s="342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5"/>
      <c r="Q33" s="1573">
        <f t="shared" si="11"/>
        <v>111</v>
      </c>
      <c r="R33" s="1574" t="s">
        <v>8</v>
      </c>
      <c r="S33" s="1575">
        <f t="shared" si="12"/>
        <v>100</v>
      </c>
      <c r="T33" s="1574" t="s">
        <v>8</v>
      </c>
      <c r="U33" s="1575">
        <f t="shared" si="13"/>
        <v>100</v>
      </c>
      <c r="V33" s="1574" t="s">
        <v>8</v>
      </c>
      <c r="W33" s="1575">
        <f t="shared" si="14"/>
        <v>100</v>
      </c>
      <c r="X33" s="1568"/>
      <c r="Y33" s="342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20" t="str">
        <f>A35</f>
        <v>成交单价（元/平方米）</v>
      </c>
      <c r="Q35" s="3420"/>
      <c r="R35" s="3499">
        <f>E35</f>
        <v>0</v>
      </c>
      <c r="S35" s="3499"/>
      <c r="T35" s="3499">
        <f>G35</f>
        <v>0</v>
      </c>
      <c r="U35" s="3499"/>
      <c r="V35" s="3499">
        <f>I35</f>
        <v>0</v>
      </c>
      <c r="W35" s="3499"/>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20" t="str">
        <f>A36</f>
        <v>比较价格（元/平方米）</v>
      </c>
      <c r="Q36" s="3420"/>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41" t="str">
        <f>A37</f>
        <v>估价对象XX用房的比较价格（楼面单价，元/平方米）</v>
      </c>
      <c r="Q37" s="3442"/>
      <c r="R37" s="3498" t="e">
        <f>IF(F1="售价",ROUND(AVERAGE(R36:V36),0),ROUND(AVERAGE(R36:V36),1))</f>
        <v>#DIV/0!</v>
      </c>
      <c r="S37" s="3498"/>
      <c r="T37" s="3498"/>
      <c r="U37" s="3498"/>
      <c r="V37" s="3498"/>
      <c r="W37" s="349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1" t="s">
        <v>2303</v>
      </c>
      <c r="D1" s="3532"/>
      <c r="E1" s="3532"/>
      <c r="F1" s="3532"/>
      <c r="G1" s="3532"/>
      <c r="H1" s="3532"/>
      <c r="I1" s="3532"/>
      <c r="J1" s="3532"/>
      <c r="K1" s="3532"/>
      <c r="L1" s="3532"/>
      <c r="M1" s="3532"/>
      <c r="N1" s="3532"/>
      <c r="O1" s="3532"/>
      <c r="P1" s="3532"/>
      <c r="Q1" s="3532"/>
      <c r="R1" s="3532"/>
      <c r="S1" s="3533"/>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2037</v>
      </c>
      <c r="B1" s="3227"/>
      <c r="C1" s="3227"/>
      <c r="D1" s="3227"/>
      <c r="E1" s="3227"/>
      <c r="F1" s="3227"/>
      <c r="G1" s="3227"/>
      <c r="H1" s="3227"/>
      <c r="I1" s="3227"/>
      <c r="J1" s="3227"/>
      <c r="K1" s="3227"/>
      <c r="L1" s="3227"/>
      <c r="M1" s="3227"/>
      <c r="N1" s="3227"/>
      <c r="O1" s="3227"/>
      <c r="P1" s="3227"/>
      <c r="Q1" s="3227"/>
      <c r="R1" s="3227"/>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8" t="s">
        <v>2028</v>
      </c>
      <c r="B3" s="3228" t="s">
        <v>2731</v>
      </c>
      <c r="C3" s="3229" t="s">
        <v>2029</v>
      </c>
      <c r="D3" s="3228" t="s">
        <v>2735</v>
      </c>
      <c r="E3" s="3231" t="s">
        <v>2030</v>
      </c>
      <c r="F3" s="3231"/>
      <c r="G3" s="3231"/>
      <c r="H3" s="3231" t="s">
        <v>2031</v>
      </c>
      <c r="I3" s="3231"/>
      <c r="J3" s="3231"/>
      <c r="K3" s="3229" t="s">
        <v>2032</v>
      </c>
      <c r="L3" s="3229" t="s">
        <v>2033</v>
      </c>
      <c r="M3" s="3228" t="s">
        <v>2732</v>
      </c>
      <c r="N3" s="3230" t="str">
        <f>"（分摊）"&amp;项目基本情况!B16&amp;"国有建设用地使用权面积/㎡"</f>
        <v>（分摊）出让国有建设用地使用权面积/㎡</v>
      </c>
      <c r="O3" s="3228" t="s">
        <v>2062</v>
      </c>
      <c r="P3" s="3229" t="s">
        <v>2042</v>
      </c>
      <c r="Q3" s="3229" t="s">
        <v>2063</v>
      </c>
      <c r="R3" s="3229" t="s">
        <v>2034</v>
      </c>
    </row>
    <row r="4" spans="1:18" ht="36.75" customHeight="1">
      <c r="A4" s="3228"/>
      <c r="B4" s="3228"/>
      <c r="C4" s="3229"/>
      <c r="D4" s="3228"/>
      <c r="E4" s="2675" t="s">
        <v>2041</v>
      </c>
      <c r="F4" s="2675" t="s">
        <v>2744</v>
      </c>
      <c r="G4" s="2675" t="s">
        <v>2035</v>
      </c>
      <c r="H4" s="2675" t="s">
        <v>2036</v>
      </c>
      <c r="I4" s="2675" t="s">
        <v>2745</v>
      </c>
      <c r="J4" s="2675" t="s">
        <v>2035</v>
      </c>
      <c r="K4" s="3229"/>
      <c r="L4" s="3229"/>
      <c r="M4" s="3228"/>
      <c r="N4" s="3230"/>
      <c r="O4" s="3228"/>
      <c r="P4" s="3229"/>
      <c r="Q4" s="3229"/>
      <c r="R4" s="3229"/>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11382.9</v>
      </c>
      <c r="O5" s="1812">
        <f>项目基本情况!C21</f>
        <v>56746.020000000004</v>
      </c>
      <c r="P5" s="1812">
        <f ca="1">结果表!E42</f>
        <v>297011</v>
      </c>
      <c r="Q5" s="1812">
        <f ca="1">结果表!D42</f>
        <v>59579</v>
      </c>
      <c r="R5" s="1813">
        <f ca="1">结果表!C42</f>
        <v>338085</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814">
        <f ca="1">结果表!O39</f>
        <v>338085</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814"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2064</v>
      </c>
      <c r="B1" s="3235"/>
      <c r="C1" s="3235"/>
      <c r="D1" s="3235"/>
    </row>
    <row r="2" spans="1:4" ht="47.25" customHeight="1">
      <c r="A2" s="3239" t="str">
        <f>"1.权利限制："&amp;项目基本情况!L24&amp;"未设定租赁等其他他项权利。"</f>
        <v>1.权利限制：根据估价对象《不动产权证书》复印件、《国有土地使用权》复印件，截至估价期日，估价对象抵押权未见登记。未设定租赁等其他他项权利。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8" t="s">
        <v>2065</v>
      </c>
      <c r="B5" s="3238"/>
      <c r="C5" s="3238"/>
      <c r="D5" s="3238"/>
    </row>
    <row r="6" spans="1:4">
      <c r="A6" s="3235" t="s">
        <v>2043</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8" t="s">
        <v>2067</v>
      </c>
      <c r="B12" s="3238"/>
      <c r="C12" s="3238"/>
      <c r="D12" s="3238"/>
    </row>
    <row r="13" spans="1:4">
      <c r="A13" s="3236" t="s">
        <v>2746</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5" t="s">
        <v>2699</v>
      </c>
      <c r="B23" s="3235"/>
      <c r="C23" s="3235"/>
      <c r="D23" s="3235"/>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7" t="s">
        <v>53</v>
      </c>
      <c r="B15" s="3248" t="s">
        <v>846</v>
      </c>
      <c r="C15" s="3244"/>
    </row>
    <row r="16" spans="1:7" ht="14.25">
      <c r="A16" s="3247"/>
      <c r="B16" s="3245" t="s">
        <v>54</v>
      </c>
      <c r="C16" s="1172" t="s">
        <v>53</v>
      </c>
    </row>
    <row r="17" spans="1:3" ht="14.25">
      <c r="A17" s="3247"/>
      <c r="B17" s="3245"/>
      <c r="C17" s="1172" t="s">
        <v>55</v>
      </c>
    </row>
    <row r="18" spans="1:3" ht="14.25">
      <c r="A18" s="3247"/>
      <c r="B18" s="3245"/>
      <c r="C18" s="1172" t="s">
        <v>56</v>
      </c>
    </row>
    <row r="19" spans="1:3" ht="14.25">
      <c r="A19" s="3247"/>
      <c r="B19" s="3243" t="s">
        <v>57</v>
      </c>
      <c r="C19" s="3244"/>
    </row>
    <row r="20" spans="1:3" ht="14.25">
      <c r="A20" s="1173" t="s">
        <v>58</v>
      </c>
      <c r="B20" s="1174"/>
      <c r="C20" s="1175"/>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6" t="s">
        <v>837</v>
      </c>
    </row>
    <row r="25" spans="1:3" ht="14.25">
      <c r="A25" s="3246"/>
      <c r="B25" s="3250"/>
      <c r="C25" s="1176" t="s">
        <v>838</v>
      </c>
    </row>
    <row r="26" spans="1:3" ht="14.25">
      <c r="A26" s="3246"/>
      <c r="B26" s="3250"/>
      <c r="C26" s="1176" t="s">
        <v>839</v>
      </c>
    </row>
    <row r="27" spans="1:3" ht="14.25">
      <c r="A27" s="3246"/>
      <c r="B27" s="3250"/>
      <c r="C27" s="1176" t="s">
        <v>840</v>
      </c>
    </row>
    <row r="28" spans="1:3" ht="14.25">
      <c r="A28" s="3246"/>
      <c r="B28" s="3250"/>
      <c r="C28" s="1176" t="s">
        <v>841</v>
      </c>
    </row>
    <row r="29" spans="1:3" ht="14.25">
      <c r="A29" s="3246"/>
      <c r="B29" s="3250"/>
      <c r="C29" s="1176" t="s">
        <v>842</v>
      </c>
    </row>
    <row r="30" spans="1:3" ht="14.25">
      <c r="A30" s="3246"/>
      <c r="B30" s="3250"/>
      <c r="C30" s="1176" t="s">
        <v>843</v>
      </c>
    </row>
    <row r="31" spans="1:3" ht="14.25">
      <c r="A31" s="3246"/>
      <c r="B31" s="3250"/>
      <c r="C31" s="1176" t="s">
        <v>844</v>
      </c>
    </row>
    <row r="32" spans="1:3" ht="14.25">
      <c r="A32" s="3246"/>
      <c r="B32" s="3250"/>
      <c r="C32" s="1176" t="s">
        <v>1647</v>
      </c>
    </row>
    <row r="33" spans="1:3" ht="14.25">
      <c r="A33" s="3246"/>
      <c r="B33" s="3240" t="s">
        <v>1653</v>
      </c>
      <c r="C33" s="1176" t="s">
        <v>1648</v>
      </c>
    </row>
    <row r="34" spans="1:3" ht="14.25">
      <c r="A34" s="3246"/>
      <c r="B34" s="3241"/>
      <c r="C34" s="1181" t="s">
        <v>1649</v>
      </c>
    </row>
    <row r="35" spans="1:3" ht="14.25">
      <c r="A35" s="3246"/>
      <c r="B35" s="3241"/>
      <c r="C35" s="1182" t="s">
        <v>1650</v>
      </c>
    </row>
    <row r="36" spans="1:3" ht="14.25">
      <c r="A36" s="3246"/>
      <c r="B36" s="3241"/>
      <c r="C36" s="1182" t="s">
        <v>1651</v>
      </c>
    </row>
    <row r="37" spans="1:3" ht="14.25">
      <c r="A37" s="3246"/>
      <c r="B37" s="324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43259</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1" t="s">
        <v>1926</v>
      </c>
      <c r="B25" s="3251"/>
      <c r="C25" s="3251"/>
      <c r="D25" s="3251"/>
      <c r="E25" s="3251"/>
      <c r="F25" s="3251"/>
      <c r="G25" s="3251"/>
    </row>
    <row r="26" spans="1:7" ht="20.25" customHeight="1">
      <c r="A26" s="3252" t="s">
        <v>1927</v>
      </c>
      <c r="B26" s="3252"/>
      <c r="C26" s="3252"/>
      <c r="D26" s="3252" t="s">
        <v>1928</v>
      </c>
      <c r="E26" s="3252"/>
      <c r="F26" s="3252"/>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3098</v>
      </c>
      <c r="C15" s="1555"/>
    </row>
    <row r="16" spans="1:23">
      <c r="A16" s="8" t="s">
        <v>117</v>
      </c>
      <c r="B16" s="3213" t="s">
        <v>3100</v>
      </c>
      <c r="C16" s="1555"/>
    </row>
    <row r="17" spans="1:3">
      <c r="A17" s="8" t="s">
        <v>118</v>
      </c>
      <c r="B17" s="3213" t="s">
        <v>3116</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3"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3"/>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3"/>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3"/>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3"/>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2018-06-05T06:31:05Z</cp:lastPrinted>
  <dcterms:created xsi:type="dcterms:W3CDTF">2015-07-13T07:17:23Z</dcterms:created>
  <dcterms:modified xsi:type="dcterms:W3CDTF">2018-06-08T07:00:55Z</dcterms:modified>
</cp:coreProperties>
</file>