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660三亚亚龙湾红树林项目\P01\"/>
    </mc:Choice>
  </mc:AlternateContent>
  <bookViews>
    <workbookView xWindow="11628" yWindow="168" windowWidth="11388" windowHeight="9468" tabRatio="899" firstSheet="1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土地案例" sheetId="77"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V22" i="9" l="1"/>
  <c r="I32" i="66" l="1"/>
  <c r="I5" i="66"/>
  <c r="I6" i="66"/>
  <c r="I7" i="66"/>
  <c r="I8" i="66"/>
  <c r="I9" i="66"/>
  <c r="I10" i="66"/>
  <c r="I11" i="66"/>
  <c r="I12" i="66"/>
  <c r="I13" i="66"/>
  <c r="I14" i="66"/>
  <c r="I15" i="66"/>
  <c r="I16" i="66"/>
  <c r="I17" i="66"/>
  <c r="I18" i="66"/>
  <c r="N6" i="1" l="1"/>
  <c r="E118" i="39" l="1"/>
  <c r="F118" i="39"/>
  <c r="G118" i="39" s="1"/>
  <c r="H118" i="39" s="1"/>
  <c r="I118" i="39" s="1"/>
  <c r="D118" i="39"/>
  <c r="E117" i="39"/>
  <c r="F117" i="39"/>
  <c r="G117" i="39" s="1"/>
  <c r="H117" i="39" s="1"/>
  <c r="I117" i="39" s="1"/>
  <c r="D117" i="39"/>
  <c r="E71" i="39"/>
  <c r="F71" i="39"/>
  <c r="G71" i="39" s="1"/>
  <c r="H71" i="39" s="1"/>
  <c r="I71" i="39" s="1"/>
  <c r="J71" i="39" s="1"/>
  <c r="K71" i="39" s="1"/>
  <c r="L71" i="39" s="1"/>
  <c r="M71" i="39" s="1"/>
  <c r="N71" i="39" s="1"/>
  <c r="O71" i="39" s="1"/>
  <c r="D71" i="39"/>
  <c r="C11" i="39"/>
  <c r="I38" i="39"/>
  <c r="G38" i="39"/>
  <c r="E38" i="39"/>
  <c r="C38" i="39"/>
  <c r="I46" i="39"/>
  <c r="G46" i="39"/>
  <c r="E46" i="39"/>
  <c r="F75" i="39"/>
  <c r="E75" i="39"/>
  <c r="D75" i="39"/>
  <c r="I7" i="39"/>
  <c r="G7" i="39"/>
  <c r="E7" i="39"/>
  <c r="I5" i="39"/>
  <c r="G5" i="39"/>
  <c r="E5" i="39"/>
  <c r="C5" i="39"/>
  <c r="Y6" i="1" l="1"/>
  <c r="B29" i="1"/>
  <c r="AT51" i="77"/>
  <c r="AT50" i="77"/>
  <c r="AT49" i="77"/>
  <c r="AT48" i="77"/>
  <c r="AT47" i="77"/>
  <c r="AT46" i="77"/>
  <c r="AT45" i="77"/>
  <c r="AT44" i="77"/>
  <c r="AT43" i="77"/>
  <c r="AT42" i="77"/>
  <c r="AT41" i="77"/>
  <c r="AT40" i="77"/>
  <c r="AT39" i="77"/>
  <c r="AT38" i="77"/>
  <c r="AT37" i="77"/>
  <c r="AT36" i="77"/>
  <c r="AT35" i="77"/>
  <c r="AT34" i="77"/>
  <c r="AT33" i="77"/>
  <c r="AT32" i="77"/>
  <c r="AT31" i="77"/>
  <c r="AT30" i="77"/>
  <c r="AT29" i="77"/>
  <c r="AT28" i="77"/>
  <c r="AT27" i="77"/>
  <c r="AT26" i="77"/>
  <c r="AT25" i="77"/>
  <c r="AT24" i="77"/>
  <c r="AT23" i="77"/>
  <c r="AT22" i="77"/>
  <c r="AT21" i="77"/>
  <c r="AT20" i="77"/>
  <c r="AT19" i="77"/>
  <c r="AT18" i="77"/>
  <c r="AT17" i="77"/>
  <c r="AT16" i="77"/>
  <c r="AT15" i="77"/>
  <c r="AT14" i="77"/>
  <c r="AT13" i="77"/>
  <c r="AT12" i="77"/>
  <c r="AT11" i="77"/>
  <c r="AT10" i="77"/>
  <c r="AT9" i="77"/>
  <c r="AT8" i="77"/>
  <c r="AT7" i="77"/>
  <c r="AT6" i="77"/>
  <c r="AT5" i="77"/>
  <c r="AT4" i="77"/>
  <c r="AT3" i="77"/>
  <c r="AT2" i="77"/>
  <c r="G19" i="6"/>
  <c r="F19" i="6"/>
  <c r="I14" i="3"/>
  <c r="K14" i="3"/>
  <c r="I13" i="3"/>
  <c r="K13" i="3"/>
  <c r="A3" i="3"/>
  <c r="C15" i="3"/>
  <c r="B15" i="3"/>
  <c r="C11" i="4"/>
  <c r="D3" i="4"/>
  <c r="AH5" i="71" l="1"/>
  <c r="AG5" i="71"/>
  <c r="AE5" i="71"/>
  <c r="AF5" i="71"/>
  <c r="AD5" i="71"/>
  <c r="Q5" i="71"/>
  <c r="Q6" i="71"/>
  <c r="Q7" i="71"/>
  <c r="P5" i="71"/>
  <c r="P6" i="71"/>
  <c r="P7" i="71"/>
  <c r="O5" i="71"/>
  <c r="O6" i="71"/>
  <c r="O7" i="71"/>
  <c r="N5" i="71"/>
  <c r="N6" i="71"/>
  <c r="N7" i="71"/>
  <c r="AH6" i="71"/>
  <c r="AG6" i="71"/>
  <c r="AE6" i="71"/>
  <c r="AF6" i="71"/>
  <c r="AD6" i="71"/>
  <c r="F24" i="12"/>
  <c r="C24" i="12" s="1"/>
  <c r="F7" i="69"/>
  <c r="C7" i="69" s="1"/>
  <c r="F7" i="68"/>
  <c r="M15" i="45"/>
  <c r="L15" i="45"/>
  <c r="K15" i="45"/>
  <c r="J15" i="45"/>
  <c r="I15" i="45"/>
  <c r="H15" i="45"/>
  <c r="G15" i="45"/>
  <c r="F15" i="45"/>
  <c r="E15" i="45"/>
  <c r="D15" i="45"/>
  <c r="C15" i="45"/>
  <c r="B15" i="45"/>
  <c r="AH7" i="71"/>
  <c r="AG7" i="71"/>
  <c r="AE7" i="71"/>
  <c r="AF7" i="71" s="1"/>
  <c r="AD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P11" i="71"/>
  <c r="O11" i="71"/>
  <c r="M19" i="43"/>
  <c r="D13" i="71"/>
  <c r="AH11" i="71"/>
  <c r="AG11" i="71"/>
  <c r="AE11" i="71"/>
  <c r="AF11" i="71" s="1"/>
  <c r="AD11" i="71"/>
  <c r="AD12" i="71"/>
  <c r="AG12" i="71"/>
  <c r="AH12" i="71"/>
  <c r="AE12" i="71"/>
  <c r="AF12" i="71" s="1"/>
  <c r="N12" i="71"/>
  <c r="Q12" i="71"/>
  <c r="P12" i="71"/>
  <c r="O12" i="71"/>
  <c r="Q13" i="71"/>
  <c r="F12" i="71"/>
  <c r="F11" i="71" s="1"/>
  <c r="F10" i="71" s="1"/>
  <c r="P13" i="71"/>
  <c r="E12" i="71"/>
  <c r="E11" i="71" s="1"/>
  <c r="E10" i="71" s="1"/>
  <c r="O13" i="71"/>
  <c r="N13" i="71"/>
  <c r="V12"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66" i="72"/>
  <c r="B10" i="72"/>
  <c r="C53" i="10"/>
  <c r="B51" i="10"/>
  <c r="B19" i="72"/>
  <c r="A18" i="51"/>
  <c r="B13" i="72" s="1"/>
  <c r="C8" i="68"/>
  <c r="B49" i="48"/>
  <c r="B5" i="72"/>
  <c r="I19" i="43"/>
  <c r="D77" i="71"/>
  <c r="F76" i="71"/>
  <c r="E76" i="71"/>
  <c r="E75" i="71" s="1"/>
  <c r="E74" i="71" s="1"/>
  <c r="C76" i="71"/>
  <c r="D76" i="71"/>
  <c r="B76" i="71"/>
  <c r="F75" i="71"/>
  <c r="F74" i="71" s="1"/>
  <c r="B75" i="71"/>
  <c r="B74" i="71" s="1"/>
  <c r="D73" i="71"/>
  <c r="F72" i="71"/>
  <c r="E72" i="71"/>
  <c r="E71" i="71" s="1"/>
  <c r="E70" i="71" s="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c r="D53" i="71"/>
  <c r="Q52" i="71"/>
  <c r="P52" i="71"/>
  <c r="O52" i="71"/>
  <c r="N52" i="71"/>
  <c r="Q51" i="71"/>
  <c r="P51" i="71"/>
  <c r="O51" i="71"/>
  <c r="N51" i="71"/>
  <c r="Q50" i="71"/>
  <c r="P50" i="71"/>
  <c r="O50" i="71"/>
  <c r="N50" i="71"/>
  <c r="Q49" i="71"/>
  <c r="F50" i="71"/>
  <c r="F51" i="71" s="1"/>
  <c r="F52" i="71"/>
  <c r="V52" i="71" s="1"/>
  <c r="P49" i="71"/>
  <c r="E50" i="71" s="1"/>
  <c r="O49" i="71"/>
  <c r="C50" i="71" s="1"/>
  <c r="N49" i="71"/>
  <c r="B50" i="71" s="1"/>
  <c r="B51" i="71"/>
  <c r="B52" i="71" s="1"/>
  <c r="S52" i="71" s="1"/>
  <c r="D49" i="71"/>
  <c r="Q48" i="71"/>
  <c r="P48" i="71"/>
  <c r="O48" i="71"/>
  <c r="N48" i="71"/>
  <c r="Q47" i="71"/>
  <c r="P47" i="71"/>
  <c r="O47" i="71"/>
  <c r="N47" i="71"/>
  <c r="Q46" i="71"/>
  <c r="P46" i="71"/>
  <c r="O46" i="71"/>
  <c r="N46" i="71"/>
  <c r="Q45" i="71"/>
  <c r="F46" i="71" s="1"/>
  <c r="F47" i="71"/>
  <c r="F48" i="71" s="1"/>
  <c r="V48" i="71" s="1"/>
  <c r="P45" i="71"/>
  <c r="E46" i="71"/>
  <c r="O45" i="71"/>
  <c r="C46" i="71"/>
  <c r="N45" i="71"/>
  <c r="B46" i="71"/>
  <c r="B47" i="71" s="1"/>
  <c r="B48" i="71"/>
  <c r="S48" i="71" s="1"/>
  <c r="D45" i="71"/>
  <c r="Q44" i="71"/>
  <c r="P44" i="71"/>
  <c r="O44" i="71"/>
  <c r="N44" i="71"/>
  <c r="Q43" i="71"/>
  <c r="P43" i="71"/>
  <c r="O43" i="71"/>
  <c r="N43" i="71"/>
  <c r="Q42" i="71"/>
  <c r="P42" i="71"/>
  <c r="O42" i="71"/>
  <c r="N42" i="71"/>
  <c r="Q41" i="71"/>
  <c r="F42" i="71" s="1"/>
  <c r="F43" i="71"/>
  <c r="F44" i="71" s="1"/>
  <c r="V44" i="71" s="1"/>
  <c r="P41" i="71"/>
  <c r="E42" i="71"/>
  <c r="O41" i="71"/>
  <c r="C42" i="71" s="1"/>
  <c r="N41" i="71"/>
  <c r="B42" i="71" s="1"/>
  <c r="B43" i="71"/>
  <c r="B44" i="71" s="1"/>
  <c r="S44" i="71" s="1"/>
  <c r="D41" i="71"/>
  <c r="Q40" i="71"/>
  <c r="P40" i="71"/>
  <c r="O40" i="71"/>
  <c r="N40" i="71"/>
  <c r="Q39" i="71"/>
  <c r="P39" i="71"/>
  <c r="O39" i="71"/>
  <c r="N39" i="71"/>
  <c r="Q38" i="71"/>
  <c r="P38" i="71"/>
  <c r="O38" i="71"/>
  <c r="N38" i="71"/>
  <c r="Q37" i="71"/>
  <c r="F38" i="71" s="1"/>
  <c r="P37" i="71"/>
  <c r="E38" i="71" s="1"/>
  <c r="E39" i="71"/>
  <c r="E40" i="71" s="1"/>
  <c r="U40" i="71" s="1"/>
  <c r="O37" i="71"/>
  <c r="C38" i="71"/>
  <c r="N37" i="71"/>
  <c r="B38" i="71"/>
  <c r="B39" i="71" s="1"/>
  <c r="B40" i="7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AB27" i="71" s="1"/>
  <c r="P27" i="71"/>
  <c r="AA27" i="71"/>
  <c r="O27" i="71"/>
  <c r="Y27" i="71"/>
  <c r="Z27" i="71" s="1"/>
  <c r="N27" i="71"/>
  <c r="X27" i="71" s="1"/>
  <c r="Q26" i="71"/>
  <c r="AB26" i="71" s="1"/>
  <c r="P26" i="71"/>
  <c r="O26" i="71"/>
  <c r="Y26" i="71"/>
  <c r="Z26" i="71" s="1"/>
  <c r="N26" i="71"/>
  <c r="Q25" i="71"/>
  <c r="F26" i="71" s="1"/>
  <c r="F27" i="71" s="1"/>
  <c r="F28" i="71" s="1"/>
  <c r="V28" i="71" s="1"/>
  <c r="P25" i="71"/>
  <c r="O25" i="71"/>
  <c r="N25" i="71"/>
  <c r="D25" i="71"/>
  <c r="Q24" i="71"/>
  <c r="AB24" i="71" s="1"/>
  <c r="P24" i="71"/>
  <c r="O24" i="71"/>
  <c r="Y24" i="71" s="1"/>
  <c r="Z24" i="71" s="1"/>
  <c r="N24" i="71"/>
  <c r="Q23" i="71"/>
  <c r="AB23" i="71"/>
  <c r="P23" i="71"/>
  <c r="O23" i="71"/>
  <c r="Y23" i="71" s="1"/>
  <c r="Z23" i="71" s="1"/>
  <c r="N23" i="71"/>
  <c r="Q22" i="71"/>
  <c r="AB22" i="71" s="1"/>
  <c r="P22" i="71"/>
  <c r="O22" i="71"/>
  <c r="Y22" i="71"/>
  <c r="Z22" i="71" s="1"/>
  <c r="N22" i="71"/>
  <c r="Q21" i="71"/>
  <c r="F22" i="71" s="1"/>
  <c r="F23" i="71" s="1"/>
  <c r="F24" i="71" s="1"/>
  <c r="V24" i="71" s="1"/>
  <c r="P21" i="71"/>
  <c r="O21" i="71"/>
  <c r="N21" i="71"/>
  <c r="D21" i="71"/>
  <c r="Q20" i="71"/>
  <c r="AB20" i="71" s="1"/>
  <c r="P20" i="71"/>
  <c r="O20" i="71"/>
  <c r="Y20" i="71"/>
  <c r="Z20" i="71" s="1"/>
  <c r="N20" i="71"/>
  <c r="Q19" i="71"/>
  <c r="AB19" i="71"/>
  <c r="P19" i="71"/>
  <c r="O19" i="71"/>
  <c r="Y19" i="71" s="1"/>
  <c r="Z19" i="71" s="1"/>
  <c r="N19" i="71"/>
  <c r="Q18" i="71"/>
  <c r="AB18" i="71" s="1"/>
  <c r="P18" i="71"/>
  <c r="O18" i="71"/>
  <c r="Y18" i="71"/>
  <c r="Z18" i="71" s="1"/>
  <c r="N18" i="71"/>
  <c r="Q17" i="71"/>
  <c r="F18" i="71" s="1"/>
  <c r="F19" i="71" s="1"/>
  <c r="F20" i="71" s="1"/>
  <c r="V20" i="71" s="1"/>
  <c r="P17" i="71"/>
  <c r="E18" i="71" s="1"/>
  <c r="E19" i="71" s="1"/>
  <c r="E20" i="71" s="1"/>
  <c r="U20" i="71" s="1"/>
  <c r="O17" i="71"/>
  <c r="N17" i="71"/>
  <c r="D17" i="71"/>
  <c r="O16" i="71"/>
  <c r="N16" i="71"/>
  <c r="B18" i="71"/>
  <c r="B19" i="71" s="1"/>
  <c r="B20" i="71" s="1"/>
  <c r="S20" i="71" s="1"/>
  <c r="X17" i="71"/>
  <c r="B22" i="71"/>
  <c r="B23" i="71" s="1"/>
  <c r="B24" i="71" s="1"/>
  <c r="S24" i="71" s="1"/>
  <c r="X21" i="71"/>
  <c r="B26" i="71"/>
  <c r="B27" i="71"/>
  <c r="B28" i="71" s="1"/>
  <c r="S28" i="71" s="1"/>
  <c r="X25" i="71"/>
  <c r="E26" i="71"/>
  <c r="E27" i="71" s="1"/>
  <c r="E28" i="71" s="1"/>
  <c r="U28" i="71" s="1"/>
  <c r="AA25" i="71"/>
  <c r="N56" i="71"/>
  <c r="E22" i="71"/>
  <c r="E23" i="71" s="1"/>
  <c r="E24" i="71" s="1"/>
  <c r="U24" i="71" s="1"/>
  <c r="AA21" i="71"/>
  <c r="C18" i="71"/>
  <c r="Y17" i="71"/>
  <c r="Z17" i="71" s="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s="1"/>
  <c r="V40" i="71" s="1"/>
  <c r="C16" i="71"/>
  <c r="Y3" i="71"/>
  <c r="Z3" i="71" s="1"/>
  <c r="Y13" i="71"/>
  <c r="Z13" i="71" s="1"/>
  <c r="Y14" i="71"/>
  <c r="Z14" i="71" s="1"/>
  <c r="Y15" i="71"/>
  <c r="Z15" i="71" s="1"/>
  <c r="Y16" i="71"/>
  <c r="Z16" i="71" s="1"/>
  <c r="B16" i="71"/>
  <c r="B15" i="71" s="1"/>
  <c r="B14" i="71" s="1"/>
  <c r="X13" i="71"/>
  <c r="X14" i="71"/>
  <c r="X15" i="71"/>
  <c r="X16" i="71"/>
  <c r="C19" i="71"/>
  <c r="D18" i="71"/>
  <c r="D22" i="71"/>
  <c r="C27" i="71"/>
  <c r="D26" i="71"/>
  <c r="C31" i="71"/>
  <c r="D30" i="71"/>
  <c r="C35" i="71"/>
  <c r="D35" i="71" s="1"/>
  <c r="D34" i="71"/>
  <c r="C39" i="71"/>
  <c r="D38" i="71"/>
  <c r="P16" i="71"/>
  <c r="E43" i="71"/>
  <c r="E44" i="71" s="1"/>
  <c r="U44" i="71" s="1"/>
  <c r="E47" i="71"/>
  <c r="E48" i="71"/>
  <c r="U48" i="71" s="1"/>
  <c r="E51" i="71"/>
  <c r="E52" i="71" s="1"/>
  <c r="U52" i="71" s="1"/>
  <c r="Q53" i="71"/>
  <c r="U56" i="71"/>
  <c r="E55" i="71"/>
  <c r="Q16" i="71"/>
  <c r="AB13" i="71" s="1"/>
  <c r="C43" i="71"/>
  <c r="D42" i="71"/>
  <c r="C47" i="71"/>
  <c r="D46" i="71"/>
  <c r="C51" i="71"/>
  <c r="D50" i="71"/>
  <c r="Q55" i="71"/>
  <c r="T56" i="71"/>
  <c r="O56" i="71"/>
  <c r="D56" i="71"/>
  <c r="C55" i="71"/>
  <c r="Q56" i="71"/>
  <c r="C59" i="71"/>
  <c r="E59" i="71"/>
  <c r="E58" i="71" s="1"/>
  <c r="D60" i="71"/>
  <c r="C63" i="71"/>
  <c r="E63" i="71"/>
  <c r="E62" i="71" s="1"/>
  <c r="D64" i="71"/>
  <c r="C67" i="71"/>
  <c r="E67" i="71"/>
  <c r="E66" i="71" s="1"/>
  <c r="D68" i="71"/>
  <c r="C71" i="71"/>
  <c r="C75" i="71"/>
  <c r="C74" i="71" s="1"/>
  <c r="D74" i="71" s="1"/>
  <c r="T16" i="71"/>
  <c r="C15" i="71"/>
  <c r="S16" i="71"/>
  <c r="F16" i="71"/>
  <c r="F15" i="71" s="1"/>
  <c r="F14" i="71" s="1"/>
  <c r="AB14" i="71"/>
  <c r="AB16" i="71"/>
  <c r="E16" i="71"/>
  <c r="E15" i="71"/>
  <c r="E14" i="71" s="1"/>
  <c r="AA3" i="71"/>
  <c r="AA13" i="71"/>
  <c r="AA14" i="71"/>
  <c r="AA15" i="71"/>
  <c r="AA16" i="71"/>
  <c r="D16" i="71"/>
  <c r="U16" i="71"/>
  <c r="C54" i="71"/>
  <c r="O55" i="71"/>
  <c r="D55" i="71"/>
  <c r="C52" i="71"/>
  <c r="D52" i="71" s="1"/>
  <c r="D51" i="71"/>
  <c r="D71" i="71"/>
  <c r="C70" i="71"/>
  <c r="D70" i="71"/>
  <c r="D63" i="71"/>
  <c r="C62" i="71"/>
  <c r="D62" i="71" s="1"/>
  <c r="D75" i="71"/>
  <c r="D67" i="71"/>
  <c r="C66" i="71"/>
  <c r="D66" i="71" s="1"/>
  <c r="D59" i="71"/>
  <c r="C58" i="71"/>
  <c r="D58" i="71"/>
  <c r="C48" i="71"/>
  <c r="D47" i="71"/>
  <c r="C44" i="71"/>
  <c r="D43" i="71"/>
  <c r="P55" i="71"/>
  <c r="E54" i="71"/>
  <c r="P53" i="71" s="1"/>
  <c r="C40" i="71"/>
  <c r="D39" i="71"/>
  <c r="C32" i="71"/>
  <c r="D31" i="71"/>
  <c r="C28" i="71"/>
  <c r="D27" i="71"/>
  <c r="C24" i="71"/>
  <c r="D23" i="71"/>
  <c r="C20" i="71"/>
  <c r="D19" i="71"/>
  <c r="C14" i="71"/>
  <c r="D14" i="71"/>
  <c r="D15" i="71"/>
  <c r="V16" i="71"/>
  <c r="P54" i="71"/>
  <c r="O54" i="71"/>
  <c r="D54" i="71"/>
  <c r="O53" i="71"/>
  <c r="T20" i="71"/>
  <c r="D20" i="71"/>
  <c r="T24" i="71"/>
  <c r="D24" i="71"/>
  <c r="T28" i="71"/>
  <c r="D28" i="71"/>
  <c r="T32" i="71"/>
  <c r="D32" i="71"/>
  <c r="T40" i="71"/>
  <c r="D40" i="71"/>
  <c r="T44" i="71"/>
  <c r="D44" i="71"/>
  <c r="T48" i="71"/>
  <c r="D48" i="71"/>
  <c r="T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103" i="39" s="1"/>
  <c r="G103" i="39" s="1"/>
  <c r="Q18" i="36"/>
  <c r="Z18" i="36" s="1"/>
  <c r="D66" i="36"/>
  <c r="E66" i="36" s="1"/>
  <c r="F66" i="36" s="1"/>
  <c r="H18" i="36"/>
  <c r="AB18" i="36"/>
  <c r="F18" i="36"/>
  <c r="AA18" i="36"/>
  <c r="C18" i="36"/>
  <c r="Q18" i="35"/>
  <c r="Z18" i="35" s="1"/>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s="1"/>
  <c r="D81" i="21"/>
  <c r="G20" i="20"/>
  <c r="B86" i="43"/>
  <c r="C22" i="20"/>
  <c r="B75" i="43" s="1"/>
  <c r="B55" i="43"/>
  <c r="C25" i="40"/>
  <c r="S25" i="40"/>
  <c r="S18" i="36"/>
  <c r="U18" i="36"/>
  <c r="S21" i="34"/>
  <c r="F94" i="40"/>
  <c r="H25" i="40"/>
  <c r="G94" i="40"/>
  <c r="J25" i="40"/>
  <c r="H29" i="39"/>
  <c r="U29" i="39" s="1"/>
  <c r="J29" i="39"/>
  <c r="AC29" i="39" s="1"/>
  <c r="G66" i="36"/>
  <c r="J18" i="36"/>
  <c r="F68" i="35"/>
  <c r="G68" i="35" s="1"/>
  <c r="H18" i="35"/>
  <c r="S18" i="35"/>
  <c r="J18" i="35"/>
  <c r="W18" i="35" s="1"/>
  <c r="F77" i="37"/>
  <c r="H21" i="37"/>
  <c r="U21" i="37" s="1"/>
  <c r="F21" i="37"/>
  <c r="F84" i="34"/>
  <c r="H21" i="34"/>
  <c r="F83" i="33"/>
  <c r="H21" i="33"/>
  <c r="F21" i="33"/>
  <c r="S21" i="33" s="1"/>
  <c r="E83" i="21"/>
  <c r="S21" i="21"/>
  <c r="H1" i="69"/>
  <c r="AC25" i="40"/>
  <c r="W25" i="40"/>
  <c r="AB25" i="40"/>
  <c r="U25" i="40"/>
  <c r="AB29" i="39"/>
  <c r="AC18" i="36"/>
  <c r="W18" i="36"/>
  <c r="AB21" i="37"/>
  <c r="AA21" i="37"/>
  <c r="S21" i="37"/>
  <c r="AB21" i="34"/>
  <c r="U21" i="34"/>
  <c r="U21" i="33"/>
  <c r="AB21" i="33"/>
  <c r="AA21" i="33"/>
  <c r="AB18" i="35"/>
  <c r="U18" i="35"/>
  <c r="AC18" i="35"/>
  <c r="G77" i="37"/>
  <c r="J21" i="37"/>
  <c r="G84" i="34"/>
  <c r="J21" i="34"/>
  <c r="G83" i="33"/>
  <c r="J21" i="33"/>
  <c r="F83" i="21"/>
  <c r="G83" i="21" s="1"/>
  <c r="H21" i="21"/>
  <c r="F38" i="69"/>
  <c r="E37" i="69"/>
  <c r="F36" i="69"/>
  <c r="F35" i="69"/>
  <c r="F21" i="69"/>
  <c r="F20" i="69"/>
  <c r="E10" i="69"/>
  <c r="E9" i="69"/>
  <c r="AC21" i="37"/>
  <c r="W21" i="37"/>
  <c r="AC21" i="34"/>
  <c r="W21" i="34"/>
  <c r="AC21" i="33"/>
  <c r="W21" i="33"/>
  <c r="AB21" i="21"/>
  <c r="U21" i="21"/>
  <c r="J21" i="21"/>
  <c r="F38" i="68"/>
  <c r="E37" i="68"/>
  <c r="F36" i="68"/>
  <c r="F35" i="68"/>
  <c r="F21" i="68"/>
  <c r="C21" i="68"/>
  <c r="F20" i="68"/>
  <c r="E10" i="68"/>
  <c r="E9" i="68"/>
  <c r="W21" i="21"/>
  <c r="AC21" i="21"/>
  <c r="C40" i="68"/>
  <c r="Q72" i="67"/>
  <c r="Q59" i="67"/>
  <c r="Q58" i="67"/>
  <c r="Q51" i="67"/>
  <c r="J50" i="67"/>
  <c r="M47" i="67"/>
  <c r="D46" i="67"/>
  <c r="F33" i="67"/>
  <c r="F61" i="67" s="1"/>
  <c r="F23" i="67"/>
  <c r="F21" i="67"/>
  <c r="F20" i="67"/>
  <c r="M19" i="67"/>
  <c r="F18" i="67"/>
  <c r="F17" i="67"/>
  <c r="F15" i="67"/>
  <c r="D22" i="67"/>
  <c r="S2" i="4"/>
  <c r="C51" i="10" s="1"/>
  <c r="A13" i="51"/>
  <c r="B11" i="72" s="1"/>
  <c r="S1" i="4"/>
  <c r="B1" i="4"/>
  <c r="B37" i="48" s="1"/>
  <c r="B2" i="72" s="1"/>
  <c r="D29" i="66"/>
  <c r="I28" i="66"/>
  <c r="I27" i="66"/>
  <c r="I26" i="66"/>
  <c r="E24" i="66"/>
  <c r="I23" i="66"/>
  <c r="I22" i="66"/>
  <c r="I21" i="66"/>
  <c r="I24" i="66" s="1"/>
  <c r="I4" i="66"/>
  <c r="I3" i="66"/>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A6"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B61" i="72"/>
  <c r="L20" i="4"/>
  <c r="A5" i="62"/>
  <c r="B72" i="72"/>
  <c r="A4" i="62"/>
  <c r="B70" i="72" s="1"/>
  <c r="F33" i="9"/>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A24" i="51" s="1"/>
  <c r="B18" i="72" s="1"/>
  <c r="B17" i="72"/>
  <c r="B15" i="72"/>
  <c r="A3" i="51"/>
  <c r="C8" i="11"/>
  <c r="B2" i="49"/>
  <c r="E17" i="49" s="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C36" i="11" s="1"/>
  <c r="B43" i="1"/>
  <c r="D78" i="9" s="1"/>
  <c r="BQ13" i="3"/>
  <c r="BQ14" i="3"/>
  <c r="BQ15" i="3"/>
  <c r="BQ16" i="3"/>
  <c r="BQ17" i="3"/>
  <c r="BS13" i="3"/>
  <c r="BS14" i="3"/>
  <c r="BS15" i="3"/>
  <c r="BS16" i="3"/>
  <c r="BS17" i="3"/>
  <c r="BR14" i="3"/>
  <c r="BR5" i="3" s="1"/>
  <c r="G28" i="6" s="1"/>
  <c r="BR15" i="3"/>
  <c r="BR16" i="3"/>
  <c r="BR17" i="3"/>
  <c r="BT13" i="3"/>
  <c r="BT14" i="3"/>
  <c r="BT15" i="3"/>
  <c r="BT16" i="3"/>
  <c r="BT17" i="3"/>
  <c r="BM14" i="3"/>
  <c r="BM15" i="3"/>
  <c r="BM16" i="3"/>
  <c r="BM17" i="3"/>
  <c r="BO13" i="3"/>
  <c r="BO14" i="3"/>
  <c r="BO5" i="3" s="1"/>
  <c r="BO15" i="3"/>
  <c r="BO16" i="3"/>
  <c r="BO17" i="3"/>
  <c r="BN13" i="3"/>
  <c r="BN14" i="3"/>
  <c r="BN15" i="3"/>
  <c r="BL15" i="3" s="1"/>
  <c r="BN16" i="3"/>
  <c r="BN17" i="3"/>
  <c r="BP13" i="3"/>
  <c r="BP14" i="3"/>
  <c r="BP5" i="3" s="1"/>
  <c r="G29" i="6" s="1"/>
  <c r="BP15" i="3"/>
  <c r="BP16" i="3"/>
  <c r="BP17" i="3"/>
  <c r="E19" i="6"/>
  <c r="K6" i="1" s="1"/>
  <c r="M6" i="1" s="1"/>
  <c r="O6" i="1" s="1"/>
  <c r="E20" i="6"/>
  <c r="E21" i="6"/>
  <c r="K8" i="1"/>
  <c r="M8" i="1" s="1"/>
  <c r="O8" i="1" s="1"/>
  <c r="P8" i="1" s="1"/>
  <c r="F23" i="15"/>
  <c r="D24" i="15" s="1"/>
  <c r="E22" i="6"/>
  <c r="E23" i="6"/>
  <c r="E24" i="6"/>
  <c r="E25" i="6"/>
  <c r="E26" i="6"/>
  <c r="BB13" i="3"/>
  <c r="BC13" i="3"/>
  <c r="BD13" i="3"/>
  <c r="BE13" i="3"/>
  <c r="BF13" i="3"/>
  <c r="BG13" i="3"/>
  <c r="BH13" i="3"/>
  <c r="BI13" i="3"/>
  <c r="BJ13" i="3"/>
  <c r="BK13" i="3"/>
  <c r="BB14" i="3"/>
  <c r="BC14" i="3"/>
  <c r="BA14" i="3" s="1"/>
  <c r="AZ14" i="3" s="1"/>
  <c r="BD14" i="3"/>
  <c r="BE14" i="3"/>
  <c r="BE5" i="3" s="1"/>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C18" i="9" s="1"/>
  <c r="D18" i="9" s="1"/>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H5"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D105" i="39"/>
  <c r="E105" i="39" s="1"/>
  <c r="F105" i="39"/>
  <c r="G105" i="39" s="1"/>
  <c r="H105" i="39" s="1"/>
  <c r="I105" i="39" s="1"/>
  <c r="J105" i="39"/>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H28" i="21" s="1"/>
  <c r="AB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J5" i="3" s="1"/>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c r="AB41" i="21"/>
  <c r="S41" i="21"/>
  <c r="AA41" i="21"/>
  <c r="H36" i="39"/>
  <c r="J35" i="39"/>
  <c r="AC35" i="39" s="1"/>
  <c r="F35" i="39"/>
  <c r="AA35" i="39" s="1"/>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c r="E109" i="39"/>
  <c r="H31" i="39"/>
  <c r="AB31" i="39" s="1"/>
  <c r="F31" i="39"/>
  <c r="AA31" i="39" s="1"/>
  <c r="E101" i="39"/>
  <c r="H19" i="39"/>
  <c r="AB19" i="39"/>
  <c r="F19" i="39"/>
  <c r="AA19" i="39"/>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c r="J17" i="39"/>
  <c r="W17" i="39" s="1"/>
  <c r="J27" i="39"/>
  <c r="AC27" i="39" s="1"/>
  <c r="F27" i="39"/>
  <c r="F11" i="21"/>
  <c r="S11" i="21"/>
  <c r="S40" i="21"/>
  <c r="U34" i="21"/>
  <c r="S34" i="21"/>
  <c r="C27" i="39"/>
  <c r="C21" i="39"/>
  <c r="H11" i="39"/>
  <c r="AB11" i="39" s="1"/>
  <c r="H32" i="33"/>
  <c r="AB32" i="33" s="1"/>
  <c r="H11" i="21"/>
  <c r="U11" i="21" s="1"/>
  <c r="J11" i="21"/>
  <c r="W11" i="21" s="1"/>
  <c r="H37" i="40"/>
  <c r="U37" i="40" s="1"/>
  <c r="H36" i="40"/>
  <c r="AB36" i="40" s="1"/>
  <c r="F35" i="40"/>
  <c r="AA35" i="40" s="1"/>
  <c r="H23" i="40"/>
  <c r="AB23" i="40" s="1"/>
  <c r="H17" i="40"/>
  <c r="U17" i="40" s="1"/>
  <c r="J15" i="40"/>
  <c r="W15" i="40" s="1"/>
  <c r="J11" i="40"/>
  <c r="AB8" i="39"/>
  <c r="AB12" i="33"/>
  <c r="AC12" i="34"/>
  <c r="AA12" i="34"/>
  <c r="AB12" i="35"/>
  <c r="W32" i="40"/>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7" i="34"/>
  <c r="AA27" i="34" s="1"/>
  <c r="F25" i="34"/>
  <c r="S25" i="34" s="1"/>
  <c r="H23" i="34"/>
  <c r="J23" i="34"/>
  <c r="F19" i="34"/>
  <c r="H17" i="34"/>
  <c r="U17" i="34" s="1"/>
  <c r="F15" i="34"/>
  <c r="AA15" i="34" s="1"/>
  <c r="J15" i="34"/>
  <c r="H15" i="34"/>
  <c r="AB15" i="34" s="1"/>
  <c r="W8" i="34"/>
  <c r="F41" i="33"/>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c r="J11" i="33"/>
  <c r="W11" i="33"/>
  <c r="U23" i="40"/>
  <c r="J42" i="21"/>
  <c r="AC42" i="21" s="1"/>
  <c r="H42" i="21"/>
  <c r="U42" i="21" s="1"/>
  <c r="J44" i="34"/>
  <c r="AC44" i="34" s="1"/>
  <c r="F44" i="34"/>
  <c r="AA44" i="34"/>
  <c r="J10" i="35"/>
  <c r="W10" i="35"/>
  <c r="BL587" i="3"/>
  <c r="J14" i="21"/>
  <c r="W14" i="21" s="1"/>
  <c r="F14" i="21"/>
  <c r="S14" i="21" s="1"/>
  <c r="H14" i="21"/>
  <c r="U14" i="21" s="1"/>
  <c r="F28" i="21"/>
  <c r="AA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S44" i="34"/>
  <c r="BA586" i="3"/>
  <c r="AZ586" i="3" s="1"/>
  <c r="BA585" i="3"/>
  <c r="F17" i="21"/>
  <c r="AA17" i="21" s="1"/>
  <c r="H17" i="21"/>
  <c r="AB17" i="21" s="1"/>
  <c r="F15" i="21"/>
  <c r="S15" i="21" s="1"/>
  <c r="AB11" i="21"/>
  <c r="J41" i="39"/>
  <c r="W41" i="39" s="1"/>
  <c r="W35" i="39"/>
  <c r="S35" i="39"/>
  <c r="G535"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30" i="3"/>
  <c r="BL522" i="3"/>
  <c r="BL516" i="3"/>
  <c r="BL512" i="3"/>
  <c r="BL506" i="3"/>
  <c r="BL502" i="3"/>
  <c r="BL498" i="3"/>
  <c r="BL494" i="3"/>
  <c r="BL582" i="3"/>
  <c r="BL578" i="3"/>
  <c r="BL574" i="3"/>
  <c r="BL570" i="3"/>
  <c r="BL566" i="3"/>
  <c r="BL562" i="3"/>
  <c r="BL556" i="3"/>
  <c r="BL552" i="3"/>
  <c r="BL540" i="3"/>
  <c r="G529"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26" i="3"/>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3" i="3"/>
  <c r="BA535" i="3"/>
  <c r="BA527" i="3"/>
  <c r="BA525" i="3"/>
  <c r="BA523" i="3"/>
  <c r="BA519" i="3"/>
  <c r="BA517" i="3"/>
  <c r="AZ517" i="3" s="1"/>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AZ563" i="3" s="1"/>
  <c r="BQ561" i="3"/>
  <c r="BL561" i="3"/>
  <c r="AZ561" i="3" s="1"/>
  <c r="BQ559" i="3"/>
  <c r="BL559" i="3" s="1"/>
  <c r="AZ559" i="3"/>
  <c r="G559" i="3"/>
  <c r="G555" i="3"/>
  <c r="G553" i="3"/>
  <c r="G549" i="3"/>
  <c r="G541"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C12" i="43"/>
  <c r="H19" i="40"/>
  <c r="U19" i="40" s="1"/>
  <c r="F88" i="40"/>
  <c r="G88" i="40" s="1"/>
  <c r="F19" i="40"/>
  <c r="S19" i="40" s="1"/>
  <c r="S14" i="40"/>
  <c r="AC13" i="40"/>
  <c r="AB33" i="40"/>
  <c r="W23" i="39"/>
  <c r="G101" i="39"/>
  <c r="H37" i="39"/>
  <c r="AB37" i="39" s="1"/>
  <c r="AC37" i="39"/>
  <c r="H25" i="39"/>
  <c r="AB25" i="39" s="1"/>
  <c r="J25" i="39"/>
  <c r="AC25" i="39" s="1"/>
  <c r="F25" i="39"/>
  <c r="AA25" i="39" s="1"/>
  <c r="F15" i="39"/>
  <c r="AA15" i="39" s="1"/>
  <c r="H15" i="39"/>
  <c r="U15" i="39" s="1"/>
  <c r="J15" i="39"/>
  <c r="W15" i="39" s="1"/>
  <c r="H41" i="39"/>
  <c r="U41" i="39" s="1"/>
  <c r="AB34" i="39"/>
  <c r="W14" i="39"/>
  <c r="AA41" i="39"/>
  <c r="J19" i="40"/>
  <c r="AC19" i="40"/>
  <c r="J50" i="40"/>
  <c r="B54" i="72"/>
  <c r="H103" i="9"/>
  <c r="D8" i="53"/>
  <c r="B16" i="53"/>
  <c r="B33" i="72"/>
  <c r="C7" i="37"/>
  <c r="C52" i="37" s="1"/>
  <c r="D52" i="37" s="1"/>
  <c r="E52" i="37" s="1"/>
  <c r="F52" i="37" s="1"/>
  <c r="G52" i="37" s="1"/>
  <c r="H52" i="37" s="1"/>
  <c r="I52" i="37" s="1"/>
  <c r="C7" i="34"/>
  <c r="C7" i="36"/>
  <c r="W35" i="40"/>
  <c r="A118" i="9"/>
  <c r="J11" i="39"/>
  <c r="W11" i="39" s="1"/>
  <c r="F11" i="39"/>
  <c r="AA11" i="39" s="1"/>
  <c r="A12" i="52"/>
  <c r="B56" i="72" s="1"/>
  <c r="S11" i="39"/>
  <c r="G4" i="4"/>
  <c r="I4" i="4"/>
  <c r="K5" i="4"/>
  <c r="B47" i="48"/>
  <c r="A2" i="9"/>
  <c r="F59" i="43"/>
  <c r="H62" i="43" s="1"/>
  <c r="AZ20" i="3"/>
  <c r="AZ24" i="3"/>
  <c r="AZ28" i="3"/>
  <c r="AZ32" i="3"/>
  <c r="AZ497" i="3"/>
  <c r="BL549" i="3"/>
  <c r="AZ494" i="3"/>
  <c r="AZ502"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H5" i="3"/>
  <c r="BD5" i="3"/>
  <c r="AZ317" i="3"/>
  <c r="AZ333" i="3"/>
  <c r="BQ5" i="3"/>
  <c r="AC5" i="3"/>
  <c r="AZ549" i="3"/>
  <c r="AZ496" i="3"/>
  <c r="G548" i="3"/>
  <c r="G538" i="3"/>
  <c r="G520" i="3"/>
  <c r="G502" i="3"/>
  <c r="BS5" i="3"/>
  <c r="BN5" i="3"/>
  <c r="AZ343" i="3"/>
  <c r="BK5" i="3"/>
  <c r="BG5" i="3"/>
  <c r="BC5" i="3"/>
  <c r="G17" i="3"/>
  <c r="BA17" i="3"/>
  <c r="BT5" i="3"/>
  <c r="AZ350" i="3"/>
  <c r="AZ352" i="3"/>
  <c r="AZ360" i="3"/>
  <c r="AZ368" i="3"/>
  <c r="BA15" i="3"/>
  <c r="AZ15" i="3"/>
  <c r="BB5" i="3"/>
  <c r="E8" i="6" s="1"/>
  <c r="AZ380" i="3"/>
  <c r="AZ388" i="3"/>
  <c r="AZ396" i="3"/>
  <c r="AZ499" i="3"/>
  <c r="AZ509" i="3"/>
  <c r="G509" i="3"/>
  <c r="BL493" i="3"/>
  <c r="AZ491" i="3"/>
  <c r="AZ390" i="3"/>
  <c r="AZ493" i="3"/>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AZ501" i="3"/>
  <c r="W37" i="37"/>
  <c r="W44" i="34"/>
  <c r="S15"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s="1"/>
  <c r="F23" i="39"/>
  <c r="AA23" i="39" s="1"/>
  <c r="H27" i="36"/>
  <c r="U27" i="36"/>
  <c r="F27" i="36"/>
  <c r="AA27" i="36"/>
  <c r="H33" i="34"/>
  <c r="U33" i="34"/>
  <c r="F32" i="37"/>
  <c r="AA32" i="37"/>
  <c r="F20" i="36"/>
  <c r="J33" i="34"/>
  <c r="AC33" i="34" s="1"/>
  <c r="H23" i="39"/>
  <c r="U23" i="39" s="1"/>
  <c r="D48" i="9"/>
  <c r="M52" i="9" s="1"/>
  <c r="H86" i="43"/>
  <c r="H82" i="43"/>
  <c r="H87" i="43"/>
  <c r="K9" i="1"/>
  <c r="M9" i="1" s="1"/>
  <c r="O9" i="1" s="1"/>
  <c r="AE9" i="1"/>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S19" i="39"/>
  <c r="F12" i="33"/>
  <c r="H12" i="39"/>
  <c r="AB12" i="39" s="1"/>
  <c r="F39" i="40"/>
  <c r="S39" i="40"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T10" i="1" s="1"/>
  <c r="R10" i="1"/>
  <c r="B10" i="1"/>
  <c r="E10" i="1"/>
  <c r="AZ80" i="3"/>
  <c r="AZ84" i="3"/>
  <c r="AZ88" i="3"/>
  <c r="AZ107" i="3"/>
  <c r="AZ111" i="3"/>
  <c r="K12" i="1"/>
  <c r="M12" i="1" s="1"/>
  <c r="O12" i="1" s="1"/>
  <c r="S13" i="1"/>
  <c r="AQ13" i="1" s="1"/>
  <c r="R13" i="1"/>
  <c r="S11" i="1"/>
  <c r="AQ11" i="1" s="1"/>
  <c r="R11" i="1"/>
  <c r="S9" i="1"/>
  <c r="AR9" i="1" s="1"/>
  <c r="R9" i="1"/>
  <c r="J51" i="67"/>
  <c r="C42" i="1"/>
  <c r="H100" i="43"/>
  <c r="AC34" i="33"/>
  <c r="AA34" i="33"/>
  <c r="S22" i="31"/>
  <c r="J100" i="43"/>
  <c r="AB37" i="40"/>
  <c r="S35" i="40"/>
  <c r="U35" i="40"/>
  <c r="AC36" i="40"/>
  <c r="AA32" i="40"/>
  <c r="S17" i="40"/>
  <c r="S23" i="40"/>
  <c r="AC17" i="40"/>
  <c r="AC15" i="40"/>
  <c r="AB27" i="40"/>
  <c r="S30" i="40"/>
  <c r="AA19" i="40"/>
  <c r="S28" i="40"/>
  <c r="AA27" i="40"/>
  <c r="AB19" i="40"/>
  <c r="S37" i="39"/>
  <c r="U35" i="39"/>
  <c r="F32" i="39"/>
  <c r="F107" i="39"/>
  <c r="G107" i="39" s="1"/>
  <c r="H107" i="39" s="1"/>
  <c r="U25" i="39"/>
  <c r="AB27" i="39"/>
  <c r="U31" i="39"/>
  <c r="J21" i="39"/>
  <c r="W21" i="39" s="1"/>
  <c r="W19" i="39"/>
  <c r="U19" i="39"/>
  <c r="S17" i="39"/>
  <c r="S15" i="39"/>
  <c r="AA12" i="39"/>
  <c r="U14" i="39"/>
  <c r="AC13" i="39"/>
  <c r="U12"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AA13" i="37"/>
  <c r="AA9" i="37"/>
  <c r="H10" i="37"/>
  <c r="H60" i="37"/>
  <c r="I60" i="37" s="1"/>
  <c r="F63" i="37"/>
  <c r="F11" i="37"/>
  <c r="S11" i="37" s="1"/>
  <c r="S27" i="34"/>
  <c r="W25" i="34"/>
  <c r="AB8" i="34"/>
  <c r="AA33" i="34"/>
  <c r="U44" i="34"/>
  <c r="U43" i="34"/>
  <c r="AC39" i="34"/>
  <c r="W41" i="34"/>
  <c r="AC42" i="34"/>
  <c r="AB35" i="34"/>
  <c r="U39" i="34"/>
  <c r="S43" i="34"/>
  <c r="AB41" i="34"/>
  <c r="AA45" i="34"/>
  <c r="W34" i="34"/>
  <c r="AA25" i="34"/>
  <c r="S17" i="34"/>
  <c r="AA29" i="34"/>
  <c r="U27" i="34"/>
  <c r="S23" i="34"/>
  <c r="U15" i="34"/>
  <c r="S10" i="34"/>
  <c r="S13" i="34"/>
  <c r="H67" i="34"/>
  <c r="I67" i="34" s="1"/>
  <c r="H10" i="34"/>
  <c r="F11" i="34"/>
  <c r="F70" i="34"/>
  <c r="W42" i="33"/>
  <c r="AA35" i="33"/>
  <c r="S27" i="33"/>
  <c r="S32" i="33"/>
  <c r="AA29" i="33"/>
  <c r="AB29" i="33"/>
  <c r="W38" i="33"/>
  <c r="H41" i="33"/>
  <c r="U41" i="33" s="1"/>
  <c r="F121" i="33"/>
  <c r="G121" i="33"/>
  <c r="H121" i="33" s="1"/>
  <c r="I121" i="33"/>
  <c r="J121" i="33" s="1"/>
  <c r="K121" i="33" s="1"/>
  <c r="L121" i="33" s="1"/>
  <c r="M121" i="33" s="1"/>
  <c r="S42" i="33"/>
  <c r="F36" i="33"/>
  <c r="G111" i="33"/>
  <c r="G108"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E85" i="21"/>
  <c r="AC11" i="21"/>
  <c r="AA14" i="21"/>
  <c r="AB8" i="21"/>
  <c r="S8" i="21"/>
  <c r="M3" i="43"/>
  <c r="M1" i="43"/>
  <c r="N8" i="43"/>
  <c r="D120" i="9"/>
  <c r="M20" i="67"/>
  <c r="BA13" i="3"/>
  <c r="BL17" i="3"/>
  <c r="AZ17" i="3"/>
  <c r="BL13" i="3"/>
  <c r="J56" i="9"/>
  <c r="J57" i="9"/>
  <c r="J59" i="9" s="1"/>
  <c r="U29" i="34"/>
  <c r="E5" i="6"/>
  <c r="D9" i="11" s="1"/>
  <c r="C9" i="11" s="1"/>
  <c r="E32" i="6"/>
  <c r="L19" i="6"/>
  <c r="G1" i="68"/>
  <c r="K1" i="12"/>
  <c r="E19" i="69"/>
  <c r="E19" i="68"/>
  <c r="E19" i="11"/>
  <c r="E1" i="73"/>
  <c r="G22" i="68"/>
  <c r="G22" i="11"/>
  <c r="C100" i="43"/>
  <c r="E11" i="43"/>
  <c r="E10" i="43"/>
  <c r="E9" i="43"/>
  <c r="E8" i="43"/>
  <c r="C7" i="43"/>
  <c r="E81" i="43"/>
  <c r="B79" i="43"/>
  <c r="E48" i="43"/>
  <c r="B46" i="43" s="1"/>
  <c r="E70" i="43"/>
  <c r="B68" i="43" s="1"/>
  <c r="F100" i="43"/>
  <c r="H17" i="43"/>
  <c r="D9" i="53"/>
  <c r="B25" i="72" s="1"/>
  <c r="B24" i="72"/>
  <c r="H85" i="43"/>
  <c r="H81" i="43"/>
  <c r="H84" i="43"/>
  <c r="H88" i="43"/>
  <c r="H53" i="43"/>
  <c r="H71" i="43"/>
  <c r="C17" i="43"/>
  <c r="F33" i="43"/>
  <c r="K17" i="43"/>
  <c r="F34" i="43"/>
  <c r="N6" i="43"/>
  <c r="C6" i="43"/>
  <c r="N3" i="43"/>
  <c r="F38" i="43"/>
  <c r="F37" i="43"/>
  <c r="M9" i="43"/>
  <c r="N5" i="43"/>
  <c r="M12" i="43"/>
  <c r="B19" i="53"/>
  <c r="B37" i="72"/>
  <c r="C7" i="39"/>
  <c r="C68" i="39"/>
  <c r="D68" i="39" s="1"/>
  <c r="C7" i="35"/>
  <c r="C7" i="33"/>
  <c r="C58" i="33" s="1"/>
  <c r="D58" i="33" s="1"/>
  <c r="C7" i="21"/>
  <c r="C58" i="21" s="1"/>
  <c r="C7" i="40"/>
  <c r="C63" i="40" s="1"/>
  <c r="C65" i="40" s="1"/>
  <c r="M47" i="9"/>
  <c r="G19" i="43"/>
  <c r="O19" i="43" s="1"/>
  <c r="C19" i="43" s="1"/>
  <c r="C46" i="36"/>
  <c r="D46" i="36" s="1"/>
  <c r="E46" i="36" s="1"/>
  <c r="C59" i="34"/>
  <c r="D59" i="34" s="1"/>
  <c r="E59" i="34"/>
  <c r="F59" i="34" s="1"/>
  <c r="G59" i="34" s="1"/>
  <c r="H59" i="34" s="1"/>
  <c r="I59" i="34" s="1"/>
  <c r="J59" i="34" s="1"/>
  <c r="A4" i="51"/>
  <c r="B6" i="72" s="1"/>
  <c r="C48" i="35"/>
  <c r="D48" i="35" s="1"/>
  <c r="E48" i="35" s="1"/>
  <c r="C4" i="12"/>
  <c r="H66" i="43"/>
  <c r="H64" i="43"/>
  <c r="H55" i="43"/>
  <c r="H72" i="43"/>
  <c r="L20" i="6"/>
  <c r="B6" i="1"/>
  <c r="E6" i="1" s="1"/>
  <c r="S8" i="1"/>
  <c r="AQ8" i="1" s="1"/>
  <c r="K11" i="1"/>
  <c r="M11" i="1" s="1"/>
  <c r="O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W25" i="39"/>
  <c r="U13" i="39"/>
  <c r="AB13" i="39"/>
  <c r="AA13" i="39"/>
  <c r="S13" i="39"/>
  <c r="S14" i="39"/>
  <c r="AA14" i="39"/>
  <c r="AA27" i="39"/>
  <c r="S27" i="39"/>
  <c r="W31" i="39"/>
  <c r="AC31"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s="1"/>
  <c r="L101" i="21"/>
  <c r="M101" i="21" s="1"/>
  <c r="F33" i="2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60" i="43"/>
  <c r="B63" i="43"/>
  <c r="B67" i="43"/>
  <c r="D23" i="15"/>
  <c r="D22" i="15"/>
  <c r="AZ13" i="3"/>
  <c r="S7" i="1"/>
  <c r="AR7" i="1" s="1"/>
  <c r="E7" i="70"/>
  <c r="AA39" i="40"/>
  <c r="S12" i="33"/>
  <c r="AA12" i="33"/>
  <c r="J32" i="39"/>
  <c r="W32" i="39" s="1"/>
  <c r="I107" i="39"/>
  <c r="J107" i="39" s="1"/>
  <c r="K107" i="39" s="1"/>
  <c r="L107" i="39" s="1"/>
  <c r="M107" i="39" s="1"/>
  <c r="H32" i="39"/>
  <c r="AB32" i="39" s="1"/>
  <c r="AA32" i="39"/>
  <c r="S32" i="39"/>
  <c r="S26" i="35"/>
  <c r="U9" i="35"/>
  <c r="AB9" i="35"/>
  <c r="S9" i="35"/>
  <c r="W26" i="35"/>
  <c r="AB26" i="35"/>
  <c r="U26" i="35"/>
  <c r="AC17" i="37"/>
  <c r="S17" i="37"/>
  <c r="J19" i="37"/>
  <c r="G75" i="37"/>
  <c r="AA19" i="37"/>
  <c r="J23" i="37"/>
  <c r="G79" i="37"/>
  <c r="J10" i="37"/>
  <c r="G63" i="37"/>
  <c r="H11" i="37"/>
  <c r="AB10" i="37"/>
  <c r="U10" i="37"/>
  <c r="G70" i="34"/>
  <c r="H70" i="34" s="1"/>
  <c r="I70" i="34" s="1"/>
  <c r="J70" i="34" s="1"/>
  <c r="K70" i="34" s="1"/>
  <c r="L70" i="34" s="1"/>
  <c r="M70" i="34" s="1"/>
  <c r="H11" i="34"/>
  <c r="AB10" i="34"/>
  <c r="U10" i="34"/>
  <c r="J10" i="34"/>
  <c r="AC10" i="34" s="1"/>
  <c r="AB41" i="33"/>
  <c r="W35" i="33"/>
  <c r="H111" i="33"/>
  <c r="I111" i="33" s="1"/>
  <c r="J111" i="33"/>
  <c r="K111" i="33" s="1"/>
  <c r="L111" i="33" s="1"/>
  <c r="M111" i="33" s="1"/>
  <c r="J36" i="33"/>
  <c r="W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S23" i="33" s="1"/>
  <c r="AC23" i="33"/>
  <c r="W23" i="33"/>
  <c r="AA19" i="33"/>
  <c r="H19" i="33"/>
  <c r="G81" i="33"/>
  <c r="G79" i="33"/>
  <c r="H17" i="33"/>
  <c r="F17" i="33"/>
  <c r="W17" i="33"/>
  <c r="U10" i="33"/>
  <c r="AB10" i="33"/>
  <c r="AC10" i="33"/>
  <c r="AC37" i="21"/>
  <c r="S37" i="21"/>
  <c r="AB15" i="21"/>
  <c r="J23" i="21"/>
  <c r="F85" i="21"/>
  <c r="G85" i="21" s="1"/>
  <c r="H23" i="21"/>
  <c r="AB23" i="21" s="1"/>
  <c r="S13" i="21"/>
  <c r="D6" i="52"/>
  <c r="J61" i="9"/>
  <c r="R22" i="31"/>
  <c r="B21" i="31"/>
  <c r="AP7" i="1"/>
  <c r="AB45" i="21"/>
  <c r="AC33" i="21"/>
  <c r="W33" i="21"/>
  <c r="S33" i="21"/>
  <c r="AA33" i="21"/>
  <c r="W32" i="21"/>
  <c r="AC32" i="21"/>
  <c r="AB9" i="21"/>
  <c r="U9" i="21"/>
  <c r="AA32" i="21"/>
  <c r="S32" i="21"/>
  <c r="W9" i="21"/>
  <c r="AC9" i="21"/>
  <c r="AB32" i="21"/>
  <c r="U32" i="21"/>
  <c r="AA10" i="21"/>
  <c r="S10" i="21"/>
  <c r="E6" i="70"/>
  <c r="A18" i="62"/>
  <c r="B64" i="72" s="1"/>
  <c r="AC32" i="39"/>
  <c r="W19" i="37"/>
  <c r="AC19" i="37"/>
  <c r="W23" i="37"/>
  <c r="AC23" i="37"/>
  <c r="AB11" i="37"/>
  <c r="U11" i="37"/>
  <c r="H63" i="37"/>
  <c r="I63" i="37" s="1"/>
  <c r="J63" i="37" s="1"/>
  <c r="K63" i="37" s="1"/>
  <c r="L63" i="37" s="1"/>
  <c r="M63" i="37" s="1"/>
  <c r="J11" i="37"/>
  <c r="AC11" i="37" s="1"/>
  <c r="W10" i="37"/>
  <c r="AC10" i="37"/>
  <c r="U11" i="34"/>
  <c r="AB11" i="34"/>
  <c r="W10" i="34"/>
  <c r="J11" i="34"/>
  <c r="AC36" i="33"/>
  <c r="U36" i="33"/>
  <c r="AB36" i="33"/>
  <c r="W27" i="33"/>
  <c r="AC27" i="33"/>
  <c r="W25" i="33"/>
  <c r="AC25" i="33"/>
  <c r="AA23" i="33"/>
  <c r="AB19" i="33"/>
  <c r="U19" i="33"/>
  <c r="AA17" i="33"/>
  <c r="S17" i="33"/>
  <c r="U17" i="33"/>
  <c r="AB17" i="33"/>
  <c r="U23" i="21"/>
  <c r="AC23" i="21"/>
  <c r="W23" i="21"/>
  <c r="W11" i="37"/>
  <c r="W11" i="34"/>
  <c r="AC11" i="34"/>
  <c r="R7" i="1"/>
  <c r="F11" i="12"/>
  <c r="C23" i="12" s="1"/>
  <c r="R8" i="1"/>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s="1"/>
  <c r="B38" i="72"/>
  <c r="D20" i="53"/>
  <c r="B40" i="72"/>
  <c r="AD3" i="71"/>
  <c r="D63" i="40"/>
  <c r="E63" i="40" s="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58" i="21"/>
  <c r="E58" i="21" s="1"/>
  <c r="F58" i="21" s="1"/>
  <c r="AB10" i="71"/>
  <c r="X8" i="71"/>
  <c r="X7" i="71"/>
  <c r="AA8" i="71"/>
  <c r="AA7" i="71"/>
  <c r="X11" i="71"/>
  <c r="Y7" i="71"/>
  <c r="Z7" i="71" s="1"/>
  <c r="AB8" i="71"/>
  <c r="AB7" i="71"/>
  <c r="F9" i="71"/>
  <c r="F8" i="71" s="1"/>
  <c r="F7" i="71" s="1"/>
  <c r="F6" i="71" s="1"/>
  <c r="F5" i="71" s="1"/>
  <c r="Y8" i="71"/>
  <c r="Z8" i="71" s="1"/>
  <c r="AB3" i="71"/>
  <c r="X3" i="71"/>
  <c r="E9" i="71"/>
  <c r="E8" i="71" s="1"/>
  <c r="AF3" i="71"/>
  <c r="P21" i="43"/>
  <c r="G20" i="43"/>
  <c r="D65" i="40"/>
  <c r="G17" i="43"/>
  <c r="C16" i="43" s="1"/>
  <c r="P23" i="43"/>
  <c r="B71" i="39" s="1"/>
  <c r="P25" i="43"/>
  <c r="E41" i="43"/>
  <c r="C41" i="43"/>
  <c r="F31" i="15"/>
  <c r="F31" i="67"/>
  <c r="E12" i="76"/>
  <c r="L48" i="15"/>
  <c r="D2" i="21"/>
  <c r="D2" i="37"/>
  <c r="M28" i="67"/>
  <c r="F16" i="15"/>
  <c r="E2" i="69"/>
  <c r="F13" i="15"/>
  <c r="M29" i="67"/>
  <c r="F6" i="73"/>
  <c r="F7" i="15"/>
  <c r="M9" i="67"/>
  <c r="M8" i="67"/>
  <c r="B9" i="76"/>
  <c r="B10" i="76"/>
  <c r="F16" i="67"/>
  <c r="M24" i="67"/>
  <c r="D5" i="73"/>
  <c r="M22" i="67"/>
  <c r="AO13" i="1"/>
  <c r="D2" i="36"/>
  <c r="M29" i="15"/>
  <c r="F7" i="67"/>
  <c r="D3" i="73"/>
  <c r="E7" i="76"/>
  <c r="M21" i="67"/>
  <c r="F26" i="15"/>
  <c r="L47" i="67"/>
  <c r="F35" i="67"/>
  <c r="F38" i="67"/>
  <c r="F9" i="15"/>
  <c r="F8" i="15"/>
  <c r="B11" i="76"/>
  <c r="F41" i="67"/>
  <c r="F40" i="67"/>
  <c r="F37" i="67"/>
  <c r="M23" i="15"/>
  <c r="M6" i="67"/>
  <c r="F9" i="67"/>
  <c r="E13" i="76"/>
  <c r="F6" i="67"/>
  <c r="AO9" i="1"/>
  <c r="B7" i="76"/>
  <c r="E11" i="76"/>
  <c r="J15" i="15"/>
  <c r="M26" i="15"/>
  <c r="D7" i="73"/>
  <c r="F20" i="31"/>
  <c r="L48" i="67"/>
  <c r="F43" i="15"/>
  <c r="M6" i="15"/>
  <c r="F38" i="15"/>
  <c r="AO7" i="1"/>
  <c r="M23" i="67"/>
  <c r="B13" i="76"/>
  <c r="F5" i="73"/>
  <c r="F4" i="73"/>
  <c r="M8" i="15"/>
  <c r="M27" i="67"/>
  <c r="AO10" i="1"/>
  <c r="F13" i="67"/>
  <c r="B8" i="76"/>
  <c r="M26" i="67"/>
  <c r="C76" i="67"/>
  <c r="D2" i="33"/>
  <c r="E10" i="76"/>
  <c r="C76" i="15"/>
  <c r="F40" i="15"/>
  <c r="F26" i="67"/>
  <c r="D6" i="73"/>
  <c r="D2" i="34"/>
  <c r="B12" i="76"/>
  <c r="F36" i="15"/>
  <c r="AO11" i="1"/>
  <c r="F3" i="73"/>
  <c r="E9" i="76"/>
  <c r="E8" i="76"/>
  <c r="D2" i="35"/>
  <c r="F42" i="67"/>
  <c r="F42" i="15"/>
  <c r="J15" i="67"/>
  <c r="AO12" i="1"/>
  <c r="F37" i="15"/>
  <c r="AO8" i="1"/>
  <c r="M28" i="15"/>
  <c r="F43" i="67"/>
  <c r="F7" i="73"/>
  <c r="M22" i="15"/>
  <c r="F8" i="67"/>
  <c r="F36" i="67"/>
  <c r="M27" i="15"/>
  <c r="M24" i="15"/>
  <c r="E2" i="68"/>
  <c r="M9" i="15"/>
  <c r="D4" i="73"/>
  <c r="L47" i="15"/>
  <c r="I29" i="66" l="1"/>
  <c r="I19" i="66"/>
  <c r="F43" i="39"/>
  <c r="J45" i="39"/>
  <c r="AC45" i="39" s="1"/>
  <c r="U44" i="39"/>
  <c r="AB44" i="39"/>
  <c r="W43" i="39"/>
  <c r="AC43" i="39"/>
  <c r="AB45" i="39"/>
  <c r="U45" i="39"/>
  <c r="H43" i="39"/>
  <c r="S44" i="39"/>
  <c r="J44" i="39"/>
  <c r="F45" i="39"/>
  <c r="AB41" i="39"/>
  <c r="AC41" i="39"/>
  <c r="W29" i="39"/>
  <c r="F29" i="39"/>
  <c r="S23" i="39"/>
  <c r="H21" i="39"/>
  <c r="F21" i="39"/>
  <c r="AC21" i="39"/>
  <c r="AC17" i="39"/>
  <c r="U32" i="39"/>
  <c r="U40" i="39"/>
  <c r="S40" i="39"/>
  <c r="S42" i="39"/>
  <c r="S36" i="39"/>
  <c r="AA36" i="39"/>
  <c r="U37" i="39"/>
  <c r="J36" i="39"/>
  <c r="W36" i="39" s="1"/>
  <c r="B56" i="43"/>
  <c r="C19" i="39"/>
  <c r="C25" i="39"/>
  <c r="C29" i="39"/>
  <c r="B66" i="43"/>
  <c r="U11" i="39"/>
  <c r="AC38" i="39"/>
  <c r="S38" i="39"/>
  <c r="AC11" i="39"/>
  <c r="W8" i="39"/>
  <c r="S9" i="39"/>
  <c r="W9" i="39"/>
  <c r="F34" i="67"/>
  <c r="F62" i="67" s="1"/>
  <c r="C94" i="9"/>
  <c r="C92" i="9"/>
  <c r="F34" i="15"/>
  <c r="F62" i="15" s="1"/>
  <c r="B41" i="1"/>
  <c r="M18" i="15" s="1"/>
  <c r="D93" i="9"/>
  <c r="D68" i="9"/>
  <c r="F52" i="9"/>
  <c r="F34" i="68"/>
  <c r="C36" i="68" s="1"/>
  <c r="G26" i="12"/>
  <c r="G22" i="69"/>
  <c r="G25" i="12"/>
  <c r="G41" i="11"/>
  <c r="G27" i="12"/>
  <c r="G41" i="68"/>
  <c r="G30" i="6"/>
  <c r="F28" i="6"/>
  <c r="G31" i="6"/>
  <c r="AR8" i="1"/>
  <c r="AE11" i="43"/>
  <c r="AE13" i="43" s="1"/>
  <c r="L101" i="43"/>
  <c r="L109" i="43" s="1"/>
  <c r="L27" i="6"/>
  <c r="AF11" i="43"/>
  <c r="AF13" i="43" s="1"/>
  <c r="AR12" i="1"/>
  <c r="AQ9" i="1"/>
  <c r="T8" i="1"/>
  <c r="T11" i="1"/>
  <c r="Z7" i="43"/>
  <c r="M101" i="43"/>
  <c r="F22" i="43"/>
  <c r="E15" i="6"/>
  <c r="E60" i="40" s="1"/>
  <c r="E2" i="70"/>
  <c r="T9" i="1"/>
  <c r="D19" i="12"/>
  <c r="C19" i="12" s="1"/>
  <c r="G14" i="3"/>
  <c r="G5" i="3" s="1"/>
  <c r="B3" i="3" s="1"/>
  <c r="AT6" i="3" s="1"/>
  <c r="F27" i="6"/>
  <c r="E51" i="40"/>
  <c r="T12" i="1"/>
  <c r="E10" i="6"/>
  <c r="E12" i="6"/>
  <c r="D9" i="68"/>
  <c r="C9" i="68" s="1"/>
  <c r="L107" i="43"/>
  <c r="AR11" i="1"/>
  <c r="C36" i="69"/>
  <c r="D9" i="69"/>
  <c r="C9" i="69" s="1"/>
  <c r="E65" i="39"/>
  <c r="O10" i="1"/>
  <c r="P10" i="1" s="1"/>
  <c r="T7" i="1"/>
  <c r="AQ7" i="1"/>
  <c r="B4" i="49"/>
  <c r="E10" i="49"/>
  <c r="B15" i="49"/>
  <c r="H16" i="1"/>
  <c r="Q16" i="1"/>
  <c r="L103" i="43"/>
  <c r="L106" i="43"/>
  <c r="J22" i="43"/>
  <c r="AA11" i="43"/>
  <c r="AA13" i="43" s="1"/>
  <c r="AI11" i="43"/>
  <c r="AI13" i="43" s="1"/>
  <c r="AB11" i="43"/>
  <c r="AB13" i="43" s="1"/>
  <c r="AJ11" i="43"/>
  <c r="AJ13" i="43" s="1"/>
  <c r="E101" i="43"/>
  <c r="E107" i="43" s="1"/>
  <c r="H101" i="43"/>
  <c r="H103" i="43" s="1"/>
  <c r="E22" i="43"/>
  <c r="H109" i="43"/>
  <c r="E102" i="43"/>
  <c r="F101" i="43"/>
  <c r="D117" i="43"/>
  <c r="E117" i="43" s="1"/>
  <c r="F117" i="43" s="1"/>
  <c r="G117" i="43" s="1"/>
  <c r="H117" i="43" s="1"/>
  <c r="I115" i="43"/>
  <c r="J115" i="43" s="1"/>
  <c r="K115" i="43" s="1"/>
  <c r="L115" i="43" s="1"/>
  <c r="M115" i="43" s="1"/>
  <c r="D118" i="43"/>
  <c r="E118" i="43" s="1"/>
  <c r="F118" i="43" s="1"/>
  <c r="G118" i="43"/>
  <c r="H118" i="43" s="1"/>
  <c r="B116" i="43"/>
  <c r="C116" i="43" s="1"/>
  <c r="B118" i="43"/>
  <c r="C118" i="43" s="1"/>
  <c r="I117" i="43"/>
  <c r="J117" i="43" s="1"/>
  <c r="K117" i="43" s="1"/>
  <c r="L117" i="43" s="1"/>
  <c r="M117" i="43" s="1"/>
  <c r="B115" i="43"/>
  <c r="C115"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L104" i="43"/>
  <c r="L105" i="43"/>
  <c r="L102" i="43"/>
  <c r="H105" i="43"/>
  <c r="H106" i="43"/>
  <c r="M103" i="43"/>
  <c r="Y11" i="43"/>
  <c r="Y13" i="43" s="1"/>
  <c r="AC11" i="43"/>
  <c r="AC13" i="43" s="1"/>
  <c r="AG11" i="43"/>
  <c r="AG13" i="43" s="1"/>
  <c r="Z11" i="43"/>
  <c r="Z13" i="43" s="1"/>
  <c r="AD11" i="43"/>
  <c r="AD13" i="43" s="1"/>
  <c r="AH11" i="43"/>
  <c r="AH13" i="43" s="1"/>
  <c r="F103" i="43"/>
  <c r="G22" i="43"/>
  <c r="I101" i="43"/>
  <c r="D101" i="43"/>
  <c r="D104" i="43" s="1"/>
  <c r="H22" i="43"/>
  <c r="N104" i="46"/>
  <c r="J101" i="43"/>
  <c r="C101" i="43"/>
  <c r="G101" i="43"/>
  <c r="N101" i="43"/>
  <c r="N105" i="43" s="1"/>
  <c r="K101" i="43"/>
  <c r="T35" i="4"/>
  <c r="A19" i="51" s="1"/>
  <c r="B14" i="72" s="1"/>
  <c r="E13" i="49"/>
  <c r="E5" i="49"/>
  <c r="G6" i="1"/>
  <c r="G11" i="1"/>
  <c r="E4" i="49"/>
  <c r="E11" i="49"/>
  <c r="A4" i="52"/>
  <c r="B41" i="72" s="1"/>
  <c r="K56" i="9"/>
  <c r="E65" i="40"/>
  <c r="F63" i="40"/>
  <c r="E68" i="39"/>
  <c r="D70" i="39"/>
  <c r="E9" i="49"/>
  <c r="B14" i="49"/>
  <c r="B5" i="49"/>
  <c r="E6" i="49"/>
  <c r="E22" i="49"/>
  <c r="P22" i="43"/>
  <c r="P24" i="43"/>
  <c r="B66" i="40" s="1"/>
  <c r="E14" i="49"/>
  <c r="B7" i="49"/>
  <c r="B22" i="49"/>
  <c r="E15" i="49"/>
  <c r="B16" i="49"/>
  <c r="B11" i="49"/>
  <c r="E21" i="49"/>
  <c r="B8" i="49"/>
  <c r="E8" i="49"/>
  <c r="B10" i="49"/>
  <c r="E16" i="49"/>
  <c r="B9" i="49"/>
  <c r="C4" i="4" s="1"/>
  <c r="B13" i="49"/>
  <c r="E4" i="4" s="1"/>
  <c r="B5" i="62" s="1"/>
  <c r="B73" i="72" s="1"/>
  <c r="B6" i="49"/>
  <c r="E7" i="49"/>
  <c r="F66" i="15"/>
  <c r="M7" i="15"/>
  <c r="F50" i="15"/>
  <c r="Q71" i="67"/>
  <c r="B13" i="70"/>
  <c r="F50" i="67"/>
  <c r="M7" i="67"/>
  <c r="J6" i="67" s="1"/>
  <c r="Q71" i="15"/>
  <c r="F64" i="15"/>
  <c r="F63" i="67"/>
  <c r="C62" i="67" s="1"/>
  <c r="C34" i="67"/>
  <c r="J20" i="67"/>
  <c r="F70" i="67"/>
  <c r="F68" i="67"/>
  <c r="F51" i="15"/>
  <c r="C49" i="15" s="1"/>
  <c r="C6" i="67"/>
  <c r="B12" i="70"/>
  <c r="F64" i="67"/>
  <c r="F71" i="15"/>
  <c r="B20" i="31"/>
  <c r="B7" i="70"/>
  <c r="F68" i="15"/>
  <c r="C27" i="67"/>
  <c r="E20" i="43"/>
  <c r="K1" i="73"/>
  <c r="B11" i="70"/>
  <c r="F66" i="67"/>
  <c r="F65" i="15"/>
  <c r="C27" i="15"/>
  <c r="F65" i="67"/>
  <c r="B9" i="70"/>
  <c r="L59" i="15"/>
  <c r="L58" i="15"/>
  <c r="N59" i="15"/>
  <c r="M59" i="15"/>
  <c r="I1" i="73"/>
  <c r="B39" i="1" s="1"/>
  <c r="B10" i="70"/>
  <c r="L59" i="67"/>
  <c r="N59" i="67"/>
  <c r="M59" i="67"/>
  <c r="L58" i="67"/>
  <c r="F69" i="67"/>
  <c r="B8" i="70"/>
  <c r="F51" i="67"/>
  <c r="F71" i="67"/>
  <c r="I54" i="67"/>
  <c r="J57" i="67"/>
  <c r="J55" i="67" s="1"/>
  <c r="J58" i="67" s="1"/>
  <c r="Q50" i="67" s="1"/>
  <c r="L56" i="67"/>
  <c r="J57" i="15"/>
  <c r="J55" i="15" s="1"/>
  <c r="J58" i="15" s="1"/>
  <c r="Q50" i="15" s="1"/>
  <c r="I54" i="15"/>
  <c r="K59" i="34"/>
  <c r="L59" i="34" s="1"/>
  <c r="M59" i="34" s="1"/>
  <c r="N59" i="34" s="1"/>
  <c r="O59" i="34" s="1"/>
  <c r="G58" i="21"/>
  <c r="H58" i="21" s="1"/>
  <c r="I58" i="21" s="1"/>
  <c r="J58" i="21" s="1"/>
  <c r="K58" i="21" s="1"/>
  <c r="L58" i="21" s="1"/>
  <c r="M58" i="21" s="1"/>
  <c r="N58" i="21" s="1"/>
  <c r="O58" i="21" s="1"/>
  <c r="J7" i="34"/>
  <c r="C5" i="43"/>
  <c r="D5" i="43"/>
  <c r="E7" i="71"/>
  <c r="E6" i="71" s="1"/>
  <c r="E5" i="71" s="1"/>
  <c r="V8" i="71"/>
  <c r="J52" i="37"/>
  <c r="K52" i="37" s="1"/>
  <c r="L52" i="37" s="1"/>
  <c r="M52" i="37" s="1"/>
  <c r="N52" i="37" s="1"/>
  <c r="O52" i="37" s="1"/>
  <c r="F48" i="35"/>
  <c r="G48" i="35" s="1"/>
  <c r="H48" i="35" s="1"/>
  <c r="I48" i="35" s="1"/>
  <c r="J48" i="35" s="1"/>
  <c r="K48" i="35" s="1"/>
  <c r="L48" i="35" s="1"/>
  <c r="M48" i="35" s="1"/>
  <c r="N48" i="35" s="1"/>
  <c r="O48" i="35" s="1"/>
  <c r="E58" i="33"/>
  <c r="F58" i="33" s="1"/>
  <c r="G58" i="33" s="1"/>
  <c r="H58" i="33" s="1"/>
  <c r="I58" i="33" s="1"/>
  <c r="J58" i="33" s="1"/>
  <c r="K58" i="33" s="1"/>
  <c r="L58" i="33" s="1"/>
  <c r="M58" i="33" s="1"/>
  <c r="N58" i="33" s="1"/>
  <c r="O58" i="33" s="1"/>
  <c r="E444" i="3"/>
  <c r="E489" i="3"/>
  <c r="E546" i="3"/>
  <c r="E404" i="3"/>
  <c r="E447" i="3"/>
  <c r="E28" i="3"/>
  <c r="E71" i="3"/>
  <c r="E88" i="3"/>
  <c r="E27" i="3"/>
  <c r="E70" i="3"/>
  <c r="E92" i="3"/>
  <c r="E121" i="3"/>
  <c r="E162" i="3"/>
  <c r="E182" i="3"/>
  <c r="E126" i="3"/>
  <c r="E166" i="3"/>
  <c r="E186" i="3"/>
  <c r="E211" i="3"/>
  <c r="E272" i="3"/>
  <c r="E295" i="3"/>
  <c r="E210" i="3"/>
  <c r="E273" i="3"/>
  <c r="E291" i="3"/>
  <c r="E316" i="3"/>
  <c r="E331" i="3"/>
  <c r="E377" i="3"/>
  <c r="E378" i="3"/>
  <c r="E317" i="3"/>
  <c r="E349" i="3"/>
  <c r="E334" i="3"/>
  <c r="E375" i="3"/>
  <c r="E384" i="3"/>
  <c r="E389" i="3"/>
  <c r="E572" i="3"/>
  <c r="E504" i="3"/>
  <c r="AM6" i="3"/>
  <c r="E544" i="3"/>
  <c r="E30" i="3"/>
  <c r="E58" i="3"/>
  <c r="E44" i="3"/>
  <c r="E76" i="3"/>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04" i="43"/>
  <c r="M104" i="43"/>
  <c r="M107" i="43"/>
  <c r="M105" i="43"/>
  <c r="D121" i="9"/>
  <c r="D7" i="52" s="1"/>
  <c r="K120" i="9"/>
  <c r="S11" i="34"/>
  <c r="AA11" i="34"/>
  <c r="S23" i="37"/>
  <c r="AA23" i="37"/>
  <c r="F53" i="9"/>
  <c r="F30" i="68"/>
  <c r="F31" i="12"/>
  <c r="C31" i="12" s="1"/>
  <c r="M18" i="67"/>
  <c r="F28" i="15"/>
  <c r="C28" i="15" s="1"/>
  <c r="F54" i="9"/>
  <c r="AQ10" i="1"/>
  <c r="AR10" i="1"/>
  <c r="N104" i="43"/>
  <c r="K103" i="43"/>
  <c r="K102" i="43"/>
  <c r="K105" i="43"/>
  <c r="AA20" i="36"/>
  <c r="S20" i="36"/>
  <c r="E28" i="6"/>
  <c r="F7" i="21"/>
  <c r="F46" i="36"/>
  <c r="J7" i="37"/>
  <c r="D12" i="52"/>
  <c r="D127" i="9"/>
  <c r="D13" i="52" s="1"/>
  <c r="L67" i="9"/>
  <c r="M67" i="9" s="1"/>
  <c r="L63" i="9"/>
  <c r="M63" i="9" s="1"/>
  <c r="M69" i="9" s="1"/>
  <c r="N69" i="9" s="1"/>
  <c r="L64" i="9"/>
  <c r="M64" i="9" s="1"/>
  <c r="L66" i="9"/>
  <c r="M66" i="9" s="1"/>
  <c r="L65" i="9"/>
  <c r="M65" i="9" s="1"/>
  <c r="P6" i="1"/>
  <c r="AC17" i="21"/>
  <c r="W17" i="21"/>
  <c r="AB33" i="21"/>
  <c r="U33" i="21"/>
  <c r="P11" i="1"/>
  <c r="I102" i="43"/>
  <c r="I106" i="43"/>
  <c r="I103" i="43"/>
  <c r="D107" i="43"/>
  <c r="S23" i="21"/>
  <c r="AA23" i="21"/>
  <c r="AR13" i="1"/>
  <c r="T13" i="1"/>
  <c r="P12" i="1"/>
  <c r="F104" i="43"/>
  <c r="F102" i="43"/>
  <c r="F105" i="43"/>
  <c r="F109" i="43"/>
  <c r="P9" i="1"/>
  <c r="AC39" i="39"/>
  <c r="W39" i="39"/>
  <c r="E17" i="3"/>
  <c r="E304" i="3"/>
  <c r="AA9" i="34"/>
  <c r="S9" i="34"/>
  <c r="AA28" i="34"/>
  <c r="S28" i="34"/>
  <c r="E531" i="3"/>
  <c r="AZ528" i="3"/>
  <c r="AC37" i="33"/>
  <c r="AB35" i="37"/>
  <c r="AA39" i="39"/>
  <c r="E56" i="39"/>
  <c r="H56" i="43"/>
  <c r="H63" i="43"/>
  <c r="H65" i="43"/>
  <c r="H78" i="43"/>
  <c r="E14" i="6"/>
  <c r="E11" i="6"/>
  <c r="S43" i="33"/>
  <c r="U42" i="33"/>
  <c r="AA12" i="37"/>
  <c r="U9" i="37"/>
  <c r="AC27" i="36"/>
  <c r="AB15" i="39"/>
  <c r="AC15" i="39"/>
  <c r="S25" i="39"/>
  <c r="W42" i="39"/>
  <c r="U21" i="40"/>
  <c r="W28" i="37"/>
  <c r="E13" i="6"/>
  <c r="H50" i="43"/>
  <c r="U13" i="37"/>
  <c r="U36" i="40"/>
  <c r="BM5" i="3"/>
  <c r="F29" i="6" s="1"/>
  <c r="E29" i="6" s="1"/>
  <c r="K15" i="1" s="1"/>
  <c r="W27" i="39"/>
  <c r="U12" i="37"/>
  <c r="U33" i="37"/>
  <c r="W14" i="37"/>
  <c r="H28" i="34"/>
  <c r="AZ567" i="3"/>
  <c r="AZ571" i="3"/>
  <c r="AZ575" i="3"/>
  <c r="AZ579" i="3"/>
  <c r="U31" i="34"/>
  <c r="AC31" i="34"/>
  <c r="W31" i="34"/>
  <c r="F31" i="21"/>
  <c r="J28" i="21"/>
  <c r="AA29" i="35"/>
  <c r="J28" i="34"/>
  <c r="AB33" i="35"/>
  <c r="U33" i="35"/>
  <c r="W11" i="40"/>
  <c r="AC11" i="40"/>
  <c r="AC36" i="39"/>
  <c r="W45" i="39"/>
  <c r="B70" i="43"/>
  <c r="C15" i="39"/>
  <c r="AB40" i="33"/>
  <c r="U40" i="33"/>
  <c r="AZ557" i="3"/>
  <c r="AZ495" i="3"/>
  <c r="AZ581" i="3"/>
  <c r="S13" i="35"/>
  <c r="AA13" i="35"/>
  <c r="U30" i="21"/>
  <c r="AB30" i="21"/>
  <c r="AA41" i="33"/>
  <c r="S41" i="33"/>
  <c r="U23" i="34"/>
  <c r="AB23" i="34"/>
  <c r="W34" i="36"/>
  <c r="AC34" i="36"/>
  <c r="S39" i="37"/>
  <c r="AA39" i="37"/>
  <c r="AB36" i="39"/>
  <c r="U36" i="39"/>
  <c r="H28" i="33"/>
  <c r="F28" i="33"/>
  <c r="J28" i="33"/>
  <c r="J9" i="34"/>
  <c r="H9" i="34"/>
  <c r="BA548" i="3"/>
  <c r="AZ548" i="3" s="1"/>
  <c r="BL547" i="3"/>
  <c r="AZ547" i="3" s="1"/>
  <c r="BA545" i="3"/>
  <c r="AZ545" i="3" s="1"/>
  <c r="BL544" i="3"/>
  <c r="BA544" i="3"/>
  <c r="BL543" i="3"/>
  <c r="AZ543" i="3" s="1"/>
  <c r="BL542" i="3"/>
  <c r="BA542" i="3"/>
  <c r="AZ542" i="3" s="1"/>
  <c r="BA541" i="3"/>
  <c r="AZ541" i="3" s="1"/>
  <c r="BA540" i="3"/>
  <c r="AZ540" i="3" s="1"/>
  <c r="BL539" i="3"/>
  <c r="AZ539" i="3" s="1"/>
  <c r="BA538" i="3"/>
  <c r="AZ538" i="3" s="1"/>
  <c r="BA537" i="3"/>
  <c r="AZ537" i="3" s="1"/>
  <c r="BL536" i="3"/>
  <c r="BA536" i="3"/>
  <c r="BL535" i="3"/>
  <c r="AZ535" i="3" s="1"/>
  <c r="BL534" i="3"/>
  <c r="BA534" i="3"/>
  <c r="AZ534" i="3" s="1"/>
  <c r="BA533" i="3"/>
  <c r="AZ533" i="3" s="1"/>
  <c r="BL532" i="3"/>
  <c r="BA532" i="3"/>
  <c r="BL531" i="3"/>
  <c r="AZ531" i="3" s="1"/>
  <c r="BA530" i="3"/>
  <c r="AZ530" i="3" s="1"/>
  <c r="BA529" i="3"/>
  <c r="AZ529" i="3" s="1"/>
  <c r="BL528" i="3"/>
  <c r="BL527" i="3"/>
  <c r="AZ527" i="3" s="1"/>
  <c r="BL526" i="3"/>
  <c r="BL585" i="3"/>
  <c r="AZ585" i="3" s="1"/>
  <c r="J12" i="36"/>
  <c r="H12" i="36"/>
  <c r="J24" i="36"/>
  <c r="H24" i="36"/>
  <c r="J39" i="40"/>
  <c r="H39" i="40"/>
  <c r="BA551" i="3"/>
  <c r="AZ551" i="3" s="1"/>
  <c r="F38" i="40"/>
  <c r="J38" i="40"/>
  <c r="H38" i="40"/>
  <c r="BL550" i="3"/>
  <c r="AZ550" i="3" s="1"/>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J53" i="67"/>
  <c r="C21" i="69"/>
  <c r="C40" i="69"/>
  <c r="AZ289" i="3"/>
  <c r="AZ292" i="3"/>
  <c r="AZ294" i="3"/>
  <c r="AZ118" i="3"/>
  <c r="AZ121" i="3"/>
  <c r="AZ134" i="3"/>
  <c r="AZ137" i="3"/>
  <c r="AZ145" i="3"/>
  <c r="AZ177" i="3"/>
  <c r="AZ18" i="3"/>
  <c r="AZ27" i="3"/>
  <c r="AZ34" i="3"/>
  <c r="AZ44" i="3"/>
  <c r="AZ56" i="3"/>
  <c r="AZ60" i="3"/>
  <c r="AZ73" i="3"/>
  <c r="AZ78" i="3"/>
  <c r="AZ87" i="3"/>
  <c r="AZ91" i="3"/>
  <c r="AZ95" i="3"/>
  <c r="AZ98" i="3"/>
  <c r="AZ100" i="3"/>
  <c r="AZ104" i="3"/>
  <c r="B7" i="1"/>
  <c r="E7" i="1" s="1"/>
  <c r="F3" i="35"/>
  <c r="M108" i="43"/>
  <c r="M109" i="43" s="1"/>
  <c r="M100" i="43"/>
  <c r="K108" i="43"/>
  <c r="K109" i="43" s="1"/>
  <c r="K100" i="43"/>
  <c r="I108" i="43"/>
  <c r="I109" i="43" s="1"/>
  <c r="I100" i="43"/>
  <c r="E108" i="43"/>
  <c r="E109" i="43" s="1"/>
  <c r="E100" i="43"/>
  <c r="J53" i="15"/>
  <c r="D108" i="43"/>
  <c r="D100" i="43"/>
  <c r="D24" i="67"/>
  <c r="D23" i="67"/>
  <c r="Y12" i="71"/>
  <c r="Z12" i="71" s="1"/>
  <c r="AA10" i="71"/>
  <c r="X10" i="71"/>
  <c r="AA9" i="71"/>
  <c r="X9" i="71"/>
  <c r="Y5" i="71"/>
  <c r="Z5" i="71" s="1"/>
  <c r="AB5" i="71"/>
  <c r="AB15" i="71"/>
  <c r="AA17" i="71"/>
  <c r="S56" i="71"/>
  <c r="B55" i="71"/>
  <c r="X12" i="71"/>
  <c r="Y9" i="71"/>
  <c r="Z9" i="71" s="1"/>
  <c r="AB9" i="71"/>
  <c r="X6" i="71"/>
  <c r="AA5" i="71"/>
  <c r="X5" i="71"/>
  <c r="AH10" i="43"/>
  <c r="AD10" i="43"/>
  <c r="Z10" i="43"/>
  <c r="AG10" i="43"/>
  <c r="AC10" i="43"/>
  <c r="AA12" i="71"/>
  <c r="AB12" i="71"/>
  <c r="B12" i="71"/>
  <c r="C12" i="71"/>
  <c r="Y11" i="71"/>
  <c r="Z11" i="71" s="1"/>
  <c r="Y10" i="71"/>
  <c r="Z10" i="71" s="1"/>
  <c r="AA11" i="71"/>
  <c r="AB11" i="71"/>
  <c r="AA6" i="71"/>
  <c r="Y6" i="71"/>
  <c r="Z6" i="71" s="1"/>
  <c r="AB6" i="71"/>
  <c r="F59" i="15"/>
  <c r="M17" i="67"/>
  <c r="M17" i="15"/>
  <c r="F59" i="67"/>
  <c r="C16" i="15"/>
  <c r="C14" i="15"/>
  <c r="C14" i="67"/>
  <c r="C17" i="15"/>
  <c r="G1" i="73"/>
  <c r="C16" i="67"/>
  <c r="C17" i="67"/>
  <c r="I30" i="66" l="1"/>
  <c r="D1" i="66" s="1"/>
  <c r="E19" i="66" s="1"/>
  <c r="AA43" i="39"/>
  <c r="S43" i="39"/>
  <c r="AC44" i="39"/>
  <c r="W44" i="39"/>
  <c r="U43" i="39"/>
  <c r="AB43" i="39"/>
  <c r="S45" i="39"/>
  <c r="AA45" i="39"/>
  <c r="AA29" i="39"/>
  <c r="S29" i="39"/>
  <c r="S21" i="39"/>
  <c r="AA21" i="39"/>
  <c r="U21" i="39"/>
  <c r="AB21" i="39"/>
  <c r="C49" i="67"/>
  <c r="F30" i="69"/>
  <c r="F30" i="11"/>
  <c r="F32" i="67"/>
  <c r="F60" i="67" s="1"/>
  <c r="F28" i="67"/>
  <c r="C28" i="67" s="1"/>
  <c r="F32" i="15"/>
  <c r="F60" i="15" s="1"/>
  <c r="G16" i="1"/>
  <c r="D103" i="43"/>
  <c r="N102" i="43"/>
  <c r="E105" i="43"/>
  <c r="D113" i="43"/>
  <c r="D109" i="43"/>
  <c r="N109" i="43"/>
  <c r="M102" i="43"/>
  <c r="M106" i="43"/>
  <c r="E69" i="3"/>
  <c r="E114" i="3"/>
  <c r="E278" i="3"/>
  <c r="E528" i="3"/>
  <c r="E565" i="3"/>
  <c r="E183" i="3"/>
  <c r="E213" i="3"/>
  <c r="E361"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413" i="3"/>
  <c r="E435" i="3"/>
  <c r="E460" i="3"/>
  <c r="E491" i="3"/>
  <c r="E237" i="3"/>
  <c r="E261" i="3"/>
  <c r="E415" i="3"/>
  <c r="E563" i="3"/>
  <c r="E395" i="3"/>
  <c r="E172" i="3"/>
  <c r="E260" i="3"/>
  <c r="E445"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03" i="3"/>
  <c r="E363" i="3"/>
  <c r="E348" i="3"/>
  <c r="E292" i="3"/>
  <c r="E259" i="3"/>
  <c r="E241" i="3"/>
  <c r="E297" i="3"/>
  <c r="E258" i="3"/>
  <c r="E240" i="3"/>
  <c r="E192" i="3"/>
  <c r="E155" i="3"/>
  <c r="E132" i="3"/>
  <c r="E187" i="3"/>
  <c r="E152" i="3"/>
  <c r="E131" i="3"/>
  <c r="E95" i="3"/>
  <c r="E57" i="3"/>
  <c r="E37" i="3"/>
  <c r="E90" i="3"/>
  <c r="E56" i="3"/>
  <c r="E39" i="3"/>
  <c r="E479" i="3"/>
  <c r="E436" i="3"/>
  <c r="E417" i="3"/>
  <c r="E520" i="3"/>
  <c r="E476" i="3"/>
  <c r="D22" i="43"/>
  <c r="C15" i="15"/>
  <c r="C18" i="15"/>
  <c r="E62" i="39"/>
  <c r="E57" i="40"/>
  <c r="AC6" i="3"/>
  <c r="H6" i="3"/>
  <c r="H107" i="43"/>
  <c r="H102" i="43"/>
  <c r="H104" i="43"/>
  <c r="E106" i="43"/>
  <c r="E103" i="43"/>
  <c r="F28" i="12"/>
  <c r="C29" i="12" s="1"/>
  <c r="D28" i="12" s="1"/>
  <c r="F27" i="69"/>
  <c r="C29" i="69" s="1"/>
  <c r="D27" i="69" s="1"/>
  <c r="F27" i="68"/>
  <c r="F27" i="11"/>
  <c r="F106" i="43"/>
  <c r="F107" i="43"/>
  <c r="K107" i="43"/>
  <c r="K104" i="43"/>
  <c r="K106" i="43"/>
  <c r="G102" i="43"/>
  <c r="G107" i="43"/>
  <c r="G104" i="43"/>
  <c r="G106" i="43"/>
  <c r="G105" i="43"/>
  <c r="G103" i="43"/>
  <c r="G109" i="43"/>
  <c r="J107" i="43"/>
  <c r="J102" i="43"/>
  <c r="J109" i="43"/>
  <c r="J104" i="43"/>
  <c r="J105" i="43"/>
  <c r="J103" i="43"/>
  <c r="J106" i="43"/>
  <c r="I104" i="43"/>
  <c r="I105" i="43"/>
  <c r="I107" i="43"/>
  <c r="N103" i="43"/>
  <c r="N107" i="43"/>
  <c r="N106" i="43"/>
  <c r="C106" i="43"/>
  <c r="C105" i="43"/>
  <c r="C102" i="43"/>
  <c r="C109" i="43"/>
  <c r="C104" i="43"/>
  <c r="C107" i="43"/>
  <c r="C103" i="43"/>
  <c r="D106" i="43"/>
  <c r="D105" i="43"/>
  <c r="D102" i="43"/>
  <c r="F10" i="40"/>
  <c r="AA10" i="40" s="1"/>
  <c r="J10" i="40"/>
  <c r="H10" i="39"/>
  <c r="F10" i="39"/>
  <c r="AA10" i="39" s="1"/>
  <c r="J10" i="39"/>
  <c r="W10" i="39" s="1"/>
  <c r="H10" i="40"/>
  <c r="AB10" i="40" s="1"/>
  <c r="K4" i="4"/>
  <c r="B46" i="48" s="1"/>
  <c r="B4" i="72" s="1"/>
  <c r="B4" i="62"/>
  <c r="B71" i="72" s="1"/>
  <c r="S10" i="40"/>
  <c r="G63" i="40"/>
  <c r="F65" i="40"/>
  <c r="J7" i="21"/>
  <c r="F7" i="33"/>
  <c r="S7" i="33" s="1"/>
  <c r="J7" i="35"/>
  <c r="H7" i="21"/>
  <c r="U7" i="21" s="1"/>
  <c r="F7" i="34"/>
  <c r="H7" i="34"/>
  <c r="AB7" i="34" s="1"/>
  <c r="T49" i="34" s="1"/>
  <c r="G49" i="34" s="1"/>
  <c r="S10" i="39"/>
  <c r="E70" i="39"/>
  <c r="F68" i="39"/>
  <c r="C18" i="67"/>
  <c r="C15" i="67"/>
  <c r="B40" i="1"/>
  <c r="B11" i="71"/>
  <c r="B10" i="71" s="1"/>
  <c r="B9" i="71" s="1"/>
  <c r="B8" i="71" s="1"/>
  <c r="S12" i="71"/>
  <c r="N55" i="71"/>
  <c r="B54" i="71"/>
  <c r="F1" i="15"/>
  <c r="Q52" i="15"/>
  <c r="F1" i="67"/>
  <c r="Q52" i="67"/>
  <c r="AB38" i="40"/>
  <c r="U38" i="40"/>
  <c r="AA38" i="40"/>
  <c r="S38" i="40"/>
  <c r="U39" i="40"/>
  <c r="AB39" i="40"/>
  <c r="AB24" i="36"/>
  <c r="U24" i="36"/>
  <c r="U12" i="36"/>
  <c r="AB12" i="36"/>
  <c r="AB9" i="34"/>
  <c r="U9" i="34"/>
  <c r="W28" i="33"/>
  <c r="AC28" i="33"/>
  <c r="U28" i="33"/>
  <c r="AB28" i="33"/>
  <c r="S31" i="21"/>
  <c r="AA31" i="21"/>
  <c r="AB28" i="34"/>
  <c r="U28" i="34"/>
  <c r="E56" i="40"/>
  <c r="E61" i="39"/>
  <c r="E16" i="6"/>
  <c r="AC10" i="39"/>
  <c r="W7" i="37"/>
  <c r="AC7" i="37"/>
  <c r="V42" i="37" s="1"/>
  <c r="I42" i="37" s="1"/>
  <c r="W7" i="21"/>
  <c r="AC7" i="21"/>
  <c r="V48" i="21" s="1"/>
  <c r="I48" i="21" s="1"/>
  <c r="K14" i="1"/>
  <c r="E30" i="6"/>
  <c r="AA7" i="33"/>
  <c r="R48" i="33" s="1"/>
  <c r="AC7" i="35"/>
  <c r="V38" i="35" s="1"/>
  <c r="I38" i="35" s="1"/>
  <c r="W7" i="35"/>
  <c r="C39" i="43"/>
  <c r="C38" i="43"/>
  <c r="C36" i="43"/>
  <c r="C35" i="43"/>
  <c r="C37" i="43"/>
  <c r="C33" i="43"/>
  <c r="C34" i="43"/>
  <c r="W7" i="34"/>
  <c r="AC7" i="34"/>
  <c r="V49" i="34" s="1"/>
  <c r="I49" i="34" s="1"/>
  <c r="AB7" i="21"/>
  <c r="T48" i="21" s="1"/>
  <c r="G48" i="21" s="1"/>
  <c r="S7" i="34"/>
  <c r="AA7" i="34"/>
  <c r="R49" i="34" s="1"/>
  <c r="U7" i="34"/>
  <c r="L56" i="15"/>
  <c r="Q74" i="67"/>
  <c r="Q61" i="67"/>
  <c r="M11" i="15"/>
  <c r="F11" i="15"/>
  <c r="F11" i="67"/>
  <c r="M11" i="67"/>
  <c r="J10" i="67" s="1"/>
  <c r="J5" i="67" s="1"/>
  <c r="Q61" i="15"/>
  <c r="Q74" i="15"/>
  <c r="P28" i="43"/>
  <c r="N28" i="43"/>
  <c r="M28" i="43"/>
  <c r="O28" i="43"/>
  <c r="C11" i="71"/>
  <c r="D12" i="71"/>
  <c r="U12" i="71" s="1"/>
  <c r="T12" i="71"/>
  <c r="AC38" i="40"/>
  <c r="W38" i="40"/>
  <c r="AC39" i="40"/>
  <c r="W39" i="40"/>
  <c r="AC24" i="36"/>
  <c r="W24" i="36"/>
  <c r="AC12" i="36"/>
  <c r="W12" i="36"/>
  <c r="BL5" i="3"/>
  <c r="AZ532" i="3"/>
  <c r="AZ5" i="3" s="1"/>
  <c r="AZ536" i="3"/>
  <c r="AZ544" i="3"/>
  <c r="AC9" i="34"/>
  <c r="W9" i="34"/>
  <c r="AA28" i="33"/>
  <c r="S28" i="33"/>
  <c r="AZ526" i="3"/>
  <c r="W28" i="34"/>
  <c r="AC28" i="34"/>
  <c r="W28" i="21"/>
  <c r="AC28" i="21"/>
  <c r="E63" i="39"/>
  <c r="E58" i="40"/>
  <c r="BA5" i="3"/>
  <c r="E27" i="6" s="1"/>
  <c r="E31" i="6" s="1"/>
  <c r="E59" i="40"/>
  <c r="E64" i="39"/>
  <c r="AB10" i="39"/>
  <c r="U10" i="39"/>
  <c r="G46" i="36"/>
  <c r="S7" i="21"/>
  <c r="AA7" i="21"/>
  <c r="R48" i="21" s="1"/>
  <c r="F30" i="6"/>
  <c r="F31" i="6" s="1"/>
  <c r="C30" i="68"/>
  <c r="C48" i="68"/>
  <c r="E6" i="3"/>
  <c r="H7" i="33"/>
  <c r="J7" i="33"/>
  <c r="F7" i="35"/>
  <c r="H7" i="35"/>
  <c r="H7" i="37"/>
  <c r="F7" i="37"/>
  <c r="T8" i="43"/>
  <c r="V8" i="43" s="1"/>
  <c r="T13" i="43"/>
  <c r="V13" i="43" s="1"/>
  <c r="T16" i="43"/>
  <c r="V16" i="43" s="1"/>
  <c r="T15" i="43"/>
  <c r="V15" i="43" s="1"/>
  <c r="T9" i="43"/>
  <c r="V9" i="43" s="1"/>
  <c r="T12" i="43"/>
  <c r="V12" i="43" s="1"/>
  <c r="T10" i="43"/>
  <c r="V10" i="43" s="1"/>
  <c r="T11" i="43"/>
  <c r="V11" i="43" s="1"/>
  <c r="T14" i="43"/>
  <c r="V14" i="43" s="1"/>
  <c r="Q73" i="67"/>
  <c r="Q60" i="67"/>
  <c r="Q73" i="15"/>
  <c r="Q60" i="15"/>
  <c r="J6" i="15"/>
  <c r="J18" i="67"/>
  <c r="C32" i="67"/>
  <c r="AE6" i="1"/>
  <c r="C36" i="66" l="1"/>
  <c r="C19" i="15"/>
  <c r="C20" i="15" s="1"/>
  <c r="C47" i="69"/>
  <c r="D45" i="69" s="1"/>
  <c r="C48" i="69"/>
  <c r="C30" i="69"/>
  <c r="C48" i="11"/>
  <c r="C30" i="11"/>
  <c r="U10" i="40"/>
  <c r="C29" i="11"/>
  <c r="D27" i="11" s="1"/>
  <c r="C47" i="11"/>
  <c r="D45" i="11" s="1"/>
  <c r="E66" i="39"/>
  <c r="C29" i="68"/>
  <c r="D27" i="68" s="1"/>
  <c r="C47" i="68"/>
  <c r="D45" i="68" s="1"/>
  <c r="S3" i="43"/>
  <c r="T3" i="43" s="1"/>
  <c r="V3" i="43" s="1"/>
  <c r="S2" i="43"/>
  <c r="T2" i="43" s="1"/>
  <c r="V2" i="43" s="1"/>
  <c r="S6" i="43"/>
  <c r="T6" i="43" s="1"/>
  <c r="V6" i="43" s="1"/>
  <c r="S4" i="43"/>
  <c r="T4" i="43" s="1"/>
  <c r="V4" i="43" s="1"/>
  <c r="S7" i="43"/>
  <c r="T7" i="43" s="1"/>
  <c r="V7" i="43" s="1"/>
  <c r="C23" i="43"/>
  <c r="C21" i="43" s="1"/>
  <c r="C29" i="43" s="1"/>
  <c r="C30" i="43" s="1"/>
  <c r="E30" i="43" s="1"/>
  <c r="S5" i="43"/>
  <c r="T5" i="43" s="1"/>
  <c r="V5" i="43" s="1"/>
  <c r="AC10" i="40"/>
  <c r="W10" i="40"/>
  <c r="C19" i="67"/>
  <c r="C20" i="67" s="1"/>
  <c r="C26" i="67" s="1"/>
  <c r="F70" i="39"/>
  <c r="G68" i="39"/>
  <c r="H63" i="40"/>
  <c r="G65" i="40"/>
  <c r="AY6" i="3"/>
  <c r="E3" i="6"/>
  <c r="J24" i="67"/>
  <c r="J26" i="67"/>
  <c r="J29" i="67" s="1"/>
  <c r="J18" i="15"/>
  <c r="J10" i="15"/>
  <c r="J5" i="15" s="1"/>
  <c r="U7" i="37"/>
  <c r="AB7" i="37"/>
  <c r="T42" i="37" s="1"/>
  <c r="G42" i="37" s="1"/>
  <c r="AA7" i="35"/>
  <c r="R38" i="35" s="1"/>
  <c r="S7" i="35"/>
  <c r="AB7" i="33"/>
  <c r="T48" i="33" s="1"/>
  <c r="G48" i="33" s="1"/>
  <c r="U7" i="33"/>
  <c r="H46" i="36"/>
  <c r="C53" i="15"/>
  <c r="C48" i="15" s="1"/>
  <c r="C10" i="15"/>
  <c r="G52" i="21"/>
  <c r="H52" i="21" s="1"/>
  <c r="G53" i="21"/>
  <c r="H53" i="21" s="1"/>
  <c r="G33" i="43"/>
  <c r="I33" i="43" s="1"/>
  <c r="E33" i="43"/>
  <c r="G35" i="43"/>
  <c r="I35" i="43" s="1"/>
  <c r="E35" i="43"/>
  <c r="E38" i="43"/>
  <c r="G38" i="43"/>
  <c r="I38" i="43" s="1"/>
  <c r="E48" i="33"/>
  <c r="R49" i="33"/>
  <c r="K19" i="6"/>
  <c r="S6" i="1" s="1"/>
  <c r="K26" i="6"/>
  <c r="M26" i="6" s="1"/>
  <c r="I26" i="6" s="1"/>
  <c r="S26" i="6" s="1"/>
  <c r="K24" i="6"/>
  <c r="M24" i="6" s="1"/>
  <c r="I24" i="6" s="1"/>
  <c r="S24" i="6" s="1"/>
  <c r="K25" i="6"/>
  <c r="M25" i="6" s="1"/>
  <c r="I25" i="6" s="1"/>
  <c r="S25" i="6" s="1"/>
  <c r="K21" i="6"/>
  <c r="M21" i="6" s="1"/>
  <c r="I21" i="6" s="1"/>
  <c r="S21" i="6" s="1"/>
  <c r="I52" i="21"/>
  <c r="J52" i="21" s="1"/>
  <c r="I46" i="37"/>
  <c r="J46" i="37" s="1"/>
  <c r="N54" i="71"/>
  <c r="N53" i="71"/>
  <c r="F22" i="11"/>
  <c r="F22" i="68"/>
  <c r="F24" i="67"/>
  <c r="C24" i="67" s="1"/>
  <c r="F25" i="12"/>
  <c r="C26" i="12" s="1"/>
  <c r="D25" i="12" s="1"/>
  <c r="F24" i="15"/>
  <c r="C24" i="15" s="1"/>
  <c r="F22" i="69"/>
  <c r="S7" i="37"/>
  <c r="AA7" i="37"/>
  <c r="R42" i="37" s="1"/>
  <c r="AB7" i="35"/>
  <c r="T38" i="35" s="1"/>
  <c r="G38" i="35" s="1"/>
  <c r="U7" i="35"/>
  <c r="W7" i="33"/>
  <c r="AC7" i="33"/>
  <c r="V48" i="33" s="1"/>
  <c r="I48" i="33" s="1"/>
  <c r="E48" i="21"/>
  <c r="R49" i="21"/>
  <c r="C10" i="71"/>
  <c r="D11" i="71"/>
  <c r="C53" i="67"/>
  <c r="C48" i="67" s="1"/>
  <c r="C10" i="67"/>
  <c r="C5" i="67" s="1"/>
  <c r="G54" i="34"/>
  <c r="H54" i="34" s="1"/>
  <c r="G53" i="34"/>
  <c r="H53" i="34" s="1"/>
  <c r="R50" i="34"/>
  <c r="E49" i="34"/>
  <c r="I53" i="34"/>
  <c r="J53" i="34" s="1"/>
  <c r="I54" i="34"/>
  <c r="J54" i="34" s="1"/>
  <c r="E34" i="43"/>
  <c r="G34" i="43"/>
  <c r="I34" i="43" s="1"/>
  <c r="E37" i="43"/>
  <c r="G37" i="43"/>
  <c r="I37" i="43" s="1"/>
  <c r="E36" i="43"/>
  <c r="G36" i="43"/>
  <c r="I36" i="43" s="1"/>
  <c r="E39" i="43"/>
  <c r="G39" i="43"/>
  <c r="I39" i="43" s="1"/>
  <c r="I42" i="35"/>
  <c r="J42" i="35" s="1"/>
  <c r="M14" i="1"/>
  <c r="C34" i="69"/>
  <c r="K16" i="1"/>
  <c r="K23" i="6"/>
  <c r="M23" i="6" s="1"/>
  <c r="I23" i="6" s="1"/>
  <c r="S23" i="6" s="1"/>
  <c r="K22" i="6"/>
  <c r="M22" i="6" s="1"/>
  <c r="I22" i="6" s="1"/>
  <c r="S22" i="6" s="1"/>
  <c r="K20" i="6"/>
  <c r="M20" i="6" s="1"/>
  <c r="I20" i="6" s="1"/>
  <c r="S20" i="6" s="1"/>
  <c r="B7" i="71"/>
  <c r="B6" i="71" s="1"/>
  <c r="B5" i="71" s="1"/>
  <c r="S8" i="71"/>
  <c r="F41" i="15"/>
  <c r="C40" i="66" l="1"/>
  <c r="C41" i="66"/>
  <c r="C39" i="66"/>
  <c r="F69" i="15"/>
  <c r="E29" i="43"/>
  <c r="C26" i="43" s="1"/>
  <c r="B2" i="43" s="1"/>
  <c r="AQ6" i="1"/>
  <c r="AR6" i="1"/>
  <c r="T6" i="1"/>
  <c r="S16" i="1"/>
  <c r="C23" i="15"/>
  <c r="C26" i="15"/>
  <c r="H68" i="39"/>
  <c r="G70" i="39"/>
  <c r="C27" i="43"/>
  <c r="H65" i="40"/>
  <c r="I63" i="40"/>
  <c r="C35" i="69"/>
  <c r="C38" i="69"/>
  <c r="C49" i="34"/>
  <c r="C50" i="34"/>
  <c r="C60" i="67"/>
  <c r="C66" i="67"/>
  <c r="D10" i="71"/>
  <c r="C9" i="71"/>
  <c r="C48" i="21"/>
  <c r="C49" i="21"/>
  <c r="I52" i="33"/>
  <c r="J52" i="33" s="1"/>
  <c r="I53" i="33"/>
  <c r="J53" i="33" s="1"/>
  <c r="R43" i="37"/>
  <c r="E42" i="37"/>
  <c r="C44" i="11"/>
  <c r="D41" i="11" s="1"/>
  <c r="C26" i="11"/>
  <c r="D22" i="11" s="1"/>
  <c r="C23" i="11"/>
  <c r="C49" i="33"/>
  <c r="C48" i="33"/>
  <c r="C66" i="15"/>
  <c r="C60" i="15"/>
  <c r="G52" i="33"/>
  <c r="H52" i="33" s="1"/>
  <c r="G53" i="33"/>
  <c r="H53" i="33" s="1"/>
  <c r="E38" i="35"/>
  <c r="R39" i="35"/>
  <c r="J24" i="15"/>
  <c r="J26" i="15"/>
  <c r="J29" i="15" s="1"/>
  <c r="C23" i="67"/>
  <c r="C29" i="67" s="1"/>
  <c r="D3" i="34"/>
  <c r="D3" i="33"/>
  <c r="E6" i="6"/>
  <c r="D37" i="11"/>
  <c r="C37" i="11" s="1"/>
  <c r="D14" i="12"/>
  <c r="M18" i="9"/>
  <c r="B118" i="9" s="1"/>
  <c r="B14" i="74" s="1"/>
  <c r="B1" i="74" s="1"/>
  <c r="D3" i="21"/>
  <c r="D19" i="11"/>
  <c r="C19" i="11" s="1"/>
  <c r="C17" i="4"/>
  <c r="B4" i="52" s="1"/>
  <c r="B43" i="72" s="1"/>
  <c r="L18" i="9"/>
  <c r="D3" i="37"/>
  <c r="T16" i="1"/>
  <c r="O14" i="1"/>
  <c r="O16" i="1" s="1"/>
  <c r="M16" i="1"/>
  <c r="E53" i="34"/>
  <c r="F53" i="34" s="1"/>
  <c r="E54" i="34"/>
  <c r="F54" i="34" s="1"/>
  <c r="C38" i="67"/>
  <c r="E52" i="21"/>
  <c r="F52" i="21" s="1"/>
  <c r="E53" i="21"/>
  <c r="F53" i="21" s="1"/>
  <c r="G42" i="35"/>
  <c r="H42" i="35" s="1"/>
  <c r="G43" i="35"/>
  <c r="H43" i="35" s="1"/>
  <c r="C26" i="69"/>
  <c r="D22" i="69" s="1"/>
  <c r="C44" i="69"/>
  <c r="D41" i="69" s="1"/>
  <c r="C26" i="68"/>
  <c r="D22" i="68" s="1"/>
  <c r="C44" i="68"/>
  <c r="D41" i="68" s="1"/>
  <c r="I53" i="21"/>
  <c r="J53" i="21" s="1"/>
  <c r="M19" i="6"/>
  <c r="K27" i="6"/>
  <c r="E53" i="33"/>
  <c r="F53" i="33" s="1"/>
  <c r="E52" i="33"/>
  <c r="F52" i="33" s="1"/>
  <c r="I46" i="36"/>
  <c r="G47" i="37"/>
  <c r="H47" i="37" s="1"/>
  <c r="G46" i="37"/>
  <c r="H46" i="3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6" i="76"/>
  <c r="B6" i="76"/>
  <c r="E35" i="66" l="1"/>
  <c r="U6" i="1" s="1"/>
  <c r="B2" i="33"/>
  <c r="B3" i="33" s="1"/>
  <c r="B2" i="21"/>
  <c r="B3" i="21" s="1"/>
  <c r="C29" i="15"/>
  <c r="J19" i="15" s="1"/>
  <c r="E2" i="76"/>
  <c r="J63" i="40"/>
  <c r="I65" i="40"/>
  <c r="H70" i="39"/>
  <c r="I68" i="39"/>
  <c r="B2" i="76"/>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C20" i="11"/>
  <c r="C25" i="11" s="1"/>
  <c r="C24" i="11"/>
  <c r="C28" i="11"/>
  <c r="C27" i="11" s="1"/>
  <c r="C14" i="12"/>
  <c r="D17" i="12"/>
  <c r="C17" i="12" s="1"/>
  <c r="D10" i="69"/>
  <c r="D10" i="68"/>
  <c r="D10" i="11"/>
  <c r="C10" i="11" s="1"/>
  <c r="D20" i="12"/>
  <c r="C20" i="12" s="1"/>
  <c r="C18" i="12" s="1"/>
  <c r="E43" i="35"/>
  <c r="F43" i="35" s="1"/>
  <c r="E42" i="35"/>
  <c r="F42" i="35" s="1"/>
  <c r="I43" i="35"/>
  <c r="J43" i="35" s="1"/>
  <c r="E47" i="37"/>
  <c r="F47" i="37" s="1"/>
  <c r="E46" i="37"/>
  <c r="F46" i="37" s="1"/>
  <c r="I47" i="37"/>
  <c r="J47" i="37" s="1"/>
  <c r="C8" i="71"/>
  <c r="D9" i="71"/>
  <c r="N16" i="1"/>
  <c r="C34" i="11"/>
  <c r="L16" i="1"/>
  <c r="C34" i="68"/>
  <c r="J46" i="36"/>
  <c r="M27" i="6"/>
  <c r="I19" i="6"/>
  <c r="P14" i="1"/>
  <c r="P16" i="1" s="1"/>
  <c r="C11" i="12" s="1"/>
  <c r="C8" i="74"/>
  <c r="C7" i="74"/>
  <c r="C57" i="67"/>
  <c r="C36" i="67"/>
  <c r="J14" i="67"/>
  <c r="Q49" i="67"/>
  <c r="J19" i="67"/>
  <c r="J17" i="67" s="1"/>
  <c r="C33" i="67"/>
  <c r="C31" i="67" s="1"/>
  <c r="C13" i="67"/>
  <c r="J59" i="67"/>
  <c r="J60" i="67" s="1"/>
  <c r="C38" i="35"/>
  <c r="C39" i="35"/>
  <c r="B2" i="35" s="1"/>
  <c r="B3" i="35" s="1"/>
  <c r="B3" i="43"/>
  <c r="C43" i="37"/>
  <c r="B2" i="37" s="1"/>
  <c r="B3" i="37" s="1"/>
  <c r="C42" i="37"/>
  <c r="B2" i="34"/>
  <c r="B3" i="34" s="1"/>
  <c r="F6" i="15"/>
  <c r="C6" i="15" l="1"/>
  <c r="C32" i="15" s="1"/>
  <c r="C36" i="15"/>
  <c r="C22" i="11"/>
  <c r="C31" i="11" s="1"/>
  <c r="D16" i="6"/>
  <c r="R25" i="6"/>
  <c r="C57" i="15"/>
  <c r="C64" i="15" s="1"/>
  <c r="J14" i="15"/>
  <c r="J22" i="15" s="1"/>
  <c r="C61" i="15"/>
  <c r="Q49" i="15"/>
  <c r="C33" i="15"/>
  <c r="C13" i="15"/>
  <c r="C56" i="15" s="1"/>
  <c r="C65" i="15" s="1"/>
  <c r="J59" i="15"/>
  <c r="J60" i="15" s="1"/>
  <c r="J13" i="15"/>
  <c r="J23" i="15" s="1"/>
  <c r="B3" i="76"/>
  <c r="K63" i="40"/>
  <c r="J65" i="40"/>
  <c r="J68" i="39"/>
  <c r="I70" i="39"/>
  <c r="C37" i="67"/>
  <c r="C30" i="67" s="1"/>
  <c r="C39" i="67" s="1"/>
  <c r="C75" i="67"/>
  <c r="Q70" i="67"/>
  <c r="C56" i="67"/>
  <c r="C65" i="67" s="1"/>
  <c r="J22" i="67"/>
  <c r="J13" i="67"/>
  <c r="J23" i="67" s="1"/>
  <c r="C64" i="67"/>
  <c r="C61" i="67"/>
  <c r="C59" i="67" s="1"/>
  <c r="S19" i="6"/>
  <c r="S27" i="6" s="1"/>
  <c r="I27" i="6"/>
  <c r="K46" i="36"/>
  <c r="F50" i="11"/>
  <c r="F50" i="68"/>
  <c r="F50" i="69"/>
  <c r="C7" i="71"/>
  <c r="T8" i="71"/>
  <c r="D8" i="71"/>
  <c r="U8" i="71" s="1"/>
  <c r="C10" i="68"/>
  <c r="D19" i="68"/>
  <c r="R23" i="6"/>
  <c r="A7" i="51"/>
  <c r="B7" i="72" s="1"/>
  <c r="C4" i="52"/>
  <c r="B45" i="72" s="1"/>
  <c r="A10" i="51"/>
  <c r="B9" i="72" s="1"/>
  <c r="D27" i="6"/>
  <c r="D31" i="6" s="1"/>
  <c r="R24" i="6"/>
  <c r="R22" i="6"/>
  <c r="Q48" i="67"/>
  <c r="L46" i="67"/>
  <c r="C12" i="12"/>
  <c r="C15" i="12"/>
  <c r="C35" i="68"/>
  <c r="C38" i="68"/>
  <c r="C38" i="11"/>
  <c r="C35" i="11"/>
  <c r="D19" i="69"/>
  <c r="C10" i="69"/>
  <c r="C8" i="69" s="1"/>
  <c r="C5" i="69" s="1"/>
  <c r="R26" i="6"/>
  <c r="D8" i="74"/>
  <c r="D7" i="74"/>
  <c r="H19" i="6"/>
  <c r="H27" i="6" s="1"/>
  <c r="R21" i="6"/>
  <c r="C5" i="15" l="1"/>
  <c r="C38" i="15" s="1"/>
  <c r="C33" i="11"/>
  <c r="C42" i="11" s="1"/>
  <c r="C75" i="15"/>
  <c r="Q70" i="15"/>
  <c r="C37" i="15"/>
  <c r="Q48" i="15"/>
  <c r="C16" i="12"/>
  <c r="C21" i="12" s="1"/>
  <c r="C22" i="12" s="1"/>
  <c r="C27" i="12" s="1"/>
  <c r="C25" i="12" s="1"/>
  <c r="J16" i="67"/>
  <c r="J25" i="67" s="1"/>
  <c r="K68" i="39"/>
  <c r="J70" i="39"/>
  <c r="K65" i="40"/>
  <c r="L63" i="40"/>
  <c r="C39" i="11"/>
  <c r="C43" i="11" s="1"/>
  <c r="C23" i="69"/>
  <c r="I5" i="6"/>
  <c r="I6" i="6"/>
  <c r="C19" i="69"/>
  <c r="C24" i="69" s="1"/>
  <c r="D37" i="69"/>
  <c r="C37" i="69" s="1"/>
  <c r="C33" i="69" s="1"/>
  <c r="Q69" i="67"/>
  <c r="Q68" i="67" s="1"/>
  <c r="C40" i="67"/>
  <c r="R19" i="6"/>
  <c r="C19" i="68"/>
  <c r="D37" i="68"/>
  <c r="C37" i="68" s="1"/>
  <c r="C33" i="68" s="1"/>
  <c r="C6" i="71"/>
  <c r="D7" i="71"/>
  <c r="L46" i="36"/>
  <c r="C58" i="67"/>
  <c r="C67" i="67" s="1"/>
  <c r="C68" i="67" s="1"/>
  <c r="C80" i="67"/>
  <c r="C79" i="67" s="1"/>
  <c r="L51" i="67"/>
  <c r="R27" i="6" l="1"/>
  <c r="R6" i="1"/>
  <c r="M63" i="40"/>
  <c r="L65" i="40"/>
  <c r="L68" i="39"/>
  <c r="K70" i="39"/>
  <c r="C30" i="12"/>
  <c r="C28" i="12" s="1"/>
  <c r="C32" i="12" s="1"/>
  <c r="B2" i="12" s="1"/>
  <c r="B3" i="12" s="1"/>
  <c r="C20" i="69"/>
  <c r="C25" i="69" s="1"/>
  <c r="C22" i="69" s="1"/>
  <c r="Q67" i="67"/>
  <c r="L57" i="67"/>
  <c r="L60" i="67" s="1"/>
  <c r="C42" i="68"/>
  <c r="C39" i="68"/>
  <c r="C43" i="68" s="1"/>
  <c r="Q56" i="67"/>
  <c r="C43" i="67"/>
  <c r="Q47" i="67"/>
  <c r="Q53" i="67" s="1"/>
  <c r="Q65" i="67"/>
  <c r="D2" i="67"/>
  <c r="C83" i="67"/>
  <c r="C82" i="67" s="1"/>
  <c r="C39" i="69"/>
  <c r="C43" i="69" s="1"/>
  <c r="C42" i="69"/>
  <c r="C41" i="11"/>
  <c r="C45" i="67"/>
  <c r="C46" i="67" s="1"/>
  <c r="C71" i="67"/>
  <c r="M46" i="36"/>
  <c r="C5" i="71"/>
  <c r="D6" i="71"/>
  <c r="C24" i="68"/>
  <c r="C46" i="11"/>
  <c r="C45" i="11" s="1"/>
  <c r="F35" i="15"/>
  <c r="M21" i="15"/>
  <c r="J20" i="15" l="1"/>
  <c r="J17" i="15" s="1"/>
  <c r="J16" i="15" s="1"/>
  <c r="J25" i="15" s="1"/>
  <c r="F63" i="15"/>
  <c r="C62" i="15" s="1"/>
  <c r="C59" i="15" s="1"/>
  <c r="C58" i="15" s="1"/>
  <c r="C67" i="15" s="1"/>
  <c r="C68" i="15" s="1"/>
  <c r="C71" i="15" s="1"/>
  <c r="C34" i="15"/>
  <c r="C31" i="15" s="1"/>
  <c r="C30" i="15" s="1"/>
  <c r="C39" i="15" s="1"/>
  <c r="R16" i="1"/>
  <c r="C49" i="11"/>
  <c r="C51" i="11" s="1"/>
  <c r="C52" i="11" s="1"/>
  <c r="B2" i="11" s="1"/>
  <c r="B3" i="11" s="1"/>
  <c r="C28" i="69"/>
  <c r="C27" i="69" s="1"/>
  <c r="C31" i="69" s="1"/>
  <c r="M68" i="39"/>
  <c r="L70" i="39"/>
  <c r="N63" i="40"/>
  <c r="M65" i="40"/>
  <c r="C46" i="68"/>
  <c r="C45" i="68" s="1"/>
  <c r="C41" i="68"/>
  <c r="B3" i="67"/>
  <c r="B2" i="67"/>
  <c r="D5" i="71"/>
  <c r="M20" i="43"/>
  <c r="N46" i="36"/>
  <c r="O46" i="36" s="1"/>
  <c r="C46" i="69"/>
  <c r="C45" i="69" s="1"/>
  <c r="C41" i="69"/>
  <c r="Q66" i="67"/>
  <c r="Q75" i="67" s="1"/>
  <c r="Q57" i="67"/>
  <c r="Q62" i="67" s="1"/>
  <c r="L51" i="15"/>
  <c r="Q67" i="15" l="1"/>
  <c r="L57" i="15"/>
  <c r="L60" i="15" s="1"/>
  <c r="C40" i="15"/>
  <c r="Q69" i="15"/>
  <c r="Q68" i="15" s="1"/>
  <c r="C80" i="15"/>
  <c r="C79" i="15" s="1"/>
  <c r="O63" i="40"/>
  <c r="O65" i="40" s="1"/>
  <c r="N65" i="40"/>
  <c r="N68" i="39"/>
  <c r="M70" i="39"/>
  <c r="F7" i="36"/>
  <c r="C56" i="11"/>
  <c r="C57" i="11" s="1"/>
  <c r="C49" i="68"/>
  <c r="C51" i="68" s="1"/>
  <c r="AA7" i="36"/>
  <c r="R36" i="36" s="1"/>
  <c r="S7" i="36"/>
  <c r="C49" i="69"/>
  <c r="C51" i="69" s="1"/>
  <c r="J7" i="36"/>
  <c r="H7" i="36"/>
  <c r="Q66" i="15" l="1"/>
  <c r="L46" i="15"/>
  <c r="B2" i="15" s="1"/>
  <c r="Q57" i="15"/>
  <c r="Q65" i="15"/>
  <c r="C83" i="15"/>
  <c r="C82" i="15" s="1"/>
  <c r="C43" i="15"/>
  <c r="Q56" i="15"/>
  <c r="C46" i="15"/>
  <c r="Q47" i="15"/>
  <c r="Q53" i="15" s="1"/>
  <c r="H7" i="40"/>
  <c r="F7" i="40"/>
  <c r="J7" i="40"/>
  <c r="O68" i="39"/>
  <c r="O70" i="39" s="1"/>
  <c r="N70" i="39"/>
  <c r="U7" i="36"/>
  <c r="AB7" i="36"/>
  <c r="T36" i="36" s="1"/>
  <c r="G36" i="36" s="1"/>
  <c r="C52" i="69"/>
  <c r="B2" i="69" s="1"/>
  <c r="B3" i="69" s="1"/>
  <c r="R37" i="36"/>
  <c r="E36" i="36"/>
  <c r="W7" i="36"/>
  <c r="AC7" i="36"/>
  <c r="V36" i="36" s="1"/>
  <c r="I36" i="36" s="1"/>
  <c r="AO6" i="1"/>
  <c r="D19" i="9"/>
  <c r="D102" i="9" l="1"/>
  <c r="D21" i="9"/>
  <c r="Q62" i="15"/>
  <c r="Q75" i="15"/>
  <c r="B6" i="70"/>
  <c r="B2" i="70" s="1"/>
  <c r="B3" i="70" s="1"/>
  <c r="B3" i="15"/>
  <c r="J7" i="39"/>
  <c r="F7" i="39"/>
  <c r="AC7" i="40"/>
  <c r="V42" i="40" s="1"/>
  <c r="I42" i="40" s="1"/>
  <c r="W7" i="40"/>
  <c r="AB7" i="40"/>
  <c r="T42" i="40" s="1"/>
  <c r="G42" i="40" s="1"/>
  <c r="U7" i="40"/>
  <c r="AA7" i="40"/>
  <c r="R42" i="40" s="1"/>
  <c r="S7" i="40"/>
  <c r="H7" i="39"/>
  <c r="G40" i="36"/>
  <c r="H40" i="36" s="1"/>
  <c r="G41" i="36"/>
  <c r="H41" i="36" s="1"/>
  <c r="I40" i="36"/>
  <c r="J40" i="36" s="1"/>
  <c r="I41" i="36"/>
  <c r="J41" i="36" s="1"/>
  <c r="E40" i="36"/>
  <c r="F40" i="36" s="1"/>
  <c r="E41" i="36"/>
  <c r="F41" i="36" s="1"/>
  <c r="C37" i="36"/>
  <c r="B2" i="36" s="1"/>
  <c r="B3" i="36" s="1"/>
  <c r="C36" i="36"/>
  <c r="C57" i="69"/>
  <c r="C56" i="69" s="1"/>
  <c r="D20" i="9"/>
  <c r="D103" i="9" l="1"/>
  <c r="AA7" i="39"/>
  <c r="R47" i="39" s="1"/>
  <c r="S7" i="39"/>
  <c r="U7" i="39"/>
  <c r="AB7" i="39"/>
  <c r="T47" i="39" s="1"/>
  <c r="G47" i="39" s="1"/>
  <c r="R43" i="40"/>
  <c r="E42" i="40"/>
  <c r="G47" i="40"/>
  <c r="H47" i="40" s="1"/>
  <c r="G46" i="40"/>
  <c r="H46" i="40" s="1"/>
  <c r="I46" i="40"/>
  <c r="J46" i="40" s="1"/>
  <c r="W7" i="39"/>
  <c r="AC7" i="39"/>
  <c r="V47" i="39" s="1"/>
  <c r="I47" i="39" s="1"/>
  <c r="I51" i="39" l="1"/>
  <c r="J51" i="39" s="1"/>
  <c r="E46" i="40"/>
  <c r="F46" i="40" s="1"/>
  <c r="E47" i="40"/>
  <c r="F47" i="40" s="1"/>
  <c r="G52" i="39"/>
  <c r="H52" i="39" s="1"/>
  <c r="G51" i="39"/>
  <c r="H51" i="39" s="1"/>
  <c r="I47" i="40"/>
  <c r="J47" i="40" s="1"/>
  <c r="C43" i="40"/>
  <c r="C42" i="40"/>
  <c r="E47" i="39"/>
  <c r="R48" i="39"/>
  <c r="E51" i="39" l="1"/>
  <c r="F51" i="39" s="1"/>
  <c r="E52" i="39"/>
  <c r="F52" i="39" s="1"/>
  <c r="B52" i="40"/>
  <c r="F52" i="40" s="1"/>
  <c r="B53" i="40"/>
  <c r="F53" i="40" s="1"/>
  <c r="B59" i="40"/>
  <c r="F59" i="40" s="1"/>
  <c r="B55" i="40"/>
  <c r="F55" i="40" s="1"/>
  <c r="B58" i="40"/>
  <c r="F58" i="40" s="1"/>
  <c r="B54" i="40"/>
  <c r="F54" i="40" s="1"/>
  <c r="B57" i="40"/>
  <c r="F57" i="40" s="1"/>
  <c r="B51" i="40"/>
  <c r="F51" i="40" s="1"/>
  <c r="F61" i="40"/>
  <c r="B2" i="40" s="1"/>
  <c r="B3" i="40" s="1"/>
  <c r="B56" i="40"/>
  <c r="F56" i="40" s="1"/>
  <c r="B60" i="40"/>
  <c r="F60" i="40" s="1"/>
  <c r="C47" i="39"/>
  <c r="C48" i="39"/>
  <c r="I52" i="39"/>
  <c r="J52" i="39" s="1"/>
  <c r="B56" i="39" l="1"/>
  <c r="F56" i="39" s="1"/>
  <c r="F66" i="39" s="1"/>
  <c r="B2" i="39" s="1"/>
  <c r="B60" i="39"/>
  <c r="F60" i="39" s="1"/>
  <c r="B62" i="39"/>
  <c r="F62" i="39" s="1"/>
  <c r="B63" i="39"/>
  <c r="F63" i="39" s="1"/>
  <c r="B57" i="39"/>
  <c r="F57" i="39" s="1"/>
  <c r="B61" i="39"/>
  <c r="F61" i="39" s="1"/>
  <c r="B65" i="39"/>
  <c r="F65" i="39" s="1"/>
  <c r="B64" i="39"/>
  <c r="F64" i="39" s="1"/>
  <c r="B59" i="39"/>
  <c r="F59" i="39" s="1"/>
  <c r="B58" i="39"/>
  <c r="F58" i="39" s="1"/>
  <c r="B3" i="39" l="1"/>
  <c r="C6" i="68"/>
  <c r="C7" i="68" l="1"/>
  <c r="C5" i="68" s="1"/>
  <c r="C23" i="68" l="1"/>
  <c r="C20" i="68"/>
  <c r="C25" i="68" s="1"/>
  <c r="C28" i="68" l="1"/>
  <c r="C27" i="68" s="1"/>
  <c r="C22" i="68"/>
  <c r="C31" i="68" l="1"/>
  <c r="C52" i="68" s="1"/>
  <c r="B2" i="68" s="1"/>
  <c r="C19" i="9"/>
  <c r="C57" i="68" l="1"/>
  <c r="C56" i="68" s="1"/>
  <c r="C102" i="9"/>
  <c r="D22" i="9"/>
  <c r="G19" i="9"/>
  <c r="C21" i="9"/>
  <c r="B3" i="68"/>
  <c r="D35" i="9"/>
  <c r="D34" i="9"/>
  <c r="C20" i="9"/>
  <c r="C103" i="9" l="1"/>
  <c r="G20" i="9"/>
  <c r="G21" i="9"/>
  <c r="C32" i="9"/>
  <c r="H118" i="9" l="1"/>
  <c r="C35" i="9"/>
  <c r="F118" i="9" s="1"/>
  <c r="C34" i="9" l="1"/>
  <c r="D118" i="9" s="1"/>
  <c r="D119" i="9" s="1"/>
  <c r="D5" i="52" s="1"/>
  <c r="B49" i="72" s="1"/>
  <c r="F4" i="52"/>
  <c r="B51" i="72" s="1"/>
  <c r="F119" i="9"/>
  <c r="F5" i="52" s="1"/>
  <c r="B53" i="72" s="1"/>
  <c r="G118" i="9"/>
  <c r="G4" i="52" s="1"/>
  <c r="B52" i="72" s="1"/>
  <c r="D14" i="74"/>
  <c r="C104" i="9"/>
  <c r="I118" i="9"/>
  <c r="H101" i="9"/>
  <c r="H4" i="52"/>
  <c r="H119" i="9"/>
  <c r="H5" i="52" s="1"/>
  <c r="D4" i="52" l="1"/>
  <c r="B47" i="72" s="1"/>
  <c r="D45" i="9"/>
  <c r="M48" i="9"/>
  <c r="H107" i="9"/>
  <c r="D5" i="53"/>
  <c r="E118" i="9"/>
  <c r="E4" i="52" s="1"/>
  <c r="B48" i="72" s="1"/>
  <c r="H102" i="9"/>
  <c r="D7" i="53" s="1"/>
  <c r="B21" i="72" s="1"/>
  <c r="C105" i="9"/>
  <c r="I4" i="52"/>
  <c r="F14" i="74"/>
  <c r="E14" i="74"/>
  <c r="B5" i="74"/>
  <c r="D6" i="53" l="1"/>
  <c r="B22" i="72" s="1"/>
  <c r="B20" i="72"/>
  <c r="C5" i="74"/>
  <c r="D5" i="74"/>
  <c r="H108" i="9"/>
  <c r="D15" i="53" s="1"/>
  <c r="B31" i="72" s="1"/>
  <c r="D122" i="9"/>
  <c r="D13" i="53"/>
  <c r="C85" i="9"/>
  <c r="D53" i="9"/>
  <c r="C78" i="9"/>
  <c r="C73" i="9" s="1"/>
  <c r="D52" i="9"/>
  <c r="C64" i="9"/>
  <c r="C63" i="9" s="1"/>
  <c r="C67" i="9" s="1"/>
  <c r="C68" i="9" s="1"/>
  <c r="D54" i="9" s="1"/>
  <c r="C93" i="9"/>
  <c r="C86" i="9" s="1"/>
  <c r="D55" i="9"/>
  <c r="M53" i="9" s="1"/>
  <c r="C72" i="9"/>
  <c r="C79" i="9" l="1"/>
  <c r="C80" i="9" s="1"/>
  <c r="E80" i="9" s="1"/>
  <c r="E81" i="9" s="1"/>
  <c r="B30" i="72"/>
  <c r="D14" i="53"/>
  <c r="B32" i="72" s="1"/>
  <c r="C95" i="9"/>
  <c r="D123" i="9"/>
  <c r="D9" i="52" s="1"/>
  <c r="G14" i="74"/>
  <c r="B6" i="74" s="1"/>
  <c r="D8" i="52"/>
  <c r="C81" i="9" l="1"/>
  <c r="D6" i="74"/>
  <c r="C6" i="74"/>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<sst xmlns="http://schemas.openxmlformats.org/spreadsheetml/2006/main" count="9307" uniqueCount="3580">
  <si>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</si>
  <si>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</si>
  <si>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</si>
  <si>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</si>
  <si>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</si>
  <si>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</si>
  <si>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</si>
  <si>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</si>
  <si>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</si>
  <si>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</si>
  <si>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</si>
  <si>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</si>
  <si>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</si>
  <si>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</si>
  <si>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</si>
  <si>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</si>
  <si>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</si>
  <si>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</si>
  <si>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</si>
  <si>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</si>
  <si>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</si>
  <si>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</si>
  <si>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</si>
  <si>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</si>
  <si>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</si>
  <si>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</si>
  <si>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</si>
  <si>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</si>
  <si>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</si>
  <si>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</si>
  <si>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</si>
  <si>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</si>
  <si>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</si>
  <si>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</si>
  <si>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</si>
  <si>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</si>
  <si>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</si>
  <si>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</si>
  <si>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</si>
  <si>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</si>
  <si>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</si>
  <si>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</si>
  <si>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</si>
  <si>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</si>
  <si>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</si>
  <si>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</si>
  <si>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</si>
  <si>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</si>
  <si>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</si>
  <si>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</si>
  <si>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</si>
  <si>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</si>
  <si>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</si>
  <si>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</si>
  <si>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</si>
  <si>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</si>
  <si>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</si>
  <si>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</si>
  <si>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</si>
  <si>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</si>
  <si>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</si>
  <si>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</si>
  <si>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</si>
  <si>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</si>
  <si>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</si>
  <si>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</si>
  <si>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</si>
  <si>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</si>
  <si>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</si>
  <si>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</si>
  <si>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</si>
  <si>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</si>
  <si>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</si>
  <si>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</si>
  <si>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</si>
  <si>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</si>
  <si>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</si>
  <si>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</si>
  <si>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</si>
  <si>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</si>
  <si>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</si>
  <si>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</si>
  <si>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</si>
  <si>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</si>
  <si>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</si>
  <si>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</si>
  <si>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</si>
  <si>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</si>
  <si>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</si>
  <si>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</si>
  <si>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</si>
  <si>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</si>
  <si>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</si>
  <si>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</si>
  <si>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</si>
  <si>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</si>
  <si>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</si>
  <si>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</si>
  <si>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</si>
  <si>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</si>
  <si>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</si>
  <si>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</si>
  <si>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</si>
  <si>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</si>
  <si>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</si>
  <si>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</si>
  <si>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</si>
  <si>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</si>
  <si>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</si>
  <si>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</si>
  <si>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</si>
  <si>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</si>
  <si>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</si>
  <si>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</si>
  <si>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</si>
  <si>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</si>
  <si>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</si>
  <si>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</si>
  <si>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</si>
  <si>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</si>
  <si>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</si>
  <si>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</si>
  <si>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</si>
  <si>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</si>
  <si>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</si>
  <si>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</si>
  <si>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</si>
  <si>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</si>
  <si>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</si>
  <si>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</si>
  <si>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</si>
  <si>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</si>
  <si>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</si>
  <si>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</si>
  <si>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</si>
  <si>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</si>
  <si>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</si>
  <si>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</si>
  <si>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</si>
  <si>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</si>
  <si>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</si>
  <si>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</si>
  <si>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</si>
  <si>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</si>
  <si>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</si>
  <si>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</si>
  <si>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</si>
  <si>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</si>
  <si>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</si>
  <si>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</si>
  <si>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</si>
  <si>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</si>
  <si>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</si>
  <si>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</si>
  <si>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</si>
  <si>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</si>
  <si>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</si>
  <si>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</si>
  <si>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</si>
  <si>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</si>
  <si>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</si>
  <si>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</si>
  <si>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</si>
  <si>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</si>
  <si>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</si>
  <si>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</si>
  <si>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</si>
  <si>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</si>
  <si>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</si>
  <si>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</si>
  <si>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</si>
  <si>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</si>
  <si>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</si>
  <si>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</si>
  <si>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</si>
  <si>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</si>
  <si>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</si>
  <si>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</si>
  <si>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</si>
  <si>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</si>
  <si>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</si>
  <si>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</si>
  <si>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</si>
  <si>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</si>
  <si>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</si>
  <si>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</si>
  <si>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</si>
  <si>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</si>
  <si>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</si>
  <si>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</si>
  <si>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</si>
  <si>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</si>
  <si>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</si>
  <si>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</si>
  <si>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</si>
  <si>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</si>
  <si>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</si>
  <si>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</si>
  <si>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</si>
  <si>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</si>
  <si>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</si>
  <si>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</si>
  <si>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</si>
  <si>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</si>
  <si>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</si>
  <si>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</si>
  <si>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</si>
  <si>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</si>
  <si>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</si>
  <si>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</si>
  <si>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</si>
  <si>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</si>
  <si>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</si>
  <si>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</si>
  <si>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</si>
  <si>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</si>
  <si>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</si>
  <si>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</si>
  <si>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</si>
  <si>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</si>
  <si>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</si>
  <si>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</si>
  <si>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</si>
  <si>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</si>
  <si>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</si>
  <si>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</si>
  <si>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</si>
  <si>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</si>
  <si>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</si>
  <si>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</si>
  <si>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</si>
  <si>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</si>
  <si>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</si>
  <si>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</si>
  <si>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</si>
  <si>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</si>
  <si>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</si>
  <si>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</si>
  <si>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</si>
  <si>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</si>
  <si>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</si>
  <si>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</si>
  <si>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</si>
  <si>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</si>
  <si>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</si>
  <si>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</si>
  <si>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</si>
  <si>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</si>
  <si>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</si>
  <si>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</si>
  <si>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</si>
  <si>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</si>
  <si>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</si>
  <si>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</si>
  <si>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</si>
  <si>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</si>
  <si>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</si>
  <si>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</si>
  <si>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</si>
  <si>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</si>
  <si>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</si>
  <si>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</si>
  <si>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</si>
  <si>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</si>
  <si>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</si>
  <si>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</si>
  <si>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</si>
  <si>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</si>
  <si>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</si>
  <si>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</si>
  <si>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</si>
  <si>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</si>
  <si>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</si>
  <si>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</si>
  <si>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</si>
  <si>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</si>
  <si>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</si>
  <si>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</si>
  <si>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</si>
  <si>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</si>
  <si>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</si>
  <si>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</si>
  <si>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</si>
  <si>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</si>
  <si>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</si>
  <si>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</si>
  <si>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</si>
  <si>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</si>
  <si>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</si>
  <si>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</si>
  <si>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</si>
  <si>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</si>
  <si>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</si>
  <si>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</si>
  <si>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</si>
  <si>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</si>
  <si>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</si>
  <si>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</si>
  <si>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</si>
  <si>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</si>
  <si>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</si>
  <si>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</si>
  <si>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</si>
  <si>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</si>
  <si>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</si>
  <si>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</si>
  <si>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</si>
  <si>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</si>
  <si>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</si>
  <si>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</si>
  <si>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</si>
  <si>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</si>
  <si>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</si>
  <si>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</si>
  <si>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</si>
  <si>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</si>
  <si>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</si>
  <si>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</si>
  <si>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</si>
  <si>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</si>
  <si>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</si>
  <si>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</si>
  <si>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</si>
  <si>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</si>
  <si>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</si>
  <si>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</si>
  <si>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</si>
  <si>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</si>
  <si>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</si>
  <si>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</si>
  <si>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</si>
  <si>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</si>
  <si>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</si>
  <si>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</si>
  <si>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</si>
  <si>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</si>
  <si>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</si>
  <si>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</si>
  <si>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</si>
  <si>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</si>
  <si>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</si>
  <si>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</si>
  <si>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</si>
  <si>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</si>
  <si>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</si>
  <si>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</si>
  <si>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</si>
  <si>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</si>
  <si>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</si>
  <si>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</si>
  <si>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</si>
  <si>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</si>
  <si>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</si>
  <si>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</si>
  <si>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</si>
  <si>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</si>
  <si>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</si>
  <si>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</si>
  <si>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</si>
  <si>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</si>
  <si>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</si>
  <si>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</si>
  <si>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</si>
  <si>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</si>
  <si>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</si>
  <si>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</si>
  <si>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</si>
  <si>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</si>
  <si>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</si>
  <si>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</si>
  <si>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</si>
  <si>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</si>
  <si>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</si>
  <si>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</si>
  <si>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</si>
  <si>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</si>
  <si>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</si>
  <si>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</si>
  <si>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</si>
  <si>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</si>
  <si>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</si>
  <si>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</si>
  <si>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</si>
  <si>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</si>
  <si>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</si>
  <si>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</si>
  <si>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</si>
  <si>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</si>
  <si>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</si>
  <si>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</si>
  <si>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</si>
  <si>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</si>
  <si>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</si>
  <si>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</si>
  <si>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</si>
  <si>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</si>
  <si>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</si>
  <si>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</si>
  <si>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</si>
  <si>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</si>
  <si>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</si>
  <si>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</si>
  <si>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</si>
  <si>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</si>
  <si>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</si>
  <si>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</si>
  <si>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</si>
  <si>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</si>
  <si>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</si>
  <si>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</si>
  <si>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</si>
  <si>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</si>
  <si>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</si>
  <si>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</si>
  <si>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</si>
  <si>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</si>
  <si>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</si>
  <si>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</si>
  <si>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</si>
  <si>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</si>
  <si>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</si>
  <si>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</si>
  <si>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</si>
  <si>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</si>
  <si>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</si>
  <si>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</si>
  <si>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</si>
  <si>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</si>
  <si>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</si>
  <si>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</si>
  <si>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</si>
  <si>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</si>
  <si>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</si>
  <si>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</si>
  <si>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</si>
  <si>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</si>
  <si>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</si>
  <si>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</si>
  <si>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</si>
  <si>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</si>
  <si>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</si>
  <si>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</si>
  <si>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</si>
  <si>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</si>
  <si>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</si>
  <si>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</si>
  <si>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</si>
  <si>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</si>
  <si>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</si>
  <si>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</si>
  <si>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</si>
  <si>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</si>
  <si>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</si>
  <si>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</si>
  <si>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</si>
  <si>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</si>
  <si>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</si>
  <si>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</si>
  <si>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</si>
  <si>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</si>
  <si>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</si>
  <si>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</si>
  <si>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</si>
  <si>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</si>
  <si>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</si>
  <si>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</si>
  <si>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</si>
  <si>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</si>
  <si>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</si>
  <si>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</si>
  <si>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</si>
  <si>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</si>
  <si>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</si>
  <si>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</si>
  <si>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</si>
  <si>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</si>
  <si>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</si>
  <si>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</si>
  <si>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</si>
  <si>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</si>
  <si>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</si>
  <si>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</si>
  <si>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</si>
  <si>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</si>
  <si>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</si>
  <si>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</si>
  <si>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</si>
  <si>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</si>
  <si>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</si>
  <si>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</si>
  <si>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</si>
  <si>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</si>
  <si>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</si>
  <si>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</si>
  <si>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</si>
  <si>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</si>
  <si>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</si>
  <si>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</si>
  <si>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</si>
  <si>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</si>
  <si>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</si>
  <si>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</si>
  <si>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</si>
  <si>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</si>
  <si>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</si>
  <si>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</si>
  <si>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</si>
  <si>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</si>
  <si>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</si>
  <si>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</si>
  <si>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</si>
  <si>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</si>
  <si>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</si>
  <si>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</si>
  <si>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</si>
  <si>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</si>
  <si>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</si>
  <si>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</si>
  <si>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</si>
  <si>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</si>
  <si>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</si>
  <si>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</si>
  <si>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</si>
  <si>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</si>
  <si>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</si>
  <si>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</si>
  <si>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</si>
  <si>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</si>
  <si>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</si>
  <si>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</si>
  <si>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</si>
  <si>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</si>
  <si>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</si>
  <si>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</si>
  <si>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</si>
  <si>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</si>
  <si>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</si>
  <si>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</si>
  <si>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</si>
  <si>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</si>
  <si>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</si>
  <si>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</si>
  <si>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</si>
  <si>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</si>
  <si>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</si>
  <si>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</si>
  <si>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</si>
  <si>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</si>
  <si>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</si>
  <si>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</si>
  <si>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</si>
  <si>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</si>
  <si>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</si>
  <si>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</si>
  <si>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</si>
  <si>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</si>
  <si>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</si>
  <si>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</si>
  <si>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</si>
  <si>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</si>
  <si>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</si>
  <si>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</si>
  <si>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</si>
  <si>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</si>
  <si>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</si>
  <si>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</si>
  <si>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</si>
  <si>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</si>
  <si>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</si>
  <si>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</si>
  <si>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</si>
  <si>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</si>
  <si>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</si>
  <si>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</si>
  <si>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</si>
  <si>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</si>
  <si>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</si>
  <si>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</si>
  <si>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</si>
  <si>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</si>
  <si>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</si>
  <si>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</si>
  <si>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</si>
  <si>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</si>
  <si>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</si>
  <si>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</si>
  <si>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</si>
  <si>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</si>
  <si>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</si>
  <si>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</si>
  <si>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</si>
  <si>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</si>
  <si>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</si>
  <si>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</si>
  <si>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</si>
  <si>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</si>
  <si>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</si>
  <si>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</si>
  <si>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</si>
  <si>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</si>
  <si>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</si>
  <si>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</si>
  <si>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</si>
  <si>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</si>
  <si>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</si>
  <si>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</si>
  <si>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</si>
  <si>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</si>
  <si>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</si>
  <si>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</si>
  <si>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</si>
  <si>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</si>
  <si>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</si>
  <si>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</si>
  <si>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</si>
  <si>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</si>
  <si>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</si>
  <si>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</si>
  <si>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</si>
  <si>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</si>
  <si>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</si>
  <si>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</si>
  <si>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</si>
  <si>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</si>
  <si>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</si>
  <si>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</si>
  <si>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</si>
  <si>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</si>
  <si>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</si>
  <si>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</si>
  <si>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</si>
  <si>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</si>
  <si>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</si>
  <si>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</si>
  <si>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</si>
  <si>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</si>
  <si>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</si>
  <si>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</si>
  <si>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</si>
  <si>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</si>
  <si>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</si>
  <si>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</si>
  <si>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</si>
  <si>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</si>
  <si>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</si>
  <si>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</si>
  <si>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</si>
  <si>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</si>
  <si>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</si>
  <si>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</si>
  <si>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</si>
  <si>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</si>
  <si>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</si>
  <si>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</si>
  <si>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</si>
  <si>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</si>
  <si>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</si>
  <si>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</si>
  <si>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</si>
  <si>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</si>
  <si>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</si>
  <si>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</si>
  <si>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</si>
  <si>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</si>
  <si>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</si>
  <si>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</si>
  <si>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</si>
  <si>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</si>
  <si>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</si>
  <si>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</si>
  <si>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</si>
  <si>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</si>
  <si>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</si>
  <si>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</si>
  <si>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</si>
  <si>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</si>
  <si>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</si>
  <si>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</si>
  <si>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</si>
  <si>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</si>
  <si>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</si>
  <si>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</si>
  <si>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</si>
  <si>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</si>
  <si>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</si>
  <si>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</si>
  <si>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</si>
  <si>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</si>
  <si>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</si>
  <si>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</si>
  <si>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</si>
  <si>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</si>
  <si>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</si>
  <si>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</si>
  <si>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</si>
  <si>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</si>
  <si>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</si>
  <si>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</si>
  <si>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</si>
  <si>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</si>
  <si>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</si>
  <si>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</si>
  <si>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</si>
  <si>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</si>
  <si>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</si>
  <si>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</si>
  <si>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</si>
  <si>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</si>
  <si>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</si>
  <si>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</si>
  <si>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</si>
  <si>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</si>
  <si>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</si>
  <si>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</si>
  <si>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</si>
  <si>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</si>
  <si>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</si>
  <si>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</si>
  <si>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</si>
  <si>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</si>
  <si>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</si>
  <si>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</si>
  <si>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</si>
  <si>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</si>
  <si>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</si>
  <si>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</si>
  <si>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</si>
  <si>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</si>
  <si>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</si>
  <si>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</si>
  <si>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</si>
  <si>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</si>
  <si>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</si>
  <si>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</si>
  <si>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</si>
  <si>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</si>
  <si>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</si>
  <si>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</si>
  <si>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</si>
  <si>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</si>
  <si>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</si>
  <si>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</si>
  <si>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</si>
  <si>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</si>
  <si>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</si>
  <si>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</si>
  <si>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</si>
  <si>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</si>
  <si>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</si>
  <si>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</si>
  <si>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</si>
  <si>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</si>
  <si>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</si>
  <si>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</si>
  <si>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</si>
  <si>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</si>
  <si>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</si>
  <si>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</si>
  <si>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</si>
  <si>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</si>
  <si>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</si>
  <si>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</si>
  <si>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</si>
  <si>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</si>
  <si>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</si>
  <si>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</si>
  <si>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</si>
  <si>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</si>
  <si>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</si>
  <si>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</si>
  <si>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</si>
  <si>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</si>
  <si>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</si>
  <si>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</si>
  <si>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</si>
  <si>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</si>
  <si>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</si>
  <si>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</si>
  <si>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</si>
  <si>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</si>
  <si>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</si>
  <si>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</si>
  <si>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</si>
  <si>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</si>
  <si>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</si>
  <si>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</si>
  <si>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</si>
  <si>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</si>
  <si>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</si>
  <si>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</si>
  <si>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</si>
  <si>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</si>
  <si>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</si>
  <si>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</si>
  <si>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</si>
  <si>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</si>
  <si>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</si>
  <si>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</si>
  <si>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</si>
  <si>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</si>
  <si>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</si>
  <si>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</si>
  <si>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</si>
  <si>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</si>
  <si>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</si>
  <si>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</si>
  <si>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</si>
  <si>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</si>
  <si>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</si>
  <si>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</si>
  <si>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</si>
  <si>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</si>
  <si>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</si>
  <si>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</si>
  <si>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</si>
  <si>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</si>
  <si>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</si>
  <si>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</si>
  <si>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</si>
  <si>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</si>
  <si>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</si>
  <si>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</si>
  <si>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</si>
  <si>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</si>
  <si>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</si>
  <si>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</si>
  <si>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</si>
  <si>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</si>
  <si>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</si>
  <si>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</si>
  <si>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</si>
  <si>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</si>
  <si>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</si>
  <si>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</si>
  <si>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</si>
  <si>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</si>
  <si>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</si>
  <si>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</si>
  <si>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</si>
  <si>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</si>
  <si>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</si>
  <si>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</si>
  <si>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</si>
  <si>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</si>
  <si>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</si>
  <si>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</si>
  <si>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</si>
  <si>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</si>
  <si>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</si>
  <si>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</si>
  <si>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</si>
  <si>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</si>
  <si>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</si>
  <si>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</si>
  <si>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</si>
  <si>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</si>
  <si>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</si>
  <si>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</si>
  <si>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</si>
  <si>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</si>
  <si>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</si>
  <si>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</si>
  <si>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</si>
  <si>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</si>
  <si>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</si>
  <si>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</si>
  <si>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</si>
  <si>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</si>
  <si>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</si>
  <si>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</si>
  <si>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</si>
  <si>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</si>
  <si>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</si>
  <si>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</si>
  <si>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</si>
  <si>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</si>
  <si>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</si>
  <si>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</si>
  <si>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</si>
  <si>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</si>
  <si>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</si>
  <si>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</si>
  <si>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</si>
  <si>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</si>
  <si>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</si>
  <si>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</si>
  <si>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</si>
  <si>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</si>
  <si>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</si>
  <si>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</si>
  <si>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</si>
  <si>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</si>
  <si>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</si>
  <si>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</si>
  <si>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</si>
  <si>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</si>
  <si>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</si>
  <si>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</si>
  <si>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</si>
  <si>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</si>
  <si>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</si>
  <si>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</si>
  <si>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</si>
  <si>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</si>
  <si>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</si>
  <si>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</si>
  <si>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</si>
  <si>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</si>
  <si>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</si>
  <si>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</si>
  <si>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</si>
  <si>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</si>
  <si>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</si>
  <si>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</si>
  <si>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</si>
  <si>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</si>
  <si>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</si>
  <si>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</si>
  <si>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</si>
  <si>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</si>
  <si>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</si>
  <si>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</si>
  <si>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</si>
  <si>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</si>
  <si>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</si>
  <si>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</si>
  <si>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</si>
  <si>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</si>
  <si>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</si>
  <si>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</si>
  <si>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</si>
  <si>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</si>
  <si>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</si>
  <si>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</si>
  <si>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</si>
  <si>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</si>
  <si>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</si>
  <si>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</si>
  <si>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</si>
  <si>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</si>
  <si>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</si>
  <si>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</si>
  <si>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</si>
  <si>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</si>
  <si>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</si>
  <si>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</si>
  <si>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</si>
  <si>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</si>
  <si>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</si>
  <si>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</si>
  <si>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</si>
  <si>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</si>
  <si>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</si>
  <si>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</si>
  <si>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</si>
  <si>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</si>
  <si>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</si>
  <si>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</si>
  <si>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</si>
  <si>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</si>
  <si>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</si>
  <si>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</si>
  <si>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</si>
  <si>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</si>
  <si>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</si>
  <si>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</si>
  <si>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</si>
  <si>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</si>
  <si>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</si>
  <si>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</si>
  <si>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</si>
  <si>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</si>
  <si>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</si>
  <si>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</si>
  <si>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</si>
  <si>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</si>
  <si>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</si>
  <si>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</si>
  <si>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</si>
  <si>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</si>
  <si>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</si>
  <si>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</si>
  <si>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</si>
  <si>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</si>
  <si>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</si>
  <si>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</si>
  <si>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</si>
  <si>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</si>
  <si>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</si>
  <si>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</si>
  <si>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</si>
  <si>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</si>
  <si>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</si>
  <si>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</si>
  <si>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</si>
  <si>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</si>
  <si>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</si>
  <si>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</si>
  <si>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</si>
  <si>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</si>
  <si>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</si>
  <si>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</si>
  <si>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</si>
  <si>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</si>
  <si>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</si>
  <si>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</si>
  <si>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</si>
  <si>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</si>
  <si>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</si>
  <si>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</si>
  <si>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</si>
  <si>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</si>
  <si>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</si>
  <si>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</si>
  <si>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</si>
  <si>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</si>
  <si>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</si>
  <si>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</si>
  <si>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</si>
  <si>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</si>
  <si>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</si>
  <si>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</si>
  <si>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</si>
  <si>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</si>
  <si>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</si>
  <si>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</si>
  <si>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</si>
  <si>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</si>
  <si>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</si>
  <si>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</si>
  <si>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</si>
  <si>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</si>
  <si>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</si>
  <si>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</si>
  <si>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</si>
  <si>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</si>
  <si>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</si>
  <si>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</si>
  <si>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</si>
  <si>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</si>
  <si>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</si>
  <si>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</si>
  <si>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</si>
  <si>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</si>
  <si>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</si>
  <si>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</si>
  <si>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</si>
  <si>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</si>
  <si>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</si>
  <si>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</si>
  <si>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</si>
  <si>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</si>
  <si>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</si>
  <si>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</si>
  <si>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</si>
  <si>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</si>
  <si>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</si>
  <si>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</si>
  <si>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</si>
  <si>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</si>
  <si>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</si>
  <si>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</si>
  <si>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</si>
  <si>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</si>
  <si>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</si>
  <si>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</si>
  <si>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</si>
  <si>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</si>
  <si>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</si>
  <si>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</si>
  <si>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</si>
  <si>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</si>
  <si>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</si>
  <si>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</si>
  <si>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</si>
  <si>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</si>
  <si>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</si>
  <si>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</si>
  <si>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</si>
  <si>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</si>
  <si>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</si>
  <si>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</si>
  <si>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</si>
  <si>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</si>
  <si>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</si>
  <si>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</si>
  <si>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</si>
  <si>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</si>
  <si>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</si>
  <si>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</si>
  <si>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</si>
  <si>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</si>
  <si>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</si>
  <si>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</si>
  <si>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</si>
  <si>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</si>
  <si>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</si>
  <si>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</si>
  <si>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</si>
  <si>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</si>
  <si>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</si>
  <si>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</si>
  <si>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</si>
  <si>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</si>
  <si>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</si>
  <si>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</si>
  <si>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</si>
  <si>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</si>
  <si>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</si>
  <si>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</si>
  <si>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</si>
  <si>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</si>
  <si>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</si>
  <si>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</si>
  <si>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</si>
  <si>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</si>
  <si>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</si>
  <si>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</si>
  <si>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</si>
  <si>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</si>
  <si>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</si>
  <si>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</si>
  <si>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</si>
  <si>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</si>
  <si>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</si>
  <si>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</si>
  <si>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</si>
  <si>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</si>
  <si>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</si>
  <si>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</si>
  <si>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</si>
  <si>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</si>
  <si>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</si>
  <si>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</si>
  <si>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</si>
  <si>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</si>
  <si>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</si>
  <si>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</si>
  <si>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</si>
  <si>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</si>
  <si>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</si>
  <si>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</si>
  <si>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</si>
  <si>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</si>
  <si>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</si>
  <si>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</si>
  <si>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</si>
  <si>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</si>
  <si>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</si>
  <si>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</si>
  <si>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</si>
  <si>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</si>
  <si>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</si>
  <si>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</si>
  <si>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</si>
  <si>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</si>
  <si>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</si>
  <si>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</si>
  <si>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</si>
  <si>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</si>
  <si>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</si>
  <si>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</si>
  <si>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</si>
  <si>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</si>
  <si>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</si>
  <si>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</si>
  <si>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</si>
  <si>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</si>
  <si>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</si>
  <si>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</si>
  <si>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</si>
  <si>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</si>
  <si>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</si>
  <si>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</si>
  <si>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</si>
  <si>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</si>
  <si>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</si>
  <si>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</si>
  <si>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</si>
  <si>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</si>
  <si>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</si>
  <si>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</si>
  <si>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</si>
  <si>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</si>
  <si>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</si>
  <si>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</si>
  <si>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</si>
  <si>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</si>
  <si>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</si>
  <si>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</si>
  <si>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</si>
  <si>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</si>
  <si>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</si>
  <si>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</si>
  <si>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</si>
  <si>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</si>
  <si>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</si>
  <si>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</si>
  <si>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</si>
  <si>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</si>
  <si>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</si>
  <si>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</si>
  <si>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</si>
  <si>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</si>
  <si>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</si>
  <si>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</si>
  <si>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</si>
  <si>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</si>
  <si>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</si>
  <si>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</si>
  <si>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</si>
  <si>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</si>
  <si>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</si>
  <si>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</si>
  <si>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</si>
  <si>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</si>
  <si>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</si>
  <si>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</si>
  <si>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</si>
  <si>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</si>
  <si>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</si>
  <si>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</si>
  <si>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</si>
  <si>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</si>
  <si>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</si>
  <si>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</si>
  <si>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</si>
  <si>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</si>
  <si>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</si>
  <si>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</si>
  <si>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</si>
  <si>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</si>
  <si>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</si>
  <si>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</si>
  <si>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</si>
  <si>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</si>
  <si>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</si>
  <si>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</si>
  <si>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</si>
  <si>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</si>
  <si>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</si>
  <si>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</si>
  <si>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</si>
  <si>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</si>
  <si>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</si>
  <si>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</si>
  <si>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</si>
  <si>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</si>
  <si>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</si>
  <si>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</si>
  <si>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</si>
  <si>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</si>
  <si>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</si>
  <si>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</si>
  <si>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</si>
  <si>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</si>
  <si>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</si>
  <si>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</si>
  <si>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</si>
  <si>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</si>
  <si>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</si>
  <si>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</si>
  <si>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</si>
  <si>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</si>
  <si>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</si>
  <si>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</si>
  <si>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</si>
  <si>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</si>
  <si>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</si>
  <si>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</si>
  <si>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</si>
  <si>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</si>
  <si>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</si>
  <si>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</si>
  <si>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</si>
  <si>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</si>
  <si>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</si>
  <si>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</si>
  <si>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</si>
  <si>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</si>
  <si>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</si>
  <si>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</si>
  <si>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</si>
  <si>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</si>
  <si>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</si>
  <si>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</si>
  <si>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</si>
  <si>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</si>
  <si>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</si>
  <si>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</si>
  <si>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</si>
  <si>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</si>
  <si>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</si>
  <si>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</si>
  <si>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</si>
  <si>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</si>
  <si>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</si>
  <si>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</si>
  <si>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</si>
  <si>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</si>
  <si>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</si>
  <si>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</si>
  <si>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</si>
  <si>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</si>
  <si>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</si>
  <si>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</si>
  <si>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</si>
  <si>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</si>
  <si>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</si>
  <si>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</si>
  <si>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</si>
  <si>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</si>
  <si>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</si>
  <si>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</si>
  <si>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</si>
  <si>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</si>
  <si>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</si>
  <si>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</si>
  <si>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</si>
  <si>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</si>
  <si>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</si>
  <si>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</si>
  <si>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</si>
  <si>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</si>
  <si>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</si>
  <si>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</si>
  <si>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</si>
  <si>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</si>
  <si>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</si>
  <si>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</si>
  <si>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</si>
  <si>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</si>
  <si>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</si>
  <si>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</si>
  <si>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</si>
  <si>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</si>
  <si>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</si>
  <si>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</si>
  <si>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</si>
  <si>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</si>
  <si>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</si>
  <si>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</si>
  <si>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</si>
  <si>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</si>
  <si>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</si>
  <si>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</si>
  <si>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</si>
  <si>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</si>
  <si>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</si>
  <si>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</si>
  <si>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</si>
  <si>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</si>
  <si>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</si>
  <si>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</si>
  <si>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</si>
  <si>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</si>
  <si>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</si>
  <si>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</si>
  <si>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</si>
  <si>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</si>
  <si>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</si>
  <si>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</si>
  <si>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</si>
  <si>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</si>
  <si>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</si>
  <si>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</si>
  <si>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</si>
  <si>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</si>
  <si>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</si>
  <si>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</si>
  <si>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</si>
  <si>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</si>
  <si>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</si>
  <si>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</si>
  <si>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</si>
  <si>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</si>
  <si>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</si>
  <si>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</si>
  <si>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</si>
  <si>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</si>
  <si>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</si>
  <si>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</si>
  <si>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</si>
  <si>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</si>
  <si>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</si>
  <si>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</si>
  <si>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</si>
  <si>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</si>
  <si>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</si>
  <si>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</si>
  <si>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</si>
  <si>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</si>
  <si>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</si>
  <si>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</si>
  <si>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</si>
  <si>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</si>
  <si>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</si>
  <si>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</si>
  <si>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</si>
  <si>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</si>
  <si>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</si>
  <si>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</si>
  <si>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</si>
  <si>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</si>
  <si>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</si>
  <si>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</si>
  <si>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</si>
  <si>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</si>
  <si>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</si>
  <si>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</si>
  <si>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</si>
  <si>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</si>
  <si>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</si>
  <si>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</si>
  <si>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</si>
  <si>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</si>
  <si>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</si>
  <si>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</si>
  <si>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</si>
  <si>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</si>
  <si>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</si>
  <si>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</si>
  <si>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</si>
  <si>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</si>
  <si>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</si>
  <si>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</si>
  <si>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</si>
  <si>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</si>
  <si>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</si>
  <si>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</si>
  <si>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</si>
  <si>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</si>
  <si>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</si>
  <si>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</si>
  <si>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</si>
  <si>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</si>
  <si>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</si>
  <si>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</si>
  <si>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</si>
  <si>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</si>
  <si>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</si>
  <si>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</si>
  <si>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</si>
  <si>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</si>
  <si>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</si>
  <si>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</si>
  <si>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</si>
  <si>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</si>
  <si>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</si>
  <si>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</si>
  <si>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</si>
  <si>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</si>
  <si>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</si>
  <si>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</si>
  <si>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</si>
  <si>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</si>
  <si>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</si>
  <si>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</si>
  <si>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</si>
  <si>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</si>
  <si>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</si>
  <si>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</si>
  <si>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</si>
  <si>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</si>
  <si>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</si>
  <si>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</si>
  <si>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</si>
  <si>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</si>
  <si>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</si>
  <si>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</si>
  <si>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</si>
  <si>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</si>
  <si>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</si>
  <si>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</si>
  <si>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</si>
  <si>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</si>
  <si>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</si>
  <si>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</si>
  <si>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</si>
  <si>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</si>
  <si>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</si>
  <si>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</si>
  <si>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</si>
  <si>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</si>
  <si>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</si>
  <si>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</si>
  <si>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</si>
  <si>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</si>
  <si>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</si>
  <si>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</si>
  <si>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</si>
  <si>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</si>
  <si>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</si>
  <si>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</si>
  <si>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</si>
  <si>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</si>
  <si>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</si>
  <si>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</si>
  <si>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</si>
  <si>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</si>
  <si>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</si>
  <si>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</si>
  <si>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</si>
  <si>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</si>
  <si>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</si>
  <si>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</si>
  <si>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</si>
  <si>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</si>
  <si>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</si>
  <si>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</si>
  <si>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</si>
  <si>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</si>
  <si>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</si>
  <si>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</si>
  <si>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</si>
  <si>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</si>
  <si>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</si>
  <si>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</si>
  <si>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</si>
  <si>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</si>
  <si>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</si>
  <si>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</si>
  <si>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</si>
  <si>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</si>
  <si>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</si>
  <si>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</si>
  <si>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</si>
  <si>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</si>
  <si>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</si>
  <si>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</si>
  <si>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</si>
  <si>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</si>
  <si>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</si>
  <si>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</si>
  <si>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</si>
  <si>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</si>
  <si>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</si>
  <si>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</si>
  <si>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</si>
  <si>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</si>
  <si>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</si>
  <si>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</si>
  <si>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</si>
  <si>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</si>
  <si>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</si>
  <si>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</si>
  <si>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</si>
  <si>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</si>
  <si>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</si>
  <si>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</si>
  <si>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</si>
  <si>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</si>
  <si>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</si>
  <si>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</si>
  <si>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</si>
  <si>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</si>
  <si>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</si>
  <si>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</si>
  <si>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</si>
  <si>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</si>
  <si>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</si>
  <si>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</si>
  <si>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</si>
  <si>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</si>
  <si>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</si>
  <si>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</si>
  <si>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</si>
  <si>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</si>
  <si>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</si>
  <si>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</si>
  <si>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</si>
  <si>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</si>
  <si>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</si>
  <si>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</si>
  <si>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</si>
  <si>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</si>
  <si>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</si>
  <si>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</si>
  <si>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</si>
  <si>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</si>
  <si>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</si>
  <si>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</si>
  <si>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</si>
  <si>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</si>
  <si>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</si>
  <si>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</si>
  <si>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</si>
  <si>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</si>
  <si>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</si>
  <si>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</si>
  <si>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</si>
  <si>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</si>
  <si>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</si>
  <si>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</si>
  <si>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</si>
  <si>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</si>
  <si>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</si>
  <si>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</si>
  <si>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</si>
  <si>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</si>
  <si>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</si>
  <si>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</si>
  <si>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</si>
  <si>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</si>
  <si>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</si>
  <si>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</si>
  <si>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</si>
  <si>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</si>
  <si>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</si>
  <si>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</si>
  <si>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</si>
  <si>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</si>
  <si>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</si>
  <si>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</si>
  <si>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</si>
  <si>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</si>
  <si>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</si>
  <si>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</si>
  <si>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</si>
  <si>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</si>
  <si>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</si>
  <si>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</si>
  <si>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</si>
  <si>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</si>
  <si>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</si>
  <si>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</si>
  <si>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</si>
  <si>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</si>
  <si>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</si>
  <si>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</si>
  <si>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</si>
  <si>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</si>
  <si>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</si>
  <si>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</si>
  <si>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</si>
  <si>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</si>
  <si>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</si>
  <si>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</si>
  <si>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</si>
  <si>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</si>
  <si>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</si>
  <si>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</si>
  <si>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</si>
  <si>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</si>
  <si>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</si>
  <si>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</si>
  <si>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</si>
  <si>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</si>
  <si>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</si>
  <si>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</si>
  <si>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</si>
  <si>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</si>
  <si>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</si>
  <si>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</si>
  <si>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</si>
  <si>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</si>
  <si>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</si>
  <si>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</si>
  <si>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</si>
  <si>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</si>
  <si>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</si>
  <si>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</si>
  <si>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</si>
  <si>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</si>
  <si>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</si>
  <si>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</si>
  <si>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</si>
  <si>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</si>
  <si>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</si>
  <si>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</si>
  <si>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</si>
  <si>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</si>
  <si>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</si>
  <si>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</si>
  <si>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</si>
  <si>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</si>
  <si>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</si>
  <si>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</si>
  <si>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</si>
  <si>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</si>
  <si>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</si>
  <si>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</si>
  <si>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</si>
  <si>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</si>
  <si>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</si>
  <si>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</si>
  <si>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</si>
  <si>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</si>
  <si>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</si>
  <si>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</si>
  <si>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</si>
  <si>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</si>
  <si>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</si>
  <si>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</si>
  <si>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</si>
  <si>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</si>
  <si>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</si>
  <si>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</si>
  <si>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</si>
  <si>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</si>
  <si>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</si>
  <si>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</si>
  <si>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</si>
  <si>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</si>
  <si>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</si>
  <si>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</si>
  <si>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</si>
  <si>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</si>
  <si>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</si>
  <si>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</si>
  <si>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</si>
  <si>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</si>
  <si>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</si>
  <si>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</si>
  <si>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</si>
  <si>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</si>
  <si>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</si>
  <si>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</si>
  <si>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</si>
  <si>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</si>
  <si>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</si>
  <si>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</si>
  <si>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</si>
  <si>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</si>
  <si>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</si>
  <si>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</si>
  <si>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</si>
  <si>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</si>
  <si>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</si>
  <si>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</si>
  <si>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</si>
  <si>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</si>
  <si>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</si>
  <si>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</si>
  <si>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</si>
  <si>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</si>
  <si>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</si>
  <si>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</si>
  <si>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</si>
  <si>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</si>
  <si>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</si>
  <si>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</si>
  <si>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</si>
  <si>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</si>
  <si>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</si>
  <si>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</si>
  <si>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</si>
  <si>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</si>
  <si>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</si>
  <si>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</si>
  <si>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</si>
  <si>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</si>
  <si>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</si>
  <si>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</si>
  <si>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</si>
  <si>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</si>
  <si>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</si>
  <si>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</si>
  <si>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</si>
  <si>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</si>
  <si>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</si>
  <si>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</si>
  <si>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</si>
  <si>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</si>
  <si>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</si>
  <si>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</si>
  <si>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</si>
  <si>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</si>
  <si>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</si>
  <si>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</si>
  <si>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</si>
  <si>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</si>
  <si>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</si>
  <si>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</si>
  <si>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</si>
  <si>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</si>
  <si>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</si>
  <si>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</si>
  <si>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</si>
  <si>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</si>
  <si>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</si>
  <si>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</si>
  <si>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</si>
  <si>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</si>
  <si>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</si>
  <si>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</si>
  <si>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</si>
  <si>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</si>
  <si>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</si>
  <si>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</si>
  <si>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</si>
  <si>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</si>
  <si>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</si>
  <si>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</si>
  <si>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</si>
  <si>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</si>
  <si>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</si>
  <si>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</si>
  <si>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</si>
  <si>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</si>
  <si>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</si>
  <si>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</si>
  <si>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</si>
  <si>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</si>
  <si>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</si>
  <si>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</si>
  <si>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</si>
  <si>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</si>
  <si>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</si>
  <si>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</si>
  <si>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</si>
  <si>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</si>
  <si>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</si>
  <si>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</si>
  <si>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</si>
  <si>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</si>
  <si>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</si>
  <si>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</si>
  <si>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</si>
  <si>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</si>
  <si>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</si>
  <si>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</si>
  <si>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</si>
  <si>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</si>
  <si>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</si>
  <si>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</si>
  <si>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</si>
  <si>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</si>
  <si>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</si>
  <si>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</si>
  <si>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</si>
  <si>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</si>
  <si>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</si>
  <si>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</si>
  <si>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</si>
  <si>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</si>
  <si>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</si>
  <si>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</si>
  <si>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</si>
  <si>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</si>
  <si>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</si>
  <si>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</si>
  <si>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</si>
  <si>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</si>
  <si>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</si>
  <si>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</si>
  <si>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</si>
  <si>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</si>
  <si>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</si>
  <si>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</si>
  <si>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</si>
  <si>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</si>
  <si>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</si>
  <si>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</si>
  <si>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</si>
  <si>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</si>
  <si>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</si>
  <si>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</si>
  <si>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</si>
  <si>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</si>
  <si>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</si>
  <si>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</si>
  <si>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</si>
  <si>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</si>
  <si>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</si>
  <si>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</si>
  <si>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</si>
  <si>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</si>
  <si>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</si>
  <si>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</si>
  <si>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</si>
  <si>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</si>
  <si>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</si>
  <si>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</si>
  <si>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</si>
  <si>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</si>
  <si>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</si>
  <si>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</si>
  <si>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</si>
  <si>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</si>
  <si>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</si>
  <si>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</si>
  <si>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</si>
  <si>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</si>
  <si>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</si>
  <si>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</si>
  <si>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</si>
  <si>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</si>
  <si>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</si>
  <si>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</si>
  <si>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</si>
  <si>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</si>
  <si>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</si>
  <si>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</si>
  <si>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</si>
  <si>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</si>
  <si>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</si>
  <si>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</si>
  <si>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</si>
  <si>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</si>
  <si>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</si>
  <si>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</si>
  <si>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</si>
  <si>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</si>
  <si>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</si>
  <si>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</si>
  <si>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</si>
  <si>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</si>
  <si>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</si>
  <si>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</si>
  <si>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</si>
  <si>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</si>
  <si>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</si>
  <si>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</si>
  <si>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</si>
  <si>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</si>
  <si>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</si>
  <si>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</si>
  <si>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</si>
  <si>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</si>
  <si>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</si>
  <si>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</si>
  <si>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</si>
  <si>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</si>
  <si>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</si>
  <si>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</si>
  <si>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</si>
  <si>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</si>
  <si>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</si>
  <si>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</si>
  <si>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</si>
  <si>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</si>
  <si>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</si>
  <si>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</si>
  <si>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</si>
  <si>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</si>
  <si>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</si>
  <si>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</si>
  <si>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</si>
  <si>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</si>
  <si>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</si>
  <si>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</si>
  <si>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</si>
  <si>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</si>
  <si>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</si>
  <si>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</si>
  <si>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</si>
  <si>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</si>
  <si>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</si>
  <si>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</si>
  <si>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</si>
  <si>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</si>
  <si>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</si>
  <si>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</si>
  <si>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</si>
  <si>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</si>
  <si>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</si>
  <si>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</si>
  <si>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</si>
  <si>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</si>
  <si>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</si>
  <si>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</si>
  <si>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</si>
  <si>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</si>
  <si>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</si>
  <si>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</si>
  <si>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</si>
  <si>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</si>
  <si>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</si>
  <si>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</si>
  <si>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</si>
  <si>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</si>
  <si>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</si>
  <si>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</si>
  <si>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</si>
  <si>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</si>
  <si>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</si>
  <si>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</si>
  <si>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</si>
  <si>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</si>
  <si>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</si>
  <si>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</si>
  <si>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</si>
  <si>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</si>
  <si>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</si>
  <si>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</si>
  <si>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</si>
  <si>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</si>
  <si>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</si>
  <si>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</si>
  <si>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</si>
  <si>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</si>
  <si>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</si>
  <si>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</si>
  <si>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</si>
  <si>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</si>
  <si>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</si>
  <si>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</si>
  <si>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</si>
  <si>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</si>
  <si>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</si>
  <si>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</si>
  <si>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</si>
  <si>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</si>
  <si>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</si>
  <si>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</si>
  <si>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</si>
  <si>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</si>
  <si>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</si>
  <si>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</si>
  <si>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</si>
  <si>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</si>
  <si>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</si>
  <si>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</si>
  <si>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</si>
  <si>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</si>
  <si>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</si>
  <si>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</si>
  <si>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</si>
  <si>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</si>
  <si>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</si>
  <si>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</si>
  <si>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</si>
  <si>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</si>
  <si>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</si>
  <si>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</si>
  <si>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</si>
  <si>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</si>
  <si>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</si>
  <si>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</si>
  <si>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</si>
  <si>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</si>
  <si>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</si>
  <si>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</si>
  <si>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</si>
  <si>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</si>
  <si>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</si>
  <si>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</si>
  <si>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</si>
  <si>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</si>
  <si>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</si>
  <si>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</si>
  <si>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</si>
  <si>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</si>
  <si>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</si>
  <si>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</si>
  <si>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</si>
  <si>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</si>
  <si>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</si>
  <si>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</si>
  <si>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</si>
  <si>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</si>
  <si>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</si>
  <si>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</si>
  <si>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</si>
  <si>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</si>
  <si>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</si>
  <si>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</si>
  <si>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</si>
  <si>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</si>
  <si>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</si>
  <si>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</si>
  <si>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</si>
  <si>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</si>
  <si>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</si>
  <si>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</si>
  <si>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</si>
  <si>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</si>
  <si>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</si>
  <si>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</si>
  <si>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</si>
  <si>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</si>
  <si>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</si>
  <si>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</si>
  <si>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</si>
  <si>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</si>
  <si>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</si>
  <si>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</si>
  <si>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</si>
  <si>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</si>
  <si>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</si>
  <si>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</si>
  <si>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</si>
  <si>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</si>
  <si>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</si>
  <si>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</si>
  <si>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</si>
  <si>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</si>
  <si>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</si>
  <si>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</si>
  <si>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</si>
  <si>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</si>
  <si>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</si>
  <si>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</si>
  <si>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</si>
  <si>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</si>
  <si>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</si>
  <si>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</si>
  <si>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</si>
  <si>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</si>
  <si>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</si>
  <si>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</si>
  <si>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</si>
  <si>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</si>
  <si>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</si>
  <si>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</si>
  <si>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</si>
  <si>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</si>
  <si>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</si>
  <si>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</si>
  <si>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</si>
  <si>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</si>
  <si>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</si>
  <si>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</si>
  <si>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</si>
  <si>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</si>
  <si>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</si>
  <si>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</si>
  <si>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</si>
  <si>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</si>
  <si>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</si>
  <si>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</si>
  <si>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</si>
  <si>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</si>
  <si>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</si>
  <si>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</si>
  <si>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</si>
  <si>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</si>
  <si>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</si>
  <si>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</si>
  <si>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</si>
  <si>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</si>
  <si>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</si>
  <si>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</si>
  <si>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</si>
  <si>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</si>
  <si>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</si>
  <si>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</si>
  <si>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</si>
  <si>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</si>
  <si>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</si>
  <si>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</si>
  <si>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</si>
  <si>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</si>
  <si>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</si>
  <si>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</si>
  <si>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</si>
  <si>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</si>
  <si>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</si>
  <si>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</si>
  <si>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</si>
  <si>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</si>
  <si>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</si>
  <si>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</si>
  <si>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</si>
  <si>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</si>
  <si>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</si>
  <si>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</si>
  <si>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</si>
  <si>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</si>
  <si>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</si>
  <si>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</si>
  <si>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</si>
  <si>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</si>
  <si>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</si>
  <si>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</si>
  <si>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</si>
  <si>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</si>
  <si>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</si>
  <si>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</si>
  <si>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</si>
  <si>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</si>
  <si>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</si>
  <si>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</si>
  <si>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</si>
  <si>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</si>
  <si>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</si>
  <si>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</si>
  <si>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</si>
  <si>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</si>
  <si>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</si>
  <si>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</si>
  <si>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</si>
  <si>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</si>
  <si>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</si>
  <si>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</si>
  <si>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</si>
  <si>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</si>
  <si>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</si>
  <si>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</si>
  <si>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</si>
  <si>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</si>
  <si>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</si>
  <si>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</si>
  <si>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</si>
  <si>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</si>
  <si>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</si>
  <si>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</si>
  <si>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</si>
  <si>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</si>
  <si>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</si>
  <si>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</si>
  <si>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</si>
  <si>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</si>
  <si>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</si>
  <si>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</si>
  <si>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</si>
  <si>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</si>
  <si>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</si>
  <si>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</si>
  <si>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</si>
  <si>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</si>
  <si>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</si>
  <si>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</si>
  <si>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</si>
  <si>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</si>
  <si>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</si>
  <si>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</si>
  <si>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</si>
  <si>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</si>
  <si>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</si>
  <si>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</si>
  <si>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</si>
  <si>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</si>
  <si>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</si>
  <si>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</si>
  <si>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</si>
  <si>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</si>
  <si>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</si>
  <si>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</si>
  <si>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</si>
  <si>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</si>
  <si>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</si>
  <si>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</si>
  <si>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</si>
  <si>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</si>
  <si>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</si>
  <si>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</si>
  <si>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</si>
  <si>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</si>
  <si>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</si>
  <si>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</si>
  <si>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</si>
  <si>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</si>
  <si>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</si>
  <si>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</si>
  <si>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</si>
  <si>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</si>
  <si>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</si>
  <si>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</si>
  <si>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</si>
  <si>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</si>
  <si>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</si>
  <si>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</si>
  <si>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</si>
  <si>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</si>
  <si>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</si>
  <si>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</si>
  <si>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</si>
  <si>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</si>
  <si>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</si>
  <si>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</si>
  <si>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</si>
  <si>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</si>
  <si>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</si>
  <si>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</si>
  <si>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</si>
  <si>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</si>
  <si>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</si>
  <si>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</si>
  <si>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</si>
  <si>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</si>
  <si>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</si>
  <si>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</si>
  <si>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</si>
  <si>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</si>
  <si>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</si>
  <si>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</si>
  <si>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</si>
  <si>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</si>
  <si>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</si>
  <si>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</si>
  <si>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</si>
  <si>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</si>
  <si>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</si>
  <si>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</si>
  <si>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</si>
  <si>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</si>
  <si>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</si>
  <si>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</si>
  <si>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</si>
  <si>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</si>
  <si>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</si>
  <si>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</si>
  <si>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</si>
  <si>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</si>
  <si>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</si>
  <si>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</si>
  <si>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</si>
  <si>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</si>
  <si>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</si>
  <si>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</si>
  <si>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</si>
  <si>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</si>
  <si>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</si>
  <si>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</si>
  <si>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</si>
  <si>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</si>
  <si>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</si>
  <si>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</si>
  <si>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</si>
  <si>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</si>
  <si>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</si>
  <si>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</si>
  <si>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</si>
  <si>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</si>
  <si>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</si>
  <si>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</si>
  <si>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</si>
  <si>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</si>
  <si>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</si>
  <si>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</si>
  <si>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</si>
  <si>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</si>
  <si>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</si>
  <si>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</si>
  <si>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</si>
  <si>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</si>
  <si>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</si>
  <si>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</si>
  <si>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</si>
  <si>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</si>
  <si>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</si>
  <si>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</si>
  <si>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</si>
  <si>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</si>
  <si>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</si>
  <si>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</si>
  <si>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</si>
  <si>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</si>
  <si>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</si>
  <si>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</si>
  <si>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</si>
  <si>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</si>
  <si>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</si>
  <si>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</si>
  <si>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</si>
  <si>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</si>
  <si>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</si>
  <si>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</si>
  <si>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</si>
  <si>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</si>
  <si>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</si>
  <si>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</si>
  <si>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</si>
  <si>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</si>
  <si>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</si>
  <si>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</si>
  <si>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</si>
  <si>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</si>
  <si>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</si>
  <si>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</si>
  <si>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</si>
  <si>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</si>
  <si>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</si>
  <si>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</si>
  <si>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</si>
  <si>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</si>
  <si>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</si>
  <si>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</si>
  <si>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</si>
  <si>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</si>
  <si>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</si>
  <si>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</si>
  <si>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</si>
  <si>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</si>
  <si>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</si>
  <si>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</si>
  <si>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</si>
  <si>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</si>
  <si>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</si>
  <si>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</si>
  <si>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</si>
  <si>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</si>
  <si>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</si>
  <si>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</si>
  <si>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</si>
  <si>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</si>
  <si>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</si>
  <si>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</si>
  <si>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</si>
  <si>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</si>
  <si>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</si>
  <si>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</si>
  <si>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</si>
  <si>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</si>
  <si>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</si>
  <si>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</si>
  <si>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</si>
  <si>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</si>
  <si>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</si>
  <si>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</si>
  <si>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</si>
  <si>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</si>
  <si>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</si>
  <si>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</si>
  <si>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</si>
  <si>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</si>
  <si>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</si>
  <si>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</si>
  <si>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</si>
  <si>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</si>
  <si>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</si>
  <si>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</si>
  <si>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</si>
  <si>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</si>
  <si>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</si>
  <si>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</si>
  <si>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</si>
  <si>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</si>
  <si>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</si>
  <si>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</si>
  <si>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</si>
  <si>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</si>
  <si>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</si>
  <si>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</si>
  <si>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</si>
  <si>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</si>
  <si>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</si>
  <si>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</si>
  <si>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</si>
  <si>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</si>
  <si>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</si>
  <si>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</si>
  <si>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</si>
  <si>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</si>
  <si>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</si>
  <si>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</si>
  <si>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</si>
  <si>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</si>
  <si>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</si>
  <si>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</si>
  <si>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</si>
  <si>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</si>
  <si>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</si>
  <si>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</si>
  <si>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</si>
  <si>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</si>
  <si>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</si>
  <si>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</si>
  <si>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</si>
  <si>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</si>
  <si>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</si>
  <si>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</si>
  <si>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</si>
  <si>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</si>
  <si>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</si>
  <si>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</si>
  <si>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</si>
  <si>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</si>
  <si>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</si>
  <si>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</si>
  <si>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</si>
  <si>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</si>
  <si>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</si>
  <si>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</si>
  <si>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</si>
  <si>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</si>
  <si>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</si>
  <si>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</si>
  <si>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</si>
  <si>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</si>
  <si>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</si>
  <si>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</si>
  <si>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</si>
  <si>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</si>
  <si>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</si>
  <si>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</si>
  <si>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</si>
  <si>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</si>
  <si>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</si>
  <si>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</si>
  <si>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</si>
  <si>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</si>
  <si>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</si>
  <si>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</si>
  <si>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</si>
  <si>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</si>
  <si>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</si>
  <si>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</si>
  <si>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</si>
  <si>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</si>
  <si>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</si>
  <si>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</si>
  <si>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</si>
  <si>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</si>
  <si>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</si>
  <si>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</si>
  <si>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</si>
  <si>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</si>
  <si>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</si>
  <si>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</si>
  <si>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</si>
  <si>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</si>
  <si>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</si>
  <si>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</si>
  <si>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</si>
  <si>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</si>
  <si>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</si>
  <si>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</si>
  <si>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</si>
  <si>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</si>
  <si>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</si>
  <si>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</si>
  <si>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</si>
  <si>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</si>
  <si>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</si>
  <si>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</si>
  <si>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</si>
  <si>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</si>
  <si>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</si>
  <si>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</si>
  <si>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</si>
  <si>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</si>
  <si>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</si>
  <si>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</si>
  <si>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</si>
  <si>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</si>
  <si>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</si>
  <si>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</si>
  <si>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</si>
  <si>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</si>
  <si>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</si>
  <si>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</si>
  <si>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</si>
  <si>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</si>
  <si>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</si>
  <si>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</si>
  <si>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</si>
  <si>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</si>
  <si>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</si>
  <si>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</si>
  <si>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</si>
  <si>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</si>
  <si>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</si>
  <si>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</si>
  <si>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</si>
  <si>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</si>
  <si>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</si>
  <si>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</si>
  <si>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</si>
  <si>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</si>
  <si>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</si>
  <si>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</si>
  <si>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</si>
  <si>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</si>
  <si>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</si>
  <si>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</si>
  <si>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</si>
  <si>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</si>
  <si>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</si>
  <si>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</si>
  <si>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</si>
  <si>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</si>
  <si>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</si>
  <si>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</si>
  <si>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</si>
  <si>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</si>
  <si>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</si>
  <si>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</si>
  <si>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</si>
  <si>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</si>
  <si>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</si>
  <si>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</si>
  <si>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</si>
  <si>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</si>
  <si>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</si>
  <si>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</si>
  <si>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</si>
  <si>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</si>
  <si>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</si>
  <si>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</si>
  <si>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</si>
  <si>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</si>
  <si>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</si>
  <si>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</si>
  <si>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</si>
  <si>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</si>
  <si>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</si>
  <si>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</si>
  <si>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</si>
  <si>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</si>
  <si>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</si>
  <si>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</si>
  <si>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</si>
  <si>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</si>
  <si>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</si>
  <si>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</si>
  <si>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</si>
  <si>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</si>
  <si>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</si>
  <si>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</si>
  <si>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</si>
  <si>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</si>
  <si>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</si>
  <si>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</si>
  <si>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</si>
  <si>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</si>
  <si>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</si>
  <si>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</si>
  <si>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</si>
  <si>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</si>
  <si>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</si>
  <si>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</si>
  <si>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</si>
  <si>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</si>
  <si>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</si>
  <si>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</si>
  <si>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</si>
  <si>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</si>
  <si>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</si>
  <si>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</si>
  <si>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</si>
  <si>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</si>
  <si>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</si>
  <si>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</si>
  <si>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</si>
  <si>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</si>
  <si>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</si>
  <si>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</si>
  <si>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</si>
  <si>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</si>
  <si>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</si>
  <si>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</si>
  <si>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</si>
  <si>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</si>
  <si>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</si>
  <si>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</si>
  <si>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</si>
  <si>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</si>
  <si>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</si>
  <si>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</si>
  <si>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</si>
  <si>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</si>
  <si>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</si>
  <si>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</si>
  <si>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</si>
  <si>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</si>
  <si>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</si>
  <si>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</si>
  <si>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</si>
  <si>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</si>
  <si>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</si>
  <si>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</si>
  <si>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</si>
  <si>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</si>
  <si>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</si>
  <si>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</si>
  <si>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</si>
  <si>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</si>
  <si>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</si>
  <si>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</si>
  <si>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</si>
  <si>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</si>
  <si>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</si>
  <si>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</si>
  <si>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</si>
  <si>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</si>
  <si>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</si>
  <si>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</si>
  <si>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</si>
  <si>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</si>
  <si>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</si>
  <si>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</si>
  <si>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</si>
  <si>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</si>
  <si>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</si>
  <si>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</si>
  <si>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</si>
  <si>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</si>
  <si>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</si>
  <si>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</si>
  <si>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</si>
  <si>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</si>
  <si>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</si>
  <si>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</si>
  <si>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</si>
  <si>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</si>
  <si>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</si>
  <si>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</si>
  <si>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</si>
  <si>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</si>
  <si>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</si>
  <si>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</si>
  <si>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</si>
  <si>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</si>
  <si>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</si>
  <si>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</si>
  <si>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</si>
  <si>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</si>
  <si>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</si>
  <si>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</si>
  <si>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</si>
  <si>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</si>
  <si>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</si>
  <si>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</si>
  <si>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</si>
  <si>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</si>
  <si>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</si>
  <si>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</si>
  <si>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</si>
  <si>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</si>
  <si>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</si>
  <si>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</si>
  <si>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</si>
  <si>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</si>
  <si>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</si>
  <si>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</si>
  <si>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</si>
  <si>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</si>
  <si>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</si>
  <si>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</si>
  <si>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</si>
  <si>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</si>
  <si>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</si>
  <si>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</si>
  <si>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</si>
  <si>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</si>
  <si>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</si>
  <si>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</si>
  <si>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</si>
  <si>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</si>
  <si>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</si>
  <si>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</si>
  <si>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</si>
  <si>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</si>
  <si>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</si>
  <si>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</si>
  <si>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</si>
  <si>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</si>
  <si>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</si>
  <si>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</si>
  <si>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</si>
  <si>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</si>
  <si>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</si>
  <si>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</si>
  <si>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</si>
  <si>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</si>
  <si>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</si>
  <si>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</si>
  <si>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</si>
  <si>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</si>
  <si>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</si>
  <si>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</si>
  <si>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</si>
  <si>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</si>
  <si>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</si>
  <si>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</si>
  <si>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</si>
  <si>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</si>
  <si>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</si>
  <si>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</si>
  <si>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</si>
  <si>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</si>
  <si>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</si>
  <si>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</si>
  <si>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</si>
  <si>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</si>
  <si>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</si>
  <si>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</si>
  <si>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</si>
  <si>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</si>
  <si>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</si>
  <si>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</si>
  <si>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</si>
  <si>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</si>
  <si>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</si>
  <si>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</si>
  <si>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</si>
  <si>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</si>
  <si>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</si>
  <si>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</si>
  <si>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</si>
  <si>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</si>
  <si>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</si>
  <si>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</si>
  <si>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</si>
  <si>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</si>
  <si>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</si>
  <si>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</si>
  <si>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</si>
  <si>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</si>
  <si>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</si>
  <si>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</si>
  <si>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</si>
  <si>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</si>
  <si>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</si>
  <si>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</si>
  <si>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</si>
  <si>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</si>
  <si>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</si>
  <si>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</si>
  <si>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</si>
  <si>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</si>
  <si>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</si>
  <si>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</si>
  <si>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</si>
  <si>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</si>
  <si>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</si>
  <si>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</si>
  <si>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</si>
  <si>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</si>
  <si>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</si>
  <si>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</si>
  <si>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</si>
  <si>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</si>
  <si>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</si>
  <si>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</si>
  <si>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</si>
  <si>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</si>
  <si>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</si>
  <si>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</si>
  <si>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</si>
  <si>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</si>
  <si>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</si>
  <si>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</si>
  <si>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</si>
  <si>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</si>
  <si>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</si>
  <si>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</si>
  <si>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</si>
  <si>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</si>
  <si>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</si>
  <si>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</si>
  <si>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</si>
  <si>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</si>
  <si>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</si>
  <si>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</si>
  <si>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</si>
  <si>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</si>
  <si>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</si>
  <si>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</si>
  <si>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</si>
  <si>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</si>
  <si>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</si>
  <si>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</si>
  <si>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</si>
  <si>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</si>
  <si>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</si>
  <si>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</si>
  <si>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</si>
  <si>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</si>
  <si>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</si>
  <si>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</si>
  <si>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</si>
  <si>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</si>
  <si>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</si>
  <si>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</si>
  <si>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</si>
  <si>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</si>
  <si>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</si>
  <si>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</si>
  <si>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</si>
  <si>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</si>
  <si>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</si>
  <si>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</si>
  <si>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</si>
  <si>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</si>
  <si>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</si>
  <si>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</si>
  <si>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</si>
  <si>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</si>
  <si>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</si>
  <si>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</si>
  <si>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</si>
  <si>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</si>
  <si>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</si>
  <si>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</si>
  <si>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</si>
  <si>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</si>
  <si>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</si>
  <si>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</si>
  <si>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</si>
  <si>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</si>
  <si>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</si>
  <si>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</si>
  <si>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</si>
  <si>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</si>
  <si>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</si>
  <si>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</si>
  <si>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</si>
  <si>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</si>
  <si>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</si>
  <si>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</si>
  <si>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</si>
  <si>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</si>
  <si>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</si>
  <si>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</si>
  <si>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</si>
  <si>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</si>
  <si>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</si>
  <si>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</si>
  <si>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</si>
  <si>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</si>
  <si>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</si>
  <si>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</si>
  <si>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</si>
  <si>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</si>
  <si>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</si>
  <si>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</si>
  <si>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</si>
  <si>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</si>
  <si>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</si>
  <si>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</si>
  <si>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</si>
  <si>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</si>
  <si>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</si>
  <si>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</si>
  <si>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</si>
  <si>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</si>
  <si>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</si>
  <si>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</si>
  <si>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</si>
  <si>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</si>
  <si>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</si>
  <si>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</si>
  <si>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</si>
  <si>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</si>
  <si>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</si>
  <si>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</si>
  <si>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</si>
  <si>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</si>
  <si>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</si>
  <si>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</si>
  <si>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</si>
  <si>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</si>
  <si>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</si>
  <si>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</si>
  <si>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</si>
  <si>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</si>
  <si>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</si>
  <si>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</si>
  <si>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</si>
  <si>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</si>
  <si>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</si>
  <si>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</si>
  <si>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</si>
  <si>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</si>
  <si>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</si>
  <si>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</si>
  <si>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</si>
  <si>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</si>
  <si>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</si>
  <si>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</si>
  <si>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</si>
  <si>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</si>
  <si>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</si>
  <si>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</si>
  <si>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</si>
  <si>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</si>
  <si>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</si>
  <si>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</si>
  <si>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</si>
  <si>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</si>
  <si>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</si>
  <si>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</si>
  <si>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</si>
  <si>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</si>
  <si>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</si>
  <si>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</si>
  <si>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</si>
  <si>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</si>
  <si>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</si>
  <si>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</si>
  <si>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</si>
  <si>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</si>
  <si>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</si>
  <si>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</si>
  <si>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</si>
  <si>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</si>
  <si>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</si>
  <si>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</si>
  <si>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</si>
  <si>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</si>
  <si>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</si>
  <si>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</si>
  <si>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</si>
  <si>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</si>
  <si>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</si>
  <si>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</si>
  <si>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</si>
  <si>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</si>
  <si>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</si>
  <si>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</si>
  <si>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</si>
  <si>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</si>
  <si>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</si>
  <si>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</si>
  <si>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</si>
  <si>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</si>
  <si>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</si>
  <si>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</si>
  <si>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</si>
  <si>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</si>
  <si>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</si>
  <si>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</si>
  <si>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</si>
  <si>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</si>
  <si>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</si>
  <si>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</si>
  <si>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</si>
  <si>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</si>
  <si>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</si>
  <si>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</si>
  <si>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</si>
  <si>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</si>
  <si>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</si>
  <si>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</si>
  <si>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</si>
  <si>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</si>
  <si>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</si>
  <si>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</si>
  <si>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</si>
  <si>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</si>
  <si>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</si>
  <si>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</si>
  <si>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</si>
  <si>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</si>
  <si>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</si>
  <si>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</si>
  <si>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</si>
  <si>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</si>
  <si>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</si>
  <si>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</si>
  <si>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</si>
  <si>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</si>
  <si>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</si>
  <si>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</si>
  <si>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</si>
  <si>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</si>
  <si>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</si>
  <si>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</si>
  <si>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</si>
  <si>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</si>
  <si>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郑燚</t>
  </si>
  <si>
    <t>三亚红树林旅业有限公司</t>
    <phoneticPr fontId="6" type="noConversion"/>
  </si>
  <si>
    <t>建信信托</t>
    <phoneticPr fontId="6" type="noConversion"/>
  </si>
  <si>
    <t>核定资产</t>
  </si>
  <si>
    <t>房地产市场价值</t>
  </si>
  <si>
    <t>北京市</t>
  </si>
  <si>
    <t>企业</t>
  </si>
  <si>
    <t>海南省三亚市亚龙湾滨海路红树林度假酒店</t>
    <phoneticPr fontId="6" type="noConversion"/>
  </si>
  <si>
    <t>复印件</t>
  </si>
  <si>
    <t>商业项目</t>
  </si>
  <si>
    <t>酒店</t>
  </si>
  <si>
    <t>否</t>
  </si>
  <si>
    <t>现房</t>
  </si>
  <si>
    <t>通路</t>
  </si>
  <si>
    <t>通电</t>
  </si>
  <si>
    <t>通讯</t>
  </si>
  <si>
    <t>通上水</t>
  </si>
  <si>
    <t>通下水</t>
  </si>
  <si>
    <t>燃气</t>
  </si>
  <si>
    <r>
      <rPr>
        <sz val="10"/>
        <color indexed="8"/>
        <rFont val="宋体"/>
        <family val="3"/>
        <charset val="134"/>
      </rPr>
      <t>三土房（</t>
    </r>
    <r>
      <rPr>
        <sz val="10"/>
        <color indexed="8"/>
        <rFont val="Arial"/>
        <family val="2"/>
      </rPr>
      <t>2006</t>
    </r>
    <r>
      <rPr>
        <sz val="10"/>
        <color indexed="8"/>
        <rFont val="宋体"/>
        <family val="3"/>
        <charset val="134"/>
      </rPr>
      <t>）字第</t>
    </r>
    <r>
      <rPr>
        <sz val="10"/>
        <color indexed="8"/>
        <rFont val="Arial"/>
        <family val="2"/>
      </rPr>
      <t>0156</t>
    </r>
    <r>
      <rPr>
        <sz val="10"/>
        <color indexed="8"/>
        <rFont val="宋体"/>
        <family val="3"/>
        <charset val="134"/>
      </rPr>
      <t>号</t>
    </r>
    <phoneticPr fontId="3" type="noConversion"/>
  </si>
  <si>
    <r>
      <rPr>
        <sz val="10"/>
        <color indexed="8"/>
        <rFont val="宋体"/>
        <family val="3"/>
        <charset val="134"/>
      </rPr>
      <t>三土房（</t>
    </r>
    <r>
      <rPr>
        <sz val="10"/>
        <color indexed="8"/>
        <rFont val="Arial"/>
        <family val="2"/>
      </rPr>
      <t>2006</t>
    </r>
    <r>
      <rPr>
        <sz val="10"/>
        <color indexed="8"/>
        <rFont val="宋体"/>
        <family val="3"/>
        <charset val="134"/>
      </rPr>
      <t>）字第</t>
    </r>
    <r>
      <rPr>
        <sz val="10"/>
        <color indexed="8"/>
        <rFont val="Arial"/>
        <family val="2"/>
      </rPr>
      <t>0157号</t>
    </r>
    <r>
      <rPr>
        <sz val="10"/>
        <color indexed="8"/>
        <rFont val="宋体"/>
        <family val="3"/>
        <charset val="134"/>
      </rPr>
      <t/>
    </r>
  </si>
  <si>
    <t>合计</t>
    <phoneticPr fontId="3" type="noConversion"/>
  </si>
  <si>
    <t>地上</t>
  </si>
  <si>
    <t>地下</t>
  </si>
  <si>
    <t>是</t>
  </si>
  <si>
    <t>酒店</t>
    <phoneticPr fontId="7" type="noConversion"/>
  </si>
  <si>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</si>
  <si>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</si>
  <si>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</si>
  <si>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</si>
  <si>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</si>
  <si>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</si>
  <si>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</si>
  <si>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</si>
  <si>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</si>
  <si>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</si>
  <si>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</si>
  <si>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</si>
  <si>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</si>
  <si>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</si>
  <si>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</si>
  <si>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</si>
  <si>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</si>
  <si>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</si>
  <si>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</si>
  <si>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</si>
  <si>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</si>
  <si>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</si>
  <si>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</si>
  <si>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</si>
  <si>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</si>
  <si>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</si>
  <si>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</si>
  <si>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</si>
  <si>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</si>
  <si>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</si>
  <si>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</si>
  <si>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</si>
  <si>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</si>
  <si>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</si>
  <si>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</si>
  <si>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</si>
  <si>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</si>
  <si>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</si>
  <si>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</si>
  <si>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</si>
  <si>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</si>
  <si>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</si>
  <si>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</si>
  <si>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</si>
  <si>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</si>
  <si>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</si>
  <si>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地面单价</t>
    <phoneticPr fontId="3" type="noConversion"/>
  </si>
  <si>
    <t>月川单元(三亚总部经济及中央商务区)控规YC1-2-01A、YC1-2-01C、YC1-2-05A地块</t>
  </si>
  <si>
    <t>三亚市</t>
  </si>
  <si>
    <t>商业/办公用地</t>
  </si>
  <si>
    <t>吉阳区</t>
  </si>
  <si>
    <t>挂牌</t>
  </si>
  <si>
    <t>SY2019-15</t>
  </si>
  <si>
    <t>商务金融用地</t>
  </si>
  <si>
    <t>小于或等于4</t>
  </si>
  <si>
    <t>小于或等于35</t>
  </si>
  <si>
    <t>小于或等于100</t>
  </si>
  <si>
    <t>未开工</t>
  </si>
  <si>
    <t>2019-08-19</t>
  </si>
  <si>
    <t>2019-09-09</t>
  </si>
  <si>
    <t>2019-09-20</t>
  </si>
  <si>
    <t>三自然资告字[2019]15号</t>
  </si>
  <si>
    <t>已成交</t>
  </si>
  <si>
    <t>三亚市太平金服产业港投资合伙企业(有限合伙)</t>
  </si>
  <si>
    <t>40年</t>
  </si>
  <si>
    <t>5星</t>
  </si>
  <si>
    <t>亚龙湾控规YL03-04-01地块</t>
  </si>
  <si>
    <t>SY2019-14</t>
  </si>
  <si>
    <t>餐饮用地</t>
  </si>
  <si>
    <t>小于等于0.3</t>
  </si>
  <si>
    <t>小于等于35%</t>
  </si>
  <si>
    <t>小于等于12</t>
  </si>
  <si>
    <t>2019-08-15</t>
  </si>
  <si>
    <t>2019-09-06</t>
  </si>
  <si>
    <t>2019-09-17</t>
  </si>
  <si>
    <t>三自然资告字[2019]14号</t>
  </si>
  <si>
    <t>三亚玫瑰谷旅游开发有限公司</t>
  </si>
  <si>
    <t>3星</t>
  </si>
  <si>
    <t>月川单元(三亚总部经济及中央商务区)控规YC1-1-01E地块</t>
  </si>
  <si>
    <t>SY2019-12</t>
  </si>
  <si>
    <t>小于或等于5</t>
  </si>
  <si>
    <t>小于或等于120</t>
  </si>
  <si>
    <t>2019-07-18</t>
  </si>
  <si>
    <t>2019-08-08</t>
  </si>
  <si>
    <t>三自然资告字[2019]12号</t>
  </si>
  <si>
    <t>保利(海南)旅游发展有限公司</t>
  </si>
  <si>
    <t>4星</t>
  </si>
  <si>
    <t>月川单元(三亚总部经济及中央商务区)控规YC1-1-01B地块</t>
  </si>
  <si>
    <t>SY2019-11</t>
  </si>
  <si>
    <t>小于或等于5.5</t>
  </si>
  <si>
    <t>小于或等于110</t>
  </si>
  <si>
    <t>三亚市自然资源和规划局国有土地使用权挂牌出让公告(三自然资告字[2019]11号)</t>
  </si>
  <si>
    <t>中冶置业集团有限公司</t>
  </si>
  <si>
    <t>东岸单元(迎宾路总部商务启动区)控规DA2-15-04地块</t>
  </si>
  <si>
    <t>SY2019-10</t>
  </si>
  <si>
    <t>零售商业用地</t>
  </si>
  <si>
    <t>小于或等于2</t>
  </si>
  <si>
    <t>小于或等于40</t>
  </si>
  <si>
    <t>小于或等于24</t>
  </si>
  <si>
    <t>2019-07-10</t>
  </si>
  <si>
    <t>2019-08-02</t>
  </si>
  <si>
    <t>2019-08-13</t>
  </si>
  <si>
    <t>三亚市自然资源和规划局国有土地使用权挂牌出让公告(三自然资告字[2019]10号)</t>
  </si>
  <si>
    <t>成都万华</t>
  </si>
  <si>
    <t>东岸单元(迎宾路总部商务启动区)控规DA2-17-01地块</t>
  </si>
  <si>
    <t>SY2019-07</t>
  </si>
  <si>
    <t>旅馆用地</t>
  </si>
  <si>
    <t>三亚市自然资源和规划局国有土地使用权挂牌出让公告(三自然资告字[2019]7号)</t>
  </si>
  <si>
    <t>华侨城</t>
  </si>
  <si>
    <t>东岸单元(迎宾路总部商务启动区)控规DA2-28-01地块</t>
  </si>
  <si>
    <t>SY2019-09</t>
  </si>
  <si>
    <t>娱乐用地</t>
  </si>
  <si>
    <t>三亚市自然资源和规划局国有土地使用权挂牌出让公告(三自然资告字[2019]9号)</t>
  </si>
  <si>
    <t>东岸单元(迎宾路总部商务启动区)控规DA2-23-03地块</t>
  </si>
  <si>
    <t>SY2019-08</t>
  </si>
  <si>
    <t>小于或等于60</t>
  </si>
  <si>
    <t>三亚市自然资源和规划局国有土地使用权挂牌出让公告(三自然资告字[2019]8号)</t>
  </si>
  <si>
    <t>三亚市吉阳区控制性详细规划D-13地块</t>
  </si>
  <si>
    <t>SY2019-04</t>
  </si>
  <si>
    <t>≤0.3</t>
  </si>
  <si>
    <t>≤30%</t>
  </si>
  <si>
    <t>≤12米</t>
  </si>
  <si>
    <t>2019-03-21</t>
  </si>
  <si>
    <t>2019-04-05</t>
  </si>
  <si>
    <t>2019-04-15</t>
  </si>
  <si>
    <t>三自然资告字[2019]4号</t>
  </si>
  <si>
    <t>海南成大石油有限公司</t>
  </si>
  <si>
    <t>吉阳区东岸单元(迎宾路总部商务启动区)控规DA2-25-02A和DA2-25-02B地块</t>
  </si>
  <si>
    <t>SY2019-01</t>
  </si>
  <si>
    <t>≤6.5</t>
  </si>
  <si>
    <t>≤40%</t>
  </si>
  <si>
    <t>≤170米</t>
  </si>
  <si>
    <t>2019-02-23</t>
  </si>
  <si>
    <t>2019-03-15</t>
  </si>
  <si>
    <t>2019-03-26</t>
  </si>
  <si>
    <t>三自然资告字[2019]1号</t>
  </si>
  <si>
    <t>中交海洋投资股份有限公司</t>
  </si>
  <si>
    <t>吉阳区东岸单元(迎宾路总部商务启动区)控规DA2-18-01A和DA2-18-01B地块</t>
  </si>
  <si>
    <t>SY2019-02</t>
  </si>
  <si>
    <t>≤4.5</t>
  </si>
  <si>
    <t>≤45%</t>
  </si>
  <si>
    <t>≥60米且≤100米</t>
  </si>
  <si>
    <t>2019-02-22</t>
  </si>
  <si>
    <t>三自然资告字[2019]2号</t>
  </si>
  <si>
    <t>三亚亚龙湾开发股份有限公司</t>
  </si>
  <si>
    <t>吉阳区东岸单元(迎宾路总部商务启动区)控规DA4-28-03地块</t>
  </si>
  <si>
    <t>SY2019-03</t>
  </si>
  <si>
    <t>≤35%</t>
  </si>
  <si>
    <t>≤80米</t>
  </si>
  <si>
    <t>三自然资告字[2019]3号</t>
  </si>
  <si>
    <t>上海申亚投资(集团)有限公司</t>
  </si>
  <si>
    <t>三亚市海棠湾C2片区控规D-04地块</t>
  </si>
  <si>
    <t>海棠区</t>
  </si>
  <si>
    <t>SY2018-15</t>
  </si>
  <si>
    <t>其他商服用地</t>
  </si>
  <si>
    <t>≤0.4</t>
  </si>
  <si>
    <t>≤15米</t>
  </si>
  <si>
    <t>开工中</t>
  </si>
  <si>
    <t>2018-12-29</t>
  </si>
  <si>
    <t>2019-01-22</t>
  </si>
  <si>
    <t>2019-01-31</t>
  </si>
  <si>
    <t>三土资告字[2018]15号</t>
  </si>
  <si>
    <t>三亚市海棠湾水稻国家公园开发有限公司</t>
  </si>
  <si>
    <t>三亚市海棠湾C2片区控规D-01地块</t>
  </si>
  <si>
    <t>SY2018-14</t>
  </si>
  <si>
    <t>住宿餐饮用地</t>
  </si>
  <si>
    <t>≤0.66</t>
  </si>
  <si>
    <t>2019-01-21</t>
  </si>
  <si>
    <t>2019-01-30</t>
  </si>
  <si>
    <t>三土资告字[2018]14号</t>
  </si>
  <si>
    <t>三亚瑞兴水稻产业基地开发有限公司</t>
  </si>
  <si>
    <t>月川片区控规YC2-24-1地块</t>
  </si>
  <si>
    <t>SY2018-13</t>
  </si>
  <si>
    <t>≤2.8</t>
  </si>
  <si>
    <t>≤25%</t>
  </si>
  <si>
    <t>&amp;lt;100米</t>
  </si>
  <si>
    <t>三土资告字[2018]13号-3</t>
  </si>
  <si>
    <t>三亚海视鑫达置业有限责任公司</t>
  </si>
  <si>
    <t>月川片区控规YC2-23-1地块</t>
  </si>
  <si>
    <t>三土资告字[2018]13号-2</t>
  </si>
  <si>
    <t>月川片区控规YC2-23-2地块</t>
  </si>
  <si>
    <t>≤3.6</t>
  </si>
  <si>
    <t>≤100米</t>
  </si>
  <si>
    <t>三土资告字[2018]13号-1</t>
  </si>
  <si>
    <t>天涯镇控规TY01-01-03地块内</t>
  </si>
  <si>
    <t>天涯区</t>
  </si>
  <si>
    <t>SY2018-12</t>
  </si>
  <si>
    <t>≤1.3</t>
  </si>
  <si>
    <t>≤50米</t>
  </si>
  <si>
    <t>2018-12-07</t>
  </si>
  <si>
    <t>2018-12-28</t>
  </si>
  <si>
    <t>2019-01-07</t>
  </si>
  <si>
    <t>三土资告字[2018]12号</t>
  </si>
  <si>
    <t>三亚建鸿创嘉房地产开发有限公司</t>
  </si>
  <si>
    <t>2星</t>
  </si>
  <si>
    <t>三亚槟榔河国际乡村文化旅游区控规B-1-3地块</t>
  </si>
  <si>
    <t>SY2018-09</t>
  </si>
  <si>
    <t>≤0.55</t>
  </si>
  <si>
    <t>≤10米</t>
  </si>
  <si>
    <t>2018-11-08</t>
  </si>
  <si>
    <t>2018-11-27</t>
  </si>
  <si>
    <t>三土资告字[2018]9号</t>
  </si>
  <si>
    <t>三亚苑鼎演艺有限公司</t>
  </si>
  <si>
    <t>槟榔河国际乡村文化旅游区控规B-3-7地块</t>
  </si>
  <si>
    <t>SY2018-08</t>
  </si>
  <si>
    <t>批发零售用地</t>
  </si>
  <si>
    <t>三土资告字[2018]8号</t>
  </si>
  <si>
    <t>三亚春瑞实业有限公司</t>
  </si>
  <si>
    <t>三亚市海棠湾C6片区控规A-2-11-2地块</t>
  </si>
  <si>
    <t>SY2018-07</t>
  </si>
  <si>
    <t>≤1.2</t>
  </si>
  <si>
    <t>2018-09-13</t>
  </si>
  <si>
    <t>2018-10-09</t>
  </si>
  <si>
    <t>2018-10-19</t>
  </si>
  <si>
    <t>三土资告字[2018]7号-2</t>
  </si>
  <si>
    <t>海南鸿瓴置业有限公司</t>
  </si>
  <si>
    <t>丰兴隆片区控制性详细规划A-23地块内</t>
  </si>
  <si>
    <t>SY2018-06</t>
  </si>
  <si>
    <t>≤2.99</t>
  </si>
  <si>
    <t>2018-08-03</t>
  </si>
  <si>
    <t>2018-08-28</t>
  </si>
  <si>
    <t>2018-09-07</t>
  </si>
  <si>
    <t>三土资告字[2018]6号</t>
  </si>
  <si>
    <t>恒大地产集团海南有限公司</t>
  </si>
  <si>
    <t>海棠湾林旺片区控规F-1-1地块和F-2-1地块</t>
  </si>
  <si>
    <t>SY2017-21</t>
  </si>
  <si>
    <t>≤0.7</t>
  </si>
  <si>
    <t>≤18米</t>
  </si>
  <si>
    <t>2017-11-28</t>
  </si>
  <si>
    <t>2017-12-11</t>
  </si>
  <si>
    <t>2017-12-22</t>
  </si>
  <si>
    <t>三土资告字[2017]21号</t>
  </si>
  <si>
    <t>太平人寿保险有限公司</t>
  </si>
  <si>
    <t>三亚中心渔港控规YG2-02-01地块</t>
  </si>
  <si>
    <t>SY2017-18</t>
  </si>
  <si>
    <t>≤15</t>
  </si>
  <si>
    <t>2017-11-02</t>
  </si>
  <si>
    <t>2017-11-21</t>
  </si>
  <si>
    <t>2017-12-01</t>
  </si>
  <si>
    <t>三土资告字[2017]18号</t>
  </si>
  <si>
    <t>中国石化销售有限公司海南石油分公司</t>
  </si>
  <si>
    <t>三亚市月川片区控规YC3-19-3、YC3-21-1、YC3-23-1、YC3-24-5、YC3-25-7和YC3-26-2地块</t>
  </si>
  <si>
    <t>SY2017-07</t>
  </si>
  <si>
    <t>≤1.5</t>
  </si>
  <si>
    <t>2017-06-08</t>
  </si>
  <si>
    <t>2017-06-27</t>
  </si>
  <si>
    <t>2017-07-07</t>
  </si>
  <si>
    <t>三土资告字[2017]7号</t>
  </si>
  <si>
    <t>三亚瑞庆投资管理有限公司</t>
  </si>
  <si>
    <t>三亚市海坡村棚户区改造控制性详细规划HPC-19-01、HPC-19-02、HPC-19-05、HPC-19-10地块</t>
  </si>
  <si>
    <t>SY2017-06</t>
  </si>
  <si>
    <t>≤2.5</t>
  </si>
  <si>
    <t>≤60米</t>
  </si>
  <si>
    <t>2017-06-02</t>
  </si>
  <si>
    <t>2017-06-24</t>
  </si>
  <si>
    <t>2017-07-04</t>
  </si>
  <si>
    <t>三土资告字[2017]6号</t>
  </si>
  <si>
    <t>海南碧桂园开发有限公司</t>
  </si>
  <si>
    <t>月川片区控规YC2-39-1地块</t>
  </si>
  <si>
    <t>SY2017-01</t>
  </si>
  <si>
    <t>≤25</t>
  </si>
  <si>
    <t>2017-02-10</t>
  </si>
  <si>
    <t>2017-03-03</t>
  </si>
  <si>
    <t>2017-03-13</t>
  </si>
  <si>
    <t>三土资告字[2017]1号</t>
  </si>
  <si>
    <t>三亚允达置业有限公司</t>
  </si>
  <si>
    <t>海棠湾C7片区控规C7-02-01、C7-02-02-a、C7-02-04地块</t>
  </si>
  <si>
    <t>SY2016-20</t>
  </si>
  <si>
    <t>≤0.48</t>
  </si>
  <si>
    <t>≤20</t>
  </si>
  <si>
    <t>已完工</t>
  </si>
  <si>
    <t>2016-12-01</t>
  </si>
  <si>
    <t>2016-12-20</t>
  </si>
  <si>
    <t>2016-12-30</t>
  </si>
  <si>
    <t>三土资告字[2016]20号</t>
  </si>
  <si>
    <t>海南满天星旅业开发有限公司</t>
  </si>
  <si>
    <t>三亚市吉阳区南丁北片区控规ND-003、ND-004、ND-005、ND-006、ND-007、ND-008、ND-009地块</t>
  </si>
  <si>
    <t>SY2016-14</t>
  </si>
  <si>
    <t>≤0.5</t>
  </si>
  <si>
    <t>≤30</t>
  </si>
  <si>
    <t>2016-09-14</t>
  </si>
  <si>
    <t>2016-10-07</t>
  </si>
  <si>
    <t>2016-10-17</t>
  </si>
  <si>
    <t>三土资告字[2016]14号</t>
  </si>
  <si>
    <t>三亚汇涛置业有限公司</t>
  </si>
  <si>
    <t>海棠湾A8片区A8-08-16、A8-08-19、A8-10-10地块</t>
  </si>
  <si>
    <t>SY2016-12</t>
  </si>
  <si>
    <t>≤0.6</t>
  </si>
  <si>
    <t>≤18</t>
  </si>
  <si>
    <t>2016-10-04</t>
  </si>
  <si>
    <t>2016-10-14</t>
  </si>
  <si>
    <t>三土资告字[2016]12号</t>
  </si>
  <si>
    <t>三亚石药德中健康产业园有限公司</t>
  </si>
  <si>
    <t>海棠湾C6片区A-2-3地块</t>
  </si>
  <si>
    <t>SY2016-13</t>
  </si>
  <si>
    <t>三土资告字[2016]13号</t>
  </si>
  <si>
    <t>保利(三亚)房地产开发有限公司</t>
  </si>
  <si>
    <t>海棠湾A8片区A8-08-13、A8-10-13、A8-10-15地块</t>
  </si>
  <si>
    <t>SY2016-11</t>
  </si>
  <si>
    <t>2016-10-03</t>
  </si>
  <si>
    <t>2016-10-13</t>
  </si>
  <si>
    <t>三土资告字[2016]11号</t>
  </si>
  <si>
    <t>三亚湾海坡片区控规HPC-08-14地块内</t>
  </si>
  <si>
    <t>SY2016-10</t>
  </si>
  <si>
    <t>≤2</t>
  </si>
  <si>
    <t>≤50</t>
  </si>
  <si>
    <t>2016-08-26</t>
  </si>
  <si>
    <t>2016-09-16</t>
  </si>
  <si>
    <t>2016-09-26</t>
  </si>
  <si>
    <t>三土资告字[2016]10号</t>
  </si>
  <si>
    <t>海南三亚湾新城开发有限公司</t>
  </si>
  <si>
    <t>大东海片区D-10地块内</t>
  </si>
  <si>
    <t>SY2016-09</t>
  </si>
  <si>
    <t>≤1.95</t>
  </si>
  <si>
    <t>≤52</t>
  </si>
  <si>
    <t>三土资告字[2016]9号</t>
  </si>
  <si>
    <t>三亚火车站站前区控规YC3-1-1地块内</t>
  </si>
  <si>
    <t>SY2016-08</t>
  </si>
  <si>
    <t>≤2.1</t>
  </si>
  <si>
    <t>≤40</t>
  </si>
  <si>
    <t>2016-08-19</t>
  </si>
  <si>
    <t>2016-09-10</t>
  </si>
  <si>
    <t>2016-09-20</t>
  </si>
  <si>
    <t>三土资告字[2016]8号</t>
  </si>
  <si>
    <t>三亚夏日实业发展有限公司</t>
  </si>
  <si>
    <t>海棠湾C6片区C-2-1、C-1-4地块</t>
  </si>
  <si>
    <t>SY2016-05</t>
  </si>
  <si>
    <t>2016-06-15</t>
  </si>
  <si>
    <t>2016-07-05</t>
  </si>
  <si>
    <t>2016-07-15</t>
  </si>
  <si>
    <t>三土资告字[2016]5号</t>
  </si>
  <si>
    <t>阳光人寿保险股份有限公司</t>
  </si>
  <si>
    <t>临春片区控规E-2地块内</t>
  </si>
  <si>
    <t>SY2016-01</t>
  </si>
  <si>
    <t>≤0.2</t>
  </si>
  <si>
    <t>≤12</t>
  </si>
  <si>
    <t>2016-02-01</t>
  </si>
  <si>
    <t>2016-02-23</t>
  </si>
  <si>
    <t>2016-03-04</t>
  </si>
  <si>
    <t>三土资告字[2016]1号</t>
  </si>
  <si>
    <t>首都机场地产集团有限公司</t>
  </si>
  <si>
    <t>海棠湾林旺片区F-3-2、F-4-1地块</t>
  </si>
  <si>
    <t>SY2015-13</t>
  </si>
  <si>
    <t>F-3-2为医院用地、F-4-1为商业服务业用地(其他商服用地)</t>
  </si>
  <si>
    <t>f-3-2≤1.5、f-4-1≤1.03</t>
  </si>
  <si>
    <t>F-3-2≤40%、F-4-1≤35%</t>
  </si>
  <si>
    <t>F-3-2:45米、F-4-1:21米</t>
  </si>
  <si>
    <t>2015-12-29</t>
  </si>
  <si>
    <t>2016-01-17</t>
  </si>
  <si>
    <t>2016-01-27</t>
  </si>
  <si>
    <t>三土环资告字[2015]13号</t>
  </si>
  <si>
    <t>三亚恒合融医院投资管理有限公司(恒大健康产业集团)</t>
  </si>
  <si>
    <t>商业40年、医院50年</t>
  </si>
  <si>
    <t>海棠湾林旺片区F-3-1地块</t>
  </si>
  <si>
    <t>SY2015-11</t>
  </si>
  <si>
    <t>2015-11-28</t>
  </si>
  <si>
    <t>2015-12-21</t>
  </si>
  <si>
    <t>2015-12-31</t>
  </si>
  <si>
    <t>三土环资告字[2015]11号</t>
  </si>
  <si>
    <t>国寿(三亚)健康投资有限公司</t>
  </si>
  <si>
    <t>海棠湾C6片区B-2-1地块和B-2-2地块</t>
  </si>
  <si>
    <t>SY2015-07</t>
  </si>
  <si>
    <t>≤35</t>
  </si>
  <si>
    <t>2015-10-01</t>
  </si>
  <si>
    <t>2015-10-26</t>
  </si>
  <si>
    <t>2015-11-06</t>
  </si>
  <si>
    <t>三土环资告字[2015]7号</t>
  </si>
  <si>
    <t>三亚新天房投资发展有限公司</t>
  </si>
  <si>
    <t>海棠湾B1片区B1-c1-25、B1-b2-1、B1-b1-12地块</t>
  </si>
  <si>
    <t>SY2015-04</t>
  </si>
  <si>
    <t>≤1</t>
  </si>
  <si>
    <t>2015-09-09</t>
  </si>
  <si>
    <t>2015-10-06</t>
  </si>
  <si>
    <t>2015-10-16</t>
  </si>
  <si>
    <t>三土环资告字[2015]4号</t>
  </si>
  <si>
    <t>齐瓦颂(三亚)养生社区开发有限公司</t>
  </si>
  <si>
    <t>海棠湾B1片区B1-d1-10a地块、B1-d1-10b地块和B1-d1-8地块</t>
  </si>
  <si>
    <t>SY2015-02</t>
  </si>
  <si>
    <t>≤60</t>
  </si>
  <si>
    <t>2015-06-05</t>
  </si>
  <si>
    <t>2015-07-01</t>
  </si>
  <si>
    <t>2015-07-10</t>
  </si>
  <si>
    <t>三土环资告字[2015]2号</t>
  </si>
  <si>
    <t>海南中海三邦友房地产开发有限责任公司</t>
  </si>
  <si>
    <t>海棠湾A5/A8/A9片区A8-03-26地块</t>
  </si>
  <si>
    <t>SY2015-01</t>
  </si>
  <si>
    <t>2015-02-06</t>
  </si>
  <si>
    <t>2015-02-28</t>
  </si>
  <si>
    <t>2015-03-10</t>
  </si>
  <si>
    <t>三土环资告字[2015]1号</t>
  </si>
  <si>
    <t>国旅(三亚)海棠湾投资发展有限公司</t>
  </si>
  <si>
    <t>海棠湾C6片区A-2-12地块</t>
  </si>
  <si>
    <t>SY2014-17</t>
  </si>
  <si>
    <t>小于或等于0.4</t>
  </si>
  <si>
    <t>小于或等于15%</t>
  </si>
  <si>
    <t>小于或等于10</t>
  </si>
  <si>
    <t>2014-09-28</t>
  </si>
  <si>
    <t>2014-10-17</t>
  </si>
  <si>
    <t>2014-10-27</t>
  </si>
  <si>
    <t>三土环资告字[2014]17号</t>
  </si>
  <si>
    <t>迎宾路西段控规(荔枝沟片区)LZG5-2-2和LZG5-2-8地块内</t>
  </si>
  <si>
    <t>SY2014-10</t>
  </si>
  <si>
    <t>小于或等于2.2</t>
  </si>
  <si>
    <t>小于或等于35%</t>
  </si>
  <si>
    <t>2014-07-09</t>
  </si>
  <si>
    <t>2014-07-29</t>
  </si>
  <si>
    <t>2014-08-07</t>
  </si>
  <si>
    <t>三土环资告字[2014]10号</t>
  </si>
  <si>
    <t>三亚富斯实业有限公司</t>
  </si>
  <si>
    <t>三亚市海棠湾C3片区A-10地块</t>
  </si>
  <si>
    <t>SY2014-05</t>
  </si>
  <si>
    <t>小于或等于0.3</t>
  </si>
  <si>
    <t>2014-04-16</t>
  </si>
  <si>
    <t>2014-05-11</t>
  </si>
  <si>
    <t>2014-05-21</t>
  </si>
  <si>
    <t>三土环资告字[2014]5号</t>
  </si>
  <si>
    <t>中国石油化工股份有限公司海南石油分公司</t>
  </si>
  <si>
    <t>三亚市海棠湾A5/8/9片区A8-05-20地块</t>
  </si>
  <si>
    <t>SY2014-06</t>
  </si>
  <si>
    <t>三土环资告字[2014]6号</t>
  </si>
  <si>
    <t>梅山红色旅游区11号地块</t>
  </si>
  <si>
    <t>崖州区</t>
  </si>
  <si>
    <t>SY2014-04</t>
  </si>
  <si>
    <t>小于或等于0.75</t>
  </si>
  <si>
    <t>小于或等于25%</t>
  </si>
  <si>
    <t>小于或等于30</t>
  </si>
  <si>
    <t>2014-04-08</t>
  </si>
  <si>
    <t>2014-04-30</t>
  </si>
  <si>
    <t>2014-05-14</t>
  </si>
  <si>
    <t>三土环资告字[2014]4号</t>
  </si>
  <si>
    <t>三亚三力置业投资有限公司</t>
  </si>
  <si>
    <t>1星</t>
  </si>
  <si>
    <t>三亚市河西片区旧城改造城市设计暨控制性详细规划HX6-3-1地块内</t>
  </si>
  <si>
    <t>SY2014-01</t>
  </si>
  <si>
    <t>小于或等于4.2</t>
  </si>
  <si>
    <t>2014-01-06</t>
  </si>
  <si>
    <t>2014-01-24</t>
  </si>
  <si>
    <t>2014-02-11</t>
  </si>
  <si>
    <t>三土环资告字[2014]1号</t>
  </si>
  <si>
    <t>三亚碧城房地产开发有限公司</t>
  </si>
  <si>
    <t>29年</t>
  </si>
  <si>
    <t>三亚市创意产业园CY03-09-01地块</t>
  </si>
  <si>
    <t>SY2013-34</t>
  </si>
  <si>
    <t>小于或等于1.5</t>
  </si>
  <si>
    <t>小于或等于30%</t>
  </si>
  <si>
    <t>小于或等于50</t>
  </si>
  <si>
    <t>2013-12-27</t>
  </si>
  <si>
    <t>2014-01-17</t>
  </si>
  <si>
    <t>2014-01-27</t>
  </si>
  <si>
    <t>三土环资告字[2013]34号</t>
  </si>
  <si>
    <t>三亚北大科技园实业开发有限公司</t>
  </si>
  <si>
    <t>收益法</t>
  </si>
  <si>
    <t>自定义</t>
  </si>
  <si>
    <t>钢混</t>
  </si>
  <si>
    <t>非生产用房</t>
  </si>
  <si>
    <t>出让</t>
  </si>
  <si>
    <t>成本法</t>
  </si>
  <si>
    <t>吉阳区</t>
    <phoneticPr fontId="31" type="noConversion"/>
  </si>
  <si>
    <t>海棠区</t>
    <phoneticPr fontId="3" type="noConversion"/>
  </si>
  <si>
    <t>天崖区</t>
    <phoneticPr fontId="3" type="noConversion"/>
  </si>
  <si>
    <t>旅游用地</t>
  </si>
  <si>
    <t>旅游用地</t>
    <phoneticPr fontId="31" type="noConversion"/>
  </si>
  <si>
    <t>单位面积地价</t>
  </si>
  <si>
    <t>未包含在土地购买价格中</t>
  </si>
  <si>
    <t>全部缴纳</t>
  </si>
  <si>
    <t>已包含在土地取得成本中</t>
  </si>
  <si>
    <t>较好</t>
  </si>
  <si>
    <t>较好</t>
    <phoneticPr fontId="31" type="noConversion"/>
  </si>
  <si>
    <t>六通</t>
  </si>
  <si>
    <t>六通</t>
    <phoneticPr fontId="31" type="noConversion"/>
  </si>
  <si>
    <t>五通</t>
    <phoneticPr fontId="31" type="noConversion"/>
  </si>
  <si>
    <t>四通</t>
    <phoneticPr fontId="31" type="noConversion"/>
  </si>
  <si>
    <t>三通</t>
    <phoneticPr fontId="31" type="noConversion"/>
  </si>
  <si>
    <t>好</t>
    <phoneticPr fontId="31" type="noConversion"/>
  </si>
  <si>
    <t>一般</t>
  </si>
  <si>
    <t>一般</t>
    <phoneticPr fontId="31" type="noConversion"/>
  </si>
  <si>
    <t>较差</t>
    <phoneticPr fontId="31" type="noConversion"/>
  </si>
  <si>
    <t>差</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</si>
  <si>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</si>
  <si>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</si>
  <si>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</si>
  <si>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</si>
  <si>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</si>
  <si>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</si>
  <si>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</si>
  <si>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</si>
  <si>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</si>
  <si>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</si>
  <si>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</si>
  <si>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</si>
  <si>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</si>
  <si>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</si>
  <si>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</si>
  <si>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</si>
  <si>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园景房</t>
    <phoneticPr fontId="3" type="noConversion"/>
  </si>
  <si>
    <t>豪华园景房</t>
    <phoneticPr fontId="3" type="noConversion"/>
  </si>
  <si>
    <t xml:space="preserve">尊享海景套房  </t>
    <phoneticPr fontId="3" type="noConversion"/>
  </si>
  <si>
    <t xml:space="preserve">经典海景套房   </t>
    <phoneticPr fontId="3" type="noConversion"/>
  </si>
  <si>
    <t xml:space="preserve">极致海景套房  </t>
    <phoneticPr fontId="3" type="noConversion"/>
  </si>
  <si>
    <t xml:space="preserve">超级豪华海景家庭套房  </t>
    <phoneticPr fontId="3" type="noConversion"/>
  </si>
  <si>
    <t xml:space="preserve">海景家庭套房 </t>
    <phoneticPr fontId="3" type="noConversion"/>
  </si>
  <si>
    <t xml:space="preserve">休闲海景套房   </t>
    <phoneticPr fontId="3" type="noConversion"/>
  </si>
  <si>
    <t xml:space="preserve">豪华园景家庭套房 </t>
    <phoneticPr fontId="3" type="noConversion"/>
  </si>
  <si>
    <t xml:space="preserve">园景家庭套房  </t>
    <phoneticPr fontId="3" type="noConversion"/>
  </si>
  <si>
    <t xml:space="preserve">海景房 </t>
    <phoneticPr fontId="3" type="noConversion"/>
  </si>
  <si>
    <t xml:space="preserve">豪华海景房 </t>
    <phoneticPr fontId="3" type="noConversion"/>
  </si>
  <si>
    <t xml:space="preserve">环礁泳池景房 </t>
    <phoneticPr fontId="3" type="noConversion"/>
  </si>
  <si>
    <t xml:space="preserve">环礁泳池小套房 </t>
    <phoneticPr fontId="3" type="noConversion"/>
  </si>
  <si>
    <t>超级豪华海景小套房</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</si>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</sst>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 fillId="0" borderId="0" xfId="0" applyFont="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120" fillId="5"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9" fillId="0"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49" fontId="178" fillId="0" borderId="23"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20</xdr:col>
      <xdr:colOff>246857</xdr:colOff>
      <xdr:row>21</xdr:row>
      <xdr:rowOff>102099</xdr:rowOff>
    </xdr:to>
    <xdr:pic>
      <xdr:nvPicPr>
        <xdr:cNvPr id="2" name="图片 1"/>
        <xdr:cNvPicPr>
          <a:picLocks noChangeAspect="1"/>
        </xdr:cNvPicPr>
      </xdr:nvPicPr>
      <xdr:blipFill>
        <a:blip xmlns:r="http://schemas.openxmlformats.org/officeDocument/2006/relationships" r:embed="rId1"/>
        <a:stretch>
          <a:fillRect/>
        </a:stretch>
      </xdr:blipFill>
      <xdr:spPr>
        <a:xfrm>
          <a:off x="6469380" y="0"/>
          <a:ext cx="6342857" cy="3990476"/>
        </a:xfrm>
        <a:prstGeom prst="rect">
          <a:avLst/>
        </a:prstGeom>
      </xdr:spPr>
    </xdr:pic>
    <xdr:clientData/>
  </xdr:twoCellAnchor>
  <xdr:twoCellAnchor editAs="oneCell">
    <xdr:from>
      <xdr:col>10</xdr:col>
      <xdr:colOff>96982</xdr:colOff>
      <xdr:row>22</xdr:row>
      <xdr:rowOff>55418</xdr:rowOff>
    </xdr:from>
    <xdr:to>
      <xdr:col>19</xdr:col>
      <xdr:colOff>582011</xdr:colOff>
      <xdr:row>48</xdr:row>
      <xdr:rowOff>158314</xdr:rowOff>
    </xdr:to>
    <xdr:pic>
      <xdr:nvPicPr>
        <xdr:cNvPr id="3" name="图片 2"/>
        <xdr:cNvPicPr>
          <a:picLocks noChangeAspect="1"/>
        </xdr:cNvPicPr>
      </xdr:nvPicPr>
      <xdr:blipFill>
        <a:blip xmlns:r="http://schemas.openxmlformats.org/officeDocument/2006/relationships" r:embed="rId2"/>
        <a:stretch>
          <a:fillRect/>
        </a:stretch>
      </xdr:blipFill>
      <xdr:spPr>
        <a:xfrm>
          <a:off x="7107382" y="4045527"/>
          <a:ext cx="5971429" cy="3899042"/>
        </a:xfrm>
        <a:prstGeom prst="rect">
          <a:avLst/>
        </a:prstGeom>
      </xdr:spPr>
    </xdr:pic>
    <xdr:clientData/>
  </xdr:twoCellAnchor>
  <xdr:twoCellAnchor editAs="oneCell">
    <xdr:from>
      <xdr:col>21</xdr:col>
      <xdr:colOff>27709</xdr:colOff>
      <xdr:row>0</xdr:row>
      <xdr:rowOff>0</xdr:rowOff>
    </xdr:from>
    <xdr:to>
      <xdr:col>31</xdr:col>
      <xdr:colOff>103138</xdr:colOff>
      <xdr:row>21</xdr:row>
      <xdr:rowOff>84438</xdr:rowOff>
    </xdr:to>
    <xdr:pic>
      <xdr:nvPicPr>
        <xdr:cNvPr id="4" name="图片 3"/>
        <xdr:cNvPicPr>
          <a:picLocks noChangeAspect="1"/>
        </xdr:cNvPicPr>
      </xdr:nvPicPr>
      <xdr:blipFill>
        <a:blip xmlns:r="http://schemas.openxmlformats.org/officeDocument/2006/relationships" r:embed="rId3"/>
        <a:stretch>
          <a:fillRect/>
        </a:stretch>
      </xdr:blipFill>
      <xdr:spPr>
        <a:xfrm>
          <a:off x="13203382" y="0"/>
          <a:ext cx="6171429" cy="3913240"/>
        </a:xfrm>
        <a:prstGeom prst="rect">
          <a:avLst/>
        </a:prstGeom>
      </xdr:spPr>
    </xdr:pic>
    <xdr:clientData/>
  </xdr:twoCellAnchor>
  <xdr:twoCellAnchor editAs="oneCell">
    <xdr:from>
      <xdr:col>20</xdr:col>
      <xdr:colOff>498763</xdr:colOff>
      <xdr:row>22</xdr:row>
      <xdr:rowOff>110837</xdr:rowOff>
    </xdr:from>
    <xdr:to>
      <xdr:col>32</xdr:col>
      <xdr:colOff>507372</xdr:colOff>
      <xdr:row>49</xdr:row>
      <xdr:rowOff>55959</xdr:rowOff>
    </xdr:to>
    <xdr:pic>
      <xdr:nvPicPr>
        <xdr:cNvPr id="5" name="图片 4"/>
        <xdr:cNvPicPr>
          <a:picLocks noChangeAspect="1"/>
        </xdr:cNvPicPr>
      </xdr:nvPicPr>
      <xdr:blipFill>
        <a:blip xmlns:r="http://schemas.openxmlformats.org/officeDocument/2006/relationships" r:embed="rId4"/>
        <a:stretch>
          <a:fillRect/>
        </a:stretch>
      </xdr:blipFill>
      <xdr:spPr>
        <a:xfrm>
          <a:off x="13605163" y="4100946"/>
          <a:ext cx="7323809" cy="39213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1209</v>
      </c>
      <c r="B1" s="1584" t="s">
        <v>1288</v>
      </c>
    </row>
    <row r="2" spans="1:2" s="1589" customFormat="1" ht="16.2" thickTop="1">
      <c r="A2" s="1587" t="s">
        <v>1210</v>
      </c>
      <c r="B2" s="1588" t="str">
        <f>'预评函-封皮'!B37:I37</f>
        <v>北京市海南省三亚市亚龙湾滨海路红树林度假酒店房地产市场价值预评估</v>
      </c>
    </row>
    <row r="3" spans="1:2" s="1592" customFormat="1">
      <c r="A3" s="1590" t="s">
        <v>1211</v>
      </c>
      <c r="B3" s="1591" t="str">
        <f>'预评函-封皮'!B40</f>
        <v>三亚红树林旅业有限公司</v>
      </c>
    </row>
    <row r="4" spans="1:2" s="1592" customFormat="1">
      <c r="A4" s="1590" t="s">
        <v>1212</v>
      </c>
      <c r="B4" s="1591" t="str">
        <f ca="1">'预评函-封皮'!B46</f>
        <v>吴薇（注册号：1419970001)、郑燚（注册号：1120070131)</v>
      </c>
    </row>
    <row r="5" spans="1:2" s="1586" customFormat="1" ht="16.2" thickBot="1">
      <c r="A5" s="1593" t="s">
        <v>1213</v>
      </c>
      <c r="B5" s="1594" t="str">
        <f>'预评函-封皮'!B49</f>
        <v>康正预评字号</v>
      </c>
    </row>
    <row r="6" spans="1:2" s="1589" customFormat="1" ht="16.2" thickTop="1">
      <c r="A6" s="1587" t="s">
        <v>1214</v>
      </c>
      <c r="B6" s="1588" t="str">
        <f>'预评函-1'!A4</f>
        <v>受贵公司委托，我公司对北京市海南省三亚市亚龙湾滨海路红树林度假酒店房地产市场价值进行了预评估。</v>
      </c>
    </row>
    <row r="7" spans="1:2" s="1592" customFormat="1">
      <c r="A7" s="1590" t="s">
        <v>1254</v>
      </c>
      <c r="B7" s="1591" t="str">
        <f>'预评函-1'!A7</f>
        <v>估价对象为北京市海南省三亚市亚龙湾滨海路红树林度假酒店房地产，为三亚红树林旅业有限公司所有。根据《国有土地使用证》[]，估价对象（分摊）出让国有建设用地使用权面积为99999.9平方米，建筑面积为57477.44平方米。</v>
      </c>
    </row>
    <row r="8" spans="1:2" s="1592" customFormat="1">
      <c r="A8" s="1590" t="s">
        <v>1255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1256</v>
      </c>
      <c r="B9" s="1591" t="str">
        <f>'预评函-1'!A10</f>
        <v>估价对象为北京市海南省三亚市亚龙湾滨海路红树林度假酒店房地产,属三亚红树林旅业有限公司开发建设的商业项目，该项目尚在开发建设中。根据《国有土地使用证》[]，估价对象（分摊）出让国有建设用地使用权面积为99999.9平方米，规划建筑面积为57477.44平方米。</v>
      </c>
    </row>
    <row r="10" spans="1:2" s="1592" customFormat="1">
      <c r="A10" s="1590" t="s">
        <v>1257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1215</v>
      </c>
      <c r="B11" s="1591" t="str">
        <f>'预评函-1'!A13</f>
        <v>为估价委托人了解估价对象房地产市场价值提供参考依据。</v>
      </c>
    </row>
    <row r="12" spans="1:2" s="1592" customFormat="1">
      <c r="A12" s="1590" t="s">
        <v>1216</v>
      </c>
      <c r="B12" s="1591" t="str">
        <f>'预评函-1'!A15</f>
        <v>2019年10月30日（评估专业人员实地查勘之日）</v>
      </c>
    </row>
    <row r="13" spans="1:2" s="1592" customFormat="1">
      <c r="A13" s="1590" t="s">
        <v>1217</v>
      </c>
      <c r="B13" s="1591" t="str">
        <f>'预评函-1'!A18</f>
        <v>本次估价的“房地产价值”是指在正常市场情况下，在价值时点2019年10月30日，估价对象规划用途为，土地取得方式为出让，出让国有建设用地使用权剩余土地使用年限为，假定未设立法定优先受偿款下的房地产市场价值。</v>
      </c>
    </row>
    <row r="14" spans="1:2" s="1592" customFormat="1">
      <c r="A14" s="1590" t="s">
        <v>1218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1219</v>
      </c>
      <c r="B15" s="1591" t="str">
        <f>'预评函-1'!A20</f>
        <v>——</v>
      </c>
    </row>
    <row r="16" spans="1:2" s="1592" customFormat="1">
      <c r="A16" s="1590" t="s">
        <v>1220</v>
      </c>
      <c r="B16" s="1591" t="str">
        <f>'预评函-1'!A21</f>
        <v>——</v>
      </c>
    </row>
    <row r="17" spans="1:2" s="1592" customFormat="1">
      <c r="A17" s="1590" t="s">
        <v>1221</v>
      </c>
      <c r="B17" s="1591" t="str">
        <f>'预评函-1'!A22</f>
        <v>——</v>
      </c>
    </row>
    <row r="18" spans="1:2" s="1586" customFormat="1" ht="16.2" thickBot="1">
      <c r="A18" s="1593" t="s">
        <v>1222</v>
      </c>
      <c r="B18" s="1594" t="str">
        <f>'预评函-1'!A24</f>
        <v>本次评估采用的主估价方法为成本法和收益法。</v>
      </c>
    </row>
    <row r="19" spans="1:2" s="1589" customFormat="1" ht="16.2" thickTop="1">
      <c r="A19" s="1587" t="s">
        <v>1223</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1224</v>
      </c>
      <c r="B20" s="1591">
        <f ca="1">'预评函-2'!D5</f>
        <v>147162</v>
      </c>
    </row>
    <row r="21" spans="1:2" s="1592" customFormat="1">
      <c r="A21" s="1590" t="s">
        <v>1225</v>
      </c>
      <c r="B21" s="1591">
        <f ca="1">'预评函-2'!D7</f>
        <v>25603</v>
      </c>
    </row>
    <row r="22" spans="1:2" s="1592" customFormat="1">
      <c r="A22" s="1590" t="s">
        <v>1226</v>
      </c>
      <c r="B22" s="1591" t="str">
        <f ca="1">'预评函-2'!D6</f>
        <v>壹拾肆亿柒仟壹佰陆拾贰万元整</v>
      </c>
    </row>
    <row r="23" spans="1:2" s="1592" customFormat="1">
      <c r="A23" s="1590" t="s">
        <v>1277</v>
      </c>
      <c r="B23" s="1591" t="str">
        <f>'预评函-2'!B8</f>
        <v>2.估价师知悉的法定优先受偿款</v>
      </c>
    </row>
    <row r="24" spans="1:2" s="1592" customFormat="1">
      <c r="A24" s="1590" t="s">
        <v>1283</v>
      </c>
      <c r="B24" s="1591">
        <f>'预评函-2'!D8</f>
        <v>0</v>
      </c>
    </row>
    <row r="25" spans="1:2" s="1592" customFormat="1">
      <c r="A25" s="1590" t="s">
        <v>1227</v>
      </c>
      <c r="B25" s="1591" t="str">
        <f>'预评函-2'!D9</f>
        <v>零元整</v>
      </c>
    </row>
    <row r="26" spans="1:2" s="1592" customFormat="1">
      <c r="A26" s="1590" t="s">
        <v>1228</v>
      </c>
      <c r="B26" s="1591">
        <f>'预评函-2'!D10</f>
        <v>0</v>
      </c>
    </row>
    <row r="27" spans="1:2" s="1592" customFormat="1">
      <c r="A27" s="1590" t="s">
        <v>1229</v>
      </c>
      <c r="B27" s="1591">
        <f>'预评函-2'!D11</f>
        <v>0</v>
      </c>
    </row>
    <row r="28" spans="1:2" s="1592" customFormat="1">
      <c r="A28" s="1590" t="s">
        <v>1230</v>
      </c>
      <c r="B28" s="1591">
        <f>'预评函-2'!D12</f>
        <v>0</v>
      </c>
    </row>
    <row r="29" spans="1:2" s="1592" customFormat="1">
      <c r="A29" s="1590" t="s">
        <v>1281</v>
      </c>
      <c r="B29" s="1591" t="str">
        <f>'预评函-2'!B13</f>
        <v>3.房地产抵押价值</v>
      </c>
    </row>
    <row r="30" spans="1:2" s="1592" customFormat="1">
      <c r="A30" s="1590" t="s">
        <v>1282</v>
      </c>
      <c r="B30" s="1591">
        <f ca="1">'预评函-2'!D13</f>
        <v>147162</v>
      </c>
    </row>
    <row r="31" spans="1:2" s="1592" customFormat="1">
      <c r="A31" s="1590" t="s">
        <v>1264</v>
      </c>
      <c r="B31" s="1591">
        <f ca="1">'预评函-2'!D15</f>
        <v>25603</v>
      </c>
    </row>
    <row r="32" spans="1:2" s="1592" customFormat="1">
      <c r="A32" s="1590" t="s">
        <v>1231</v>
      </c>
      <c r="B32" s="1591" t="str">
        <f ca="1">'预评函-2'!D14</f>
        <v>壹拾肆亿柒仟壹佰陆拾贰万元整</v>
      </c>
    </row>
    <row r="33" spans="1:2" s="1592" customFormat="1">
      <c r="A33" s="1590" t="s">
        <v>1266</v>
      </c>
      <c r="B33" s="1591" t="str">
        <f>'预评函-2'!B16</f>
        <v>——</v>
      </c>
    </row>
    <row r="34" spans="1:2" s="1592" customFormat="1">
      <c r="A34" s="1590" t="s">
        <v>1284</v>
      </c>
      <c r="B34" s="1591" t="str">
        <f>'预评函-2'!D16</f>
        <v>——</v>
      </c>
    </row>
    <row r="35" spans="1:2" s="1592" customFormat="1">
      <c r="A35" s="1590" t="s">
        <v>1265</v>
      </c>
      <c r="B35" s="1591" t="str">
        <f>'预评函-2'!D18</f>
        <v>——</v>
      </c>
    </row>
    <row r="36" spans="1:2" s="1592" customFormat="1">
      <c r="A36" s="1590" t="s">
        <v>1232</v>
      </c>
      <c r="B36" s="1591" t="e">
        <f>'预评函-2'!D17</f>
        <v>#VALUE!</v>
      </c>
    </row>
    <row r="37" spans="1:2" s="1592" customFormat="1">
      <c r="A37" s="1590" t="s">
        <v>1267</v>
      </c>
      <c r="B37" s="1591" t="str">
        <f>'预评函-2'!B19</f>
        <v>——</v>
      </c>
    </row>
    <row r="38" spans="1:2" s="1592" customFormat="1">
      <c r="A38" s="1590" t="s">
        <v>1285</v>
      </c>
      <c r="B38" s="1591" t="str">
        <f>'预评函-2'!D19</f>
        <v>——</v>
      </c>
    </row>
    <row r="39" spans="1:2" s="1592" customFormat="1">
      <c r="A39" s="1590" t="s">
        <v>1233</v>
      </c>
      <c r="B39" s="1591" t="str">
        <f>'预评函-2'!D21</f>
        <v>——</v>
      </c>
    </row>
    <row r="40" spans="1:2" s="1592" customFormat="1">
      <c r="A40" s="1590" t="s">
        <v>1234</v>
      </c>
      <c r="B40" s="1591" t="e">
        <f>'预评函-2'!D20</f>
        <v>#VALUE!</v>
      </c>
    </row>
    <row r="41" spans="1:2" s="1592" customFormat="1">
      <c r="A41" s="1590" t="s">
        <v>1280</v>
      </c>
      <c r="B41" s="1591" t="str">
        <f>'预评函-3'!A4</f>
        <v>北京市海南省三亚市亚龙湾滨海路红树林度假酒店房地产</v>
      </c>
    </row>
    <row r="42" spans="1:2" s="1592" customFormat="1" ht="31.2">
      <c r="A42" s="1590" t="s">
        <v>1278</v>
      </c>
      <c r="B42" s="1591" t="str">
        <f>'预评函-3'!B2</f>
        <v>建筑面积</v>
      </c>
    </row>
    <row r="43" spans="1:2" s="1592" customFormat="1">
      <c r="A43" s="1590" t="s">
        <v>1279</v>
      </c>
      <c r="B43" s="1591">
        <f>'预评函-3'!B4</f>
        <v>57477.440000000002</v>
      </c>
    </row>
    <row r="44" spans="1:2" s="1592" customFormat="1" ht="31.2">
      <c r="A44" s="1590" t="s">
        <v>1263</v>
      </c>
      <c r="B44" s="1591" t="str">
        <f>'预评函-3'!C2</f>
        <v>(分摊)土地面积</v>
      </c>
    </row>
    <row r="45" spans="1:2" s="1592" customFormat="1">
      <c r="A45" s="1590" t="s">
        <v>1235</v>
      </c>
      <c r="B45" s="1591">
        <f>'预评函-3'!C4</f>
        <v>99999.9</v>
      </c>
    </row>
    <row r="46" spans="1:2" s="1592" customFormat="1">
      <c r="A46" s="1590" t="s">
        <v>1261</v>
      </c>
      <c r="B46" s="1591" t="str">
        <f>'预评函-3'!D2</f>
        <v>出让国有建设用地使用权价值</v>
      </c>
    </row>
    <row r="47" spans="1:2" s="1592" customFormat="1">
      <c r="A47" s="1590" t="s">
        <v>1236</v>
      </c>
      <c r="B47" s="1591">
        <f ca="1">'预评函-3'!D4</f>
        <v>87120</v>
      </c>
    </row>
    <row r="48" spans="1:2" s="1592" customFormat="1">
      <c r="A48" s="1590" t="s">
        <v>1237</v>
      </c>
      <c r="B48" s="1591">
        <f ca="1">'预评函-3'!E4</f>
        <v>15157</v>
      </c>
    </row>
    <row r="49" spans="1:2" s="1592" customFormat="1">
      <c r="A49" s="1590" t="s">
        <v>1238</v>
      </c>
      <c r="B49" s="1591" t="str">
        <f ca="1">'预评函-3'!D5</f>
        <v>捌亿柒仟壹佰贰拾万元整</v>
      </c>
    </row>
    <row r="50" spans="1:2" s="1592" customFormat="1">
      <c r="A50" s="1590" t="s">
        <v>1262</v>
      </c>
      <c r="B50" s="1591" t="str">
        <f>'预评函-3'!F2</f>
        <v>在建建筑物价值</v>
      </c>
    </row>
    <row r="51" spans="1:2" s="1592" customFormat="1">
      <c r="A51" s="1590" t="s">
        <v>1239</v>
      </c>
      <c r="B51" s="1591">
        <f ca="1">'预评函-3'!F4</f>
        <v>60042</v>
      </c>
    </row>
    <row r="52" spans="1:2" s="1592" customFormat="1">
      <c r="A52" s="1590" t="s">
        <v>1240</v>
      </c>
      <c r="B52" s="1591">
        <f ca="1">'预评函-3'!G4</f>
        <v>10446</v>
      </c>
    </row>
    <row r="53" spans="1:2" s="1592" customFormat="1">
      <c r="A53" s="1590" t="s">
        <v>1268</v>
      </c>
      <c r="B53" s="1591" t="str">
        <f ca="1">'预评函-3'!F5</f>
        <v>陆亿零肆拾贰万元整</v>
      </c>
    </row>
    <row r="54" spans="1:2" s="1592" customFormat="1">
      <c r="A54" s="1590" t="s">
        <v>1286</v>
      </c>
      <c r="B54" s="1591" t="str">
        <f>'预评函-3'!A8</f>
        <v/>
      </c>
    </row>
    <row r="55" spans="1:2" s="1592" customFormat="1">
      <c r="A55" s="1590" t="s">
        <v>1269</v>
      </c>
      <c r="B55" s="1591" t="str">
        <f>'预评函-3'!A10</f>
        <v/>
      </c>
    </row>
    <row r="56" spans="1:2" s="1592" customFormat="1">
      <c r="A56" s="1590" t="s">
        <v>1270</v>
      </c>
      <c r="B56" s="1591" t="str">
        <f>'预评函-3'!A12</f>
        <v/>
      </c>
    </row>
    <row r="57" spans="1:2" s="1586" customFormat="1" ht="16.2" thickBot="1">
      <c r="A57" s="1593" t="s">
        <v>1287</v>
      </c>
      <c r="B57" s="1594" t="str">
        <f>'预评函-3'!A6</f>
        <v/>
      </c>
    </row>
    <row r="58" spans="1:2" s="1589" customFormat="1" ht="16.2" thickTop="1">
      <c r="A58" s="1587" t="s">
        <v>1241</v>
      </c>
      <c r="B58" s="1588" t="str">
        <f>'预评函-4'!A12</f>
        <v>2.本次评估设定估价对象房地产权属无争议，未被查封或者以其他形式限制其房地产权利，未设定抵押权等他项权利，不涉及第三方权利义务。</v>
      </c>
    </row>
    <row r="59" spans="1:2" s="1592" customFormat="1">
      <c r="A59" s="1590" t="s">
        <v>1242</v>
      </c>
      <c r="B59" s="1591" t="str">
        <f>'预评函-4'!A13</f>
        <v>——</v>
      </c>
    </row>
    <row r="60" spans="1:2" s="1592" customFormat="1">
      <c r="A60" s="1590" t="s">
        <v>1243</v>
      </c>
      <c r="B60" s="1591" t="str">
        <f>'预评函-4'!A14</f>
        <v>——</v>
      </c>
    </row>
    <row r="61" spans="1:2" s="1592" customFormat="1">
      <c r="A61" s="1590" t="s">
        <v>1244</v>
      </c>
      <c r="B61" s="1591" t="str">
        <f>'预评函-4'!A15</f>
        <v>——</v>
      </c>
    </row>
    <row r="62" spans="1:2" s="1592" customFormat="1">
      <c r="A62" s="1590" t="s">
        <v>1245</v>
      </c>
      <c r="B62" s="1591" t="str">
        <f>'预评函-4'!A16</f>
        <v>（2）根据《工程款支付情况说明》，截至价值时点，估价对象不存在应付未付工程款项。（只要没有施工方盖章的，均“设定”进行表述）</v>
      </c>
    </row>
    <row r="63" spans="1:2" s="1592" customFormat="1">
      <c r="A63" s="1590" t="s">
        <v>1246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1258</v>
      </c>
      <c r="B64" s="1591" t="str">
        <f>'预评函-4'!A18</f>
        <v>——</v>
      </c>
    </row>
    <row r="65" spans="1:2" s="1592" customFormat="1">
      <c r="A65" s="1590" t="s">
        <v>1247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1248</v>
      </c>
      <c r="B66" s="1591" t="str">
        <f>'预评函-4'!A20</f>
        <v>——</v>
      </c>
    </row>
    <row r="67" spans="1:2" s="1592" customFormat="1">
      <c r="A67" s="1590" t="s">
        <v>1259</v>
      </c>
      <c r="B67" s="1591" t="str">
        <f>'预评函-4'!A21</f>
        <v>——</v>
      </c>
    </row>
    <row r="68" spans="1:2" s="1592" customFormat="1">
      <c r="A68" s="1590" t="s">
        <v>1260</v>
      </c>
      <c r="B68" s="1591" t="str">
        <f>'预评函-4'!A22</f>
        <v>8.其他需特殊说明事项：无（注意调整序号）</v>
      </c>
    </row>
    <row r="69" spans="1:2" s="1586" customFormat="1" ht="16.2" thickBot="1">
      <c r="A69" s="1593" t="s">
        <v>1249</v>
      </c>
      <c r="B69" s="1595">
        <f>'预评函-4'!C31</f>
        <v>42551</v>
      </c>
    </row>
    <row r="70" spans="1:2" ht="16.2" thickTop="1">
      <c r="A70" s="1596" t="s">
        <v>1250</v>
      </c>
      <c r="B70" s="1597" t="str">
        <f>'预评函-4'!A4</f>
        <v>吴薇</v>
      </c>
    </row>
    <row r="71" spans="1:2">
      <c r="A71" s="1590" t="s">
        <v>1251</v>
      </c>
      <c r="B71" s="1591">
        <f ca="1">'预评函-4'!B4</f>
        <v>1419970001</v>
      </c>
    </row>
    <row r="72" spans="1:2">
      <c r="A72" s="1590" t="s">
        <v>1252</v>
      </c>
      <c r="B72" s="1599" t="str">
        <f>'预评函-4'!A5</f>
        <v>郑燚</v>
      </c>
    </row>
    <row r="73" spans="1:2" s="1586" customFormat="1" ht="16.2" thickBot="1">
      <c r="A73" s="1593" t="s">
        <v>1253</v>
      </c>
      <c r="B73" s="1594">
        <f ca="1">'预评函-4'!B5</f>
        <v>1120070131</v>
      </c>
    </row>
    <row r="74" spans="1:2" ht="16.2" thickTop="1">
      <c r="A74" s="1583" t="s">
        <v>1289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1679</v>
      </c>
      <c r="C1" s="2007" t="s">
        <v>759</v>
      </c>
      <c r="D1" s="2008" t="s">
        <v>1680</v>
      </c>
      <c r="E1" s="2008" t="s">
        <v>1681</v>
      </c>
      <c r="F1" s="2008" t="s">
        <v>1682</v>
      </c>
      <c r="G1" s="2008" t="s">
        <v>1683</v>
      </c>
      <c r="H1" s="2008" t="s">
        <v>1684</v>
      </c>
      <c r="I1" s="2008" t="s">
        <v>1685</v>
      </c>
      <c r="J1" s="2008" t="s">
        <v>1686</v>
      </c>
      <c r="K1" s="2008" t="s">
        <v>1687</v>
      </c>
      <c r="L1" s="2008" t="s">
        <v>1688</v>
      </c>
      <c r="M1" s="2008" t="s">
        <v>1689</v>
      </c>
      <c r="N1" s="2008" t="s">
        <v>1690</v>
      </c>
      <c r="O1" s="2008" t="s">
        <v>1691</v>
      </c>
      <c r="P1" s="2009" t="s">
        <v>753</v>
      </c>
      <c r="Q1" s="2009" t="s">
        <v>1135</v>
      </c>
      <c r="R1" s="2008" t="s">
        <v>1129</v>
      </c>
      <c r="S1" s="2008" t="s">
        <v>1692</v>
      </c>
      <c r="T1" s="2010" t="s">
        <v>1693</v>
      </c>
      <c r="U1" s="2008" t="s">
        <v>1694</v>
      </c>
      <c r="V1" s="2008" t="s">
        <v>1695</v>
      </c>
      <c r="W1" s="2008" t="s">
        <v>755</v>
      </c>
    </row>
    <row r="2" spans="1:23">
      <c r="A2" s="2012" t="s">
        <v>22</v>
      </c>
      <c r="B2" s="2012" t="s">
        <v>1696</v>
      </c>
      <c r="C2" s="2013" t="s">
        <v>760</v>
      </c>
      <c r="D2" s="2014" t="s">
        <v>1697</v>
      </c>
      <c r="E2" s="2014" t="s">
        <v>1698</v>
      </c>
      <c r="F2" s="2014" t="s">
        <v>1699</v>
      </c>
      <c r="G2" s="2014">
        <v>40</v>
      </c>
      <c r="H2" s="2014" t="s">
        <v>1699</v>
      </c>
      <c r="I2" s="2014" t="s">
        <v>1700</v>
      </c>
      <c r="J2" s="2014" t="s">
        <v>1701</v>
      </c>
      <c r="K2" s="2014" t="s">
        <v>1702</v>
      </c>
      <c r="L2" s="2014" t="s">
        <v>1702</v>
      </c>
      <c r="M2" s="2014" t="s">
        <v>1702</v>
      </c>
      <c r="N2" s="2014" t="s">
        <v>1702</v>
      </c>
      <c r="O2" s="2014" t="s">
        <v>1702</v>
      </c>
      <c r="P2" s="2014" t="s">
        <v>1702</v>
      </c>
      <c r="Q2" s="2014" t="s">
        <v>1702</v>
      </c>
      <c r="R2" s="2014" t="s">
        <v>1131</v>
      </c>
      <c r="S2" s="2014" t="s">
        <v>1702</v>
      </c>
      <c r="T2" s="2014" t="s">
        <v>1703</v>
      </c>
      <c r="U2" s="2014" t="s">
        <v>1702</v>
      </c>
      <c r="V2" s="2014" t="s">
        <v>1704</v>
      </c>
      <c r="W2" s="2014" t="s">
        <v>1702</v>
      </c>
    </row>
    <row r="3" spans="1:23">
      <c r="A3" s="2012" t="s">
        <v>1705</v>
      </c>
      <c r="B3" s="2015" t="s">
        <v>1136</v>
      </c>
      <c r="C3" s="2016" t="s">
        <v>761</v>
      </c>
      <c r="D3" s="2014" t="s">
        <v>1706</v>
      </c>
      <c r="E3" s="2014" t="s">
        <v>16</v>
      </c>
      <c r="F3" s="2014" t="s">
        <v>1707</v>
      </c>
      <c r="G3" s="2014">
        <v>50</v>
      </c>
      <c r="H3" s="2014" t="s">
        <v>1707</v>
      </c>
      <c r="I3" s="2014" t="s">
        <v>1708</v>
      </c>
      <c r="J3" s="2014" t="s">
        <v>1709</v>
      </c>
      <c r="K3" s="2014" t="s">
        <v>1710</v>
      </c>
      <c r="L3" s="2014" t="s">
        <v>1710</v>
      </c>
      <c r="M3" s="2014" t="s">
        <v>1710</v>
      </c>
      <c r="N3" s="2014" t="s">
        <v>1710</v>
      </c>
      <c r="O3" s="2014" t="s">
        <v>1710</v>
      </c>
      <c r="P3" s="2014" t="s">
        <v>1710</v>
      </c>
      <c r="Q3" s="2014" t="s">
        <v>1710</v>
      </c>
      <c r="R3" s="2014" t="s">
        <v>1130</v>
      </c>
      <c r="S3" s="2014" t="s">
        <v>1710</v>
      </c>
      <c r="T3" s="2014" t="s">
        <v>1711</v>
      </c>
      <c r="U3" s="2014" t="s">
        <v>1710</v>
      </c>
      <c r="V3" s="2014" t="s">
        <v>1712</v>
      </c>
      <c r="W3" s="2014" t="s">
        <v>1710</v>
      </c>
    </row>
    <row r="4" spans="1:23">
      <c r="A4" s="2012" t="s">
        <v>1713</v>
      </c>
      <c r="B4" s="2012" t="s">
        <v>1714</v>
      </c>
      <c r="C4" s="2013" t="s">
        <v>762</v>
      </c>
      <c r="D4" s="2014" t="s">
        <v>865</v>
      </c>
      <c r="E4" s="2014" t="s">
        <v>1715</v>
      </c>
      <c r="F4" s="2014" t="s">
        <v>1716</v>
      </c>
      <c r="G4" s="2014">
        <v>70</v>
      </c>
      <c r="H4" s="2014" t="s">
        <v>1716</v>
      </c>
      <c r="I4" s="2014" t="s">
        <v>1717</v>
      </c>
      <c r="K4" s="2014" t="s">
        <v>1718</v>
      </c>
      <c r="L4" s="2014" t="s">
        <v>1718</v>
      </c>
      <c r="M4" s="2014" t="s">
        <v>1718</v>
      </c>
      <c r="N4" s="2014" t="s">
        <v>1718</v>
      </c>
      <c r="O4" s="2014" t="s">
        <v>1718</v>
      </c>
      <c r="P4" s="2014" t="s">
        <v>1718</v>
      </c>
      <c r="Q4" s="2014" t="s">
        <v>1718</v>
      </c>
      <c r="R4" s="2014" t="s">
        <v>1132</v>
      </c>
      <c r="S4" s="2014" t="s">
        <v>1718</v>
      </c>
      <c r="T4" s="2014" t="s">
        <v>1719</v>
      </c>
      <c r="U4" s="2014" t="s">
        <v>1718</v>
      </c>
      <c r="W4" s="2014" t="s">
        <v>1718</v>
      </c>
    </row>
    <row r="5" spans="1:23">
      <c r="A5" s="2012" t="s">
        <v>1720</v>
      </c>
      <c r="B5" s="2012" t="s">
        <v>1721</v>
      </c>
      <c r="C5" s="2013" t="s">
        <v>763</v>
      </c>
      <c r="F5" s="2014" t="s">
        <v>1722</v>
      </c>
      <c r="H5" s="2014" t="s">
        <v>1723</v>
      </c>
      <c r="I5" s="2014" t="s">
        <v>1724</v>
      </c>
      <c r="K5" s="2014" t="s">
        <v>1725</v>
      </c>
      <c r="L5" s="2014" t="s">
        <v>1725</v>
      </c>
      <c r="M5" s="2014" t="s">
        <v>1725</v>
      </c>
      <c r="N5" s="2014" t="s">
        <v>1725</v>
      </c>
      <c r="O5" s="2014" t="s">
        <v>1725</v>
      </c>
      <c r="P5" s="2014" t="s">
        <v>1725</v>
      </c>
      <c r="Q5" s="2014" t="s">
        <v>1725</v>
      </c>
      <c r="R5" s="2014" t="s">
        <v>1133</v>
      </c>
      <c r="S5" s="2014" t="s">
        <v>1725</v>
      </c>
      <c r="T5" s="2014" t="s">
        <v>1726</v>
      </c>
      <c r="U5" s="2014" t="s">
        <v>1725</v>
      </c>
      <c r="W5" s="2014" t="s">
        <v>1725</v>
      </c>
    </row>
    <row r="6" spans="1:23">
      <c r="A6" s="2012" t="s">
        <v>1727</v>
      </c>
      <c r="B6" s="2015" t="s">
        <v>1137</v>
      </c>
      <c r="C6" s="2018" t="s">
        <v>30</v>
      </c>
      <c r="F6" s="2014" t="s">
        <v>1723</v>
      </c>
      <c r="H6" s="2014" t="s">
        <v>1728</v>
      </c>
      <c r="I6" s="2014" t="s">
        <v>1729</v>
      </c>
      <c r="K6" s="2014" t="s">
        <v>1730</v>
      </c>
      <c r="L6" s="2014" t="s">
        <v>1730</v>
      </c>
      <c r="M6" s="2014" t="s">
        <v>1730</v>
      </c>
      <c r="N6" s="2014" t="s">
        <v>1730</v>
      </c>
      <c r="O6" s="2014" t="s">
        <v>1730</v>
      </c>
      <c r="P6" s="2014" t="s">
        <v>1730</v>
      </c>
      <c r="Q6" s="2014" t="s">
        <v>1730</v>
      </c>
      <c r="R6" s="2014" t="s">
        <v>1134</v>
      </c>
      <c r="S6" s="2014" t="s">
        <v>1730</v>
      </c>
      <c r="T6" s="2014"/>
      <c r="U6" s="2014" t="s">
        <v>1730</v>
      </c>
      <c r="W6" s="2014" t="s">
        <v>1730</v>
      </c>
    </row>
    <row r="7" spans="1:23">
      <c r="A7" s="2012" t="s">
        <v>1731</v>
      </c>
      <c r="B7" s="2015" t="s">
        <v>1138</v>
      </c>
      <c r="C7" s="2013" t="s">
        <v>31</v>
      </c>
      <c r="F7" s="2014" t="s">
        <v>1732</v>
      </c>
      <c r="H7" s="2014" t="s">
        <v>1733</v>
      </c>
      <c r="I7" s="2014" t="s">
        <v>1734</v>
      </c>
    </row>
    <row r="8" spans="1:23">
      <c r="A8" s="2012" t="s">
        <v>1735</v>
      </c>
      <c r="B8" s="2012" t="s">
        <v>1736</v>
      </c>
      <c r="C8" s="2013" t="s">
        <v>764</v>
      </c>
      <c r="F8" s="2014" t="s">
        <v>1737</v>
      </c>
      <c r="H8" s="2014"/>
      <c r="I8" s="2014" t="s">
        <v>1738</v>
      </c>
    </row>
    <row r="9" spans="1:23">
      <c r="A9" s="2012" t="s">
        <v>1739</v>
      </c>
      <c r="B9" s="2012" t="s">
        <v>1740</v>
      </c>
      <c r="C9" s="2013" t="s">
        <v>765</v>
      </c>
      <c r="F9" s="2014" t="s">
        <v>1741</v>
      </c>
      <c r="H9" s="2014"/>
    </row>
    <row r="10" spans="1:23">
      <c r="A10" s="2012" t="s">
        <v>1742</v>
      </c>
      <c r="B10" s="2012" t="s">
        <v>1743</v>
      </c>
      <c r="C10" s="2013" t="s">
        <v>766</v>
      </c>
      <c r="F10" s="2014" t="s">
        <v>16</v>
      </c>
    </row>
    <row r="11" spans="1:23">
      <c r="A11" s="2012" t="s">
        <v>1744</v>
      </c>
      <c r="B11" s="2012" t="s">
        <v>1745</v>
      </c>
      <c r="C11" s="2013" t="s">
        <v>767</v>
      </c>
    </row>
    <row r="12" spans="1:23">
      <c r="A12" s="2012" t="s">
        <v>1746</v>
      </c>
      <c r="B12" s="2012" t="s">
        <v>1747</v>
      </c>
      <c r="C12" s="2013" t="s">
        <v>768</v>
      </c>
    </row>
    <row r="13" spans="1:23">
      <c r="A13" s="2012" t="s">
        <v>1748</v>
      </c>
      <c r="B13" s="2012" t="s">
        <v>1749</v>
      </c>
      <c r="C13" s="2013" t="s">
        <v>769</v>
      </c>
    </row>
    <row r="14" spans="1:23">
      <c r="A14" s="2012" t="s">
        <v>1750</v>
      </c>
      <c r="B14" s="2012" t="s">
        <v>1751</v>
      </c>
      <c r="C14" s="2014" t="s">
        <v>16</v>
      </c>
    </row>
    <row r="15" spans="1:23">
      <c r="A15" s="2012" t="s">
        <v>1752</v>
      </c>
      <c r="B15" s="2012" t="s">
        <v>1753</v>
      </c>
      <c r="C15" s="2013"/>
    </row>
    <row r="16" spans="1:23">
      <c r="A16" s="2012" t="s">
        <v>1754</v>
      </c>
      <c r="B16" s="2012" t="s">
        <v>756</v>
      </c>
      <c r="C16" s="2013"/>
    </row>
    <row r="17" spans="1:3">
      <c r="A17" s="2012" t="s">
        <v>1755</v>
      </c>
      <c r="B17" s="2012" t="s">
        <v>757</v>
      </c>
      <c r="C17" s="2013"/>
    </row>
    <row r="18" spans="1:3">
      <c r="A18" s="2012" t="s">
        <v>1756</v>
      </c>
      <c r="B18" s="2012" t="s">
        <v>757</v>
      </c>
      <c r="C18" s="2013"/>
    </row>
    <row r="19" spans="1:3">
      <c r="A19" s="2012" t="s">
        <v>1757</v>
      </c>
      <c r="B19" s="2012" t="s">
        <v>757</v>
      </c>
      <c r="C19" s="2013"/>
    </row>
    <row r="20" spans="1:3">
      <c r="A20" s="2012" t="s">
        <v>1758</v>
      </c>
      <c r="B20" s="2012" t="s">
        <v>757</v>
      </c>
      <c r="C20" s="2013"/>
    </row>
    <row r="21" spans="1:3">
      <c r="A21" s="2012" t="s">
        <v>1759</v>
      </c>
      <c r="B21" s="2012" t="s">
        <v>757</v>
      </c>
      <c r="C21" s="2013"/>
    </row>
    <row r="22" spans="1:3">
      <c r="A22" s="2012" t="s">
        <v>1760</v>
      </c>
      <c r="B22" s="2012" t="s">
        <v>757</v>
      </c>
      <c r="C22" s="2013"/>
    </row>
    <row r="23" spans="1:3">
      <c r="A23" s="2012" t="s">
        <v>1761</v>
      </c>
      <c r="B23" s="2012" t="s">
        <v>757</v>
      </c>
      <c r="C23" s="2013"/>
    </row>
    <row r="24" spans="1:3">
      <c r="A24" s="2012" t="s">
        <v>1762</v>
      </c>
      <c r="B24" s="2012" t="s">
        <v>757</v>
      </c>
      <c r="C24" s="2013"/>
    </row>
    <row r="25" spans="1:3">
      <c r="A25" s="2012" t="s">
        <v>1763</v>
      </c>
      <c r="B25" s="2012" t="s">
        <v>757</v>
      </c>
      <c r="C25" s="2013"/>
    </row>
    <row r="26" spans="1:3">
      <c r="A26" s="2012" t="s">
        <v>1764</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为估价委托人在向建信信托办理贷款手续过程中，确定房地产抵押贷款额度提供参考依据而评估房地产抵押价值。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南省三亚市亚龙湾滨海路红树林度假酒店房地产作为抵押担保物，向建信信托办理贷款手续。建信信托特委托北京康正宏基房地产评估有限公司对上述抵押物进行评估。本次评估为确定房地产抵押贷款额度提供参考依据而评估房地产抵押价值。</v>
      </c>
      <c r="D51" s="2020" t="s">
        <v>1274</v>
      </c>
    </row>
    <row r="52" spans="1:4">
      <c r="A52" s="2019" t="s">
        <v>855</v>
      </c>
      <c r="B52" s="2019" t="s">
        <v>856</v>
      </c>
      <c r="C52" s="2017" t="s">
        <v>857</v>
      </c>
      <c r="D52" s="2017" t="s">
        <v>858</v>
      </c>
    </row>
    <row r="53" spans="1:4">
      <c r="A53" s="300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0" t="s">
        <v>861</v>
      </c>
      <c r="C54" s="2017" t="s">
        <v>1271</v>
      </c>
    </row>
    <row r="55" spans="1:4">
      <c r="A55" s="3005"/>
      <c r="B55" s="2020" t="s">
        <v>862</v>
      </c>
      <c r="C55" s="2017" t="s">
        <v>1272</v>
      </c>
    </row>
    <row r="56" spans="1:4">
      <c r="A56" s="3005"/>
      <c r="B56" s="2020" t="s">
        <v>863</v>
      </c>
      <c r="C56" s="2017" t="s">
        <v>1276</v>
      </c>
    </row>
    <row r="57" spans="1:4">
      <c r="A57" s="3005"/>
      <c r="B57" s="2020" t="s">
        <v>864</v>
      </c>
      <c r="C57" s="2017" t="s">
        <v>1273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6:G7"/>
    </sheetView>
  </sheetViews>
  <sheetFormatPr defaultColWidth="10" defaultRowHeight="18" customHeight="1"/>
  <cols>
    <col min="1" max="1" width="14.88671875" style="2030" customWidth="1"/>
    <col min="2" max="2" width="12.21875" style="2030" customWidth="1"/>
    <col min="3" max="3" width="11.44140625" style="2030" customWidth="1"/>
    <col min="4" max="4" width="12" style="2030" customWidth="1"/>
    <col min="5" max="6" width="10" style="2030" customWidth="1"/>
    <col min="7" max="7" width="10.77734375" style="2030" customWidth="1"/>
    <col min="8" max="8" width="10" style="2030" customWidth="1"/>
    <col min="9" max="9" width="11.10937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1765</v>
      </c>
      <c r="B1" s="3006" t="str">
        <f>IF(B10="北京市","北京市",C10)&amp;F10&amp;IF(结果表!G1="在建","出让国有建设用地使用权及在建建筑物",IF(结果表!G1="土地","出让国有建设用地使用权",))&amp;B9&amp;"预评估"</f>
        <v>北京市海南省三亚市亚龙湾滨海路红树林度假酒店房地产市场价值预评估</v>
      </c>
      <c r="C1" s="3007"/>
      <c r="D1" s="3007"/>
      <c r="E1" s="3007"/>
      <c r="F1" s="3007"/>
      <c r="G1" s="3007"/>
      <c r="H1" s="3007"/>
      <c r="I1" s="300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北京市海南省三亚市亚龙湾滨海路红树林度假酒店房地产市场价值</v>
      </c>
    </row>
    <row r="2" spans="1:19" ht="18" customHeight="1">
      <c r="A2" s="2024" t="s">
        <v>1766</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北京市海南省三亚市亚龙湾滨海路红树林度假酒店房地产</v>
      </c>
    </row>
    <row r="3" spans="1:19" ht="18" customHeight="1">
      <c r="A3" s="2033" t="s">
        <v>1767</v>
      </c>
      <c r="B3" s="2034">
        <v>43768</v>
      </c>
      <c r="C3" s="2035" t="s">
        <v>1768</v>
      </c>
      <c r="D3" s="2034">
        <f>B3</f>
        <v>43768</v>
      </c>
      <c r="E3" s="2024"/>
      <c r="F3" s="2024"/>
      <c r="G3" s="2024"/>
      <c r="H3" s="2024"/>
      <c r="I3" s="2024"/>
      <c r="J3" s="2024"/>
      <c r="K3" s="2025"/>
      <c r="L3" s="2026"/>
      <c r="M3" s="2026"/>
      <c r="N3" s="2027"/>
      <c r="O3" s="2028"/>
      <c r="P3" s="2027"/>
      <c r="Q3" s="2027"/>
      <c r="R3" s="2027"/>
      <c r="S3" s="2029"/>
    </row>
    <row r="4" spans="1:19" ht="18" customHeight="1" thickBot="1">
      <c r="A4" s="2036" t="s">
        <v>1769</v>
      </c>
      <c r="B4" s="2037" t="s">
        <v>3043</v>
      </c>
      <c r="C4" s="1037">
        <f ca="1">SUMIF(注册房地产估价师,B4,估价师及机构信息!B3:B24)</f>
        <v>1419970001</v>
      </c>
      <c r="D4" s="2037" t="s">
        <v>3044</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1770</v>
      </c>
      <c r="B5" s="2951" t="s">
        <v>3045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1771</v>
      </c>
      <c r="B6" s="2952" t="s">
        <v>3046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1772</v>
      </c>
      <c r="B7" s="2049"/>
      <c r="C7" s="2046"/>
      <c r="D7" s="2047"/>
      <c r="E7" s="2032"/>
      <c r="F7" s="2040"/>
      <c r="G7" s="2040"/>
      <c r="H7" s="2040"/>
      <c r="I7" s="2040"/>
      <c r="J7" s="2040"/>
      <c r="K7" s="2050"/>
      <c r="L7" s="2026"/>
      <c r="M7" s="2026"/>
      <c r="N7" s="2027"/>
      <c r="O7" s="2028"/>
      <c r="P7" s="2027"/>
      <c r="Q7" s="2027"/>
      <c r="R7" s="2027"/>
    </row>
    <row r="8" spans="1:19" ht="18" customHeight="1">
      <c r="A8" s="2045" t="s">
        <v>1773</v>
      </c>
      <c r="B8" s="2051" t="s">
        <v>3047</v>
      </c>
      <c r="C8" s="2052"/>
      <c r="D8" s="3009" t="s">
        <v>1774</v>
      </c>
      <c r="E8" s="2053"/>
      <c r="F8" s="2054"/>
      <c r="G8" s="2024"/>
      <c r="H8" s="2024"/>
      <c r="I8" s="2024"/>
      <c r="J8" s="2040"/>
      <c r="K8" s="2041"/>
      <c r="L8" s="2026"/>
      <c r="M8" s="2026"/>
      <c r="N8" s="2027"/>
      <c r="O8" s="2028"/>
      <c r="P8" s="2027"/>
      <c r="Q8" s="2027"/>
      <c r="R8" s="2027"/>
    </row>
    <row r="9" spans="1:19" ht="18" customHeight="1" thickBot="1">
      <c r="A9" s="2038" t="s">
        <v>1775</v>
      </c>
      <c r="B9" s="2055" t="s">
        <v>3048</v>
      </c>
      <c r="C9" s="2056"/>
      <c r="D9" s="3010"/>
      <c r="E9" s="2055"/>
      <c r="F9" s="2057"/>
      <c r="G9" s="2058"/>
      <c r="H9" s="2058"/>
      <c r="I9" s="2058"/>
      <c r="J9" s="2040"/>
      <c r="K9" s="2050"/>
      <c r="L9" s="2026"/>
      <c r="M9" s="2026"/>
      <c r="N9" s="2027"/>
      <c r="O9" s="2028"/>
      <c r="P9" s="2027"/>
      <c r="Q9" s="2027"/>
      <c r="R9" s="2027"/>
    </row>
    <row r="10" spans="1:19" ht="18" customHeight="1" thickTop="1">
      <c r="A10" s="2059" t="s">
        <v>1776</v>
      </c>
      <c r="B10" s="2060" t="s">
        <v>3049</v>
      </c>
      <c r="C10" s="2061"/>
      <c r="D10" s="2044"/>
      <c r="E10" s="2062" t="s">
        <v>1777</v>
      </c>
      <c r="F10" s="2953" t="s">
        <v>3051</v>
      </c>
      <c r="G10" s="2063"/>
      <c r="H10" s="2064"/>
      <c r="I10" s="2044"/>
      <c r="J10" s="2040"/>
      <c r="K10" s="2050"/>
      <c r="L10" s="2026"/>
      <c r="M10" s="2026"/>
      <c r="N10" s="2027"/>
      <c r="O10" s="2028"/>
      <c r="P10" s="2027"/>
      <c r="Q10" s="2027"/>
      <c r="R10" s="2027"/>
    </row>
    <row r="11" spans="1:19" ht="18" customHeight="1">
      <c r="A11" s="2065" t="s">
        <v>1778</v>
      </c>
      <c r="B11" s="2066" t="s">
        <v>3050</v>
      </c>
      <c r="C11" s="2067" t="str">
        <f>B5</f>
        <v>三亚红树林旅业有限公司</v>
      </c>
      <c r="D11" s="2068"/>
      <c r="E11" s="2040"/>
      <c r="F11" s="2040"/>
      <c r="G11" s="2040"/>
      <c r="H11" s="2040"/>
      <c r="I11" s="2040"/>
      <c r="J11" s="2040"/>
      <c r="K11" s="2050"/>
      <c r="L11" s="2026"/>
      <c r="M11" s="2026"/>
      <c r="N11" s="2027"/>
      <c r="O11" s="2028"/>
      <c r="P11" s="2027"/>
      <c r="Q11" s="2027"/>
      <c r="R11" s="2027"/>
    </row>
    <row r="12" spans="1:19" ht="18" customHeight="1">
      <c r="A12" s="2069" t="s">
        <v>1779</v>
      </c>
      <c r="B12" s="2066" t="s">
        <v>3525</v>
      </c>
      <c r="C12" s="2070" t="s">
        <v>1780</v>
      </c>
      <c r="D12" s="2071" t="s">
        <v>1781</v>
      </c>
      <c r="E12" s="2071" t="s">
        <v>1782</v>
      </c>
      <c r="F12" s="2071" t="s">
        <v>1783</v>
      </c>
      <c r="G12" s="2071" t="s">
        <v>1784</v>
      </c>
      <c r="H12" s="2071" t="s">
        <v>1785</v>
      </c>
      <c r="I12" s="2071" t="s">
        <v>1786</v>
      </c>
      <c r="J12" s="2040"/>
      <c r="K12" s="2050"/>
      <c r="L12" s="2026"/>
      <c r="M12" s="2026"/>
      <c r="N12" s="2027"/>
      <c r="O12" s="2028"/>
      <c r="P12" s="2027"/>
      <c r="Q12" s="2027"/>
      <c r="R12" s="2027"/>
    </row>
    <row r="13" spans="1:19" ht="18" customHeight="1">
      <c r="A13" s="2072"/>
      <c r="B13" s="2073"/>
      <c r="C13" s="2074" t="s">
        <v>1787</v>
      </c>
      <c r="D13" s="2075"/>
      <c r="E13" s="2075">
        <v>54079</v>
      </c>
      <c r="F13" s="2075"/>
      <c r="G13" s="2075"/>
      <c r="H13" s="2075"/>
      <c r="I13" s="1047"/>
      <c r="J13" s="2040"/>
      <c r="K13" s="2050"/>
      <c r="L13" s="2026"/>
      <c r="M13" s="2026"/>
      <c r="N13" s="2027"/>
      <c r="O13" s="2028"/>
      <c r="P13" s="2027"/>
      <c r="Q13" s="2027"/>
      <c r="R13" s="2027"/>
    </row>
    <row r="14" spans="1:19" ht="18" customHeight="1">
      <c r="A14" s="2072"/>
      <c r="B14" s="2073"/>
      <c r="C14" s="2074" t="s">
        <v>1788</v>
      </c>
      <c r="D14" s="1050"/>
      <c r="E14" s="1050">
        <v>40</v>
      </c>
      <c r="F14" s="1050"/>
      <c r="G14" s="1050"/>
      <c r="H14" s="1050"/>
      <c r="I14" s="1050"/>
      <c r="J14" s="2040"/>
      <c r="K14" s="2076"/>
      <c r="L14" s="2026"/>
      <c r="M14" s="2026"/>
      <c r="N14" s="2027"/>
      <c r="O14" s="2028"/>
      <c r="P14" s="2027"/>
      <c r="Q14" s="2027"/>
      <c r="R14" s="2027"/>
    </row>
    <row r="15" spans="1:19" ht="18" customHeight="1">
      <c r="A15" s="2059"/>
      <c r="B15" s="2077"/>
      <c r="C15" s="2074" t="s">
        <v>1789</v>
      </c>
      <c r="D15" s="1049" t="str">
        <f>IF(B12="出让",IF(D13="","",ROUNDDOWN(MIN((D13-$D$3)/365,D14),2)),D14)</f>
        <v/>
      </c>
      <c r="E15" s="1049">
        <f>IF(B12="出让",IF(E13="","",ROUNDDOWN(MIN((E13-$D$3)/365,E14),2)),E14)</f>
        <v>28.24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2" t="s">
        <v>1790</v>
      </c>
      <c r="B16" s="3016"/>
      <c r="C16" s="3017"/>
      <c r="D16" s="3018"/>
      <c r="E16" s="2081" t="s">
        <v>1791</v>
      </c>
      <c r="F16" s="3019"/>
      <c r="G16" s="3020"/>
      <c r="H16" s="3020"/>
      <c r="I16" s="3021"/>
      <c r="J16" s="2027"/>
      <c r="K16" s="2078"/>
      <c r="L16" s="2079"/>
      <c r="M16" s="2079"/>
      <c r="N16" s="2080"/>
      <c r="O16" s="2079"/>
      <c r="P16" s="2080"/>
      <c r="Q16" s="2027"/>
      <c r="R16" s="2027"/>
    </row>
    <row r="17" spans="1:22" ht="18" customHeight="1">
      <c r="A17" s="2082" t="s">
        <v>1792</v>
      </c>
      <c r="B17" s="2033" t="s">
        <v>1793</v>
      </c>
      <c r="C17" s="1054">
        <f>'数据-汇总表'!E3</f>
        <v>57477.440000000002</v>
      </c>
      <c r="D17" s="2083" t="s">
        <v>1794</v>
      </c>
      <c r="E17" s="3022" t="s">
        <v>1795</v>
      </c>
      <c r="F17" s="3023"/>
      <c r="G17" s="3023"/>
      <c r="H17" s="3023"/>
      <c r="I17" s="3024"/>
      <c r="J17" s="2027"/>
      <c r="K17" s="2084"/>
      <c r="L17" s="2079"/>
      <c r="M17" s="2079"/>
      <c r="N17" s="2080"/>
      <c r="O17" s="2079"/>
      <c r="P17" s="2080"/>
      <c r="Q17" s="2027"/>
      <c r="R17" s="2027"/>
      <c r="S17" s="2027"/>
      <c r="T17" s="2027"/>
      <c r="U17" s="2027"/>
      <c r="V17" s="2027"/>
    </row>
    <row r="18" spans="1:22" ht="36" customHeight="1" thickBot="1">
      <c r="A18" s="2085" t="s">
        <v>1796</v>
      </c>
      <c r="B18" s="2036" t="s">
        <v>1797</v>
      </c>
      <c r="C18" s="1444">
        <f>'数据-汇总表'!D3</f>
        <v>99999.9</v>
      </c>
      <c r="D18" s="2086" t="s">
        <v>1794</v>
      </c>
      <c r="E18" s="3025" t="s">
        <v>1798</v>
      </c>
      <c r="F18" s="3026"/>
      <c r="G18" s="3026"/>
      <c r="H18" s="3026"/>
      <c r="I18" s="3027"/>
      <c r="J18" s="2027"/>
      <c r="K18" s="2084"/>
      <c r="L18" s="2079"/>
      <c r="M18" s="2079"/>
      <c r="N18" s="2080"/>
      <c r="O18" s="2079"/>
      <c r="P18" s="2080"/>
      <c r="Q18" s="2027"/>
      <c r="R18" s="2027"/>
      <c r="S18" s="2027"/>
      <c r="T18" s="2027"/>
      <c r="U18" s="2027"/>
      <c r="V18" s="2027"/>
    </row>
    <row r="19" spans="1:22" ht="37.5" customHeight="1" thickTop="1" thickBot="1">
      <c r="A19" s="373" t="s">
        <v>1799</v>
      </c>
      <c r="B19" s="352" t="s">
        <v>1800</v>
      </c>
      <c r="C19" s="2087"/>
      <c r="D19" s="2088" t="s">
        <v>1801</v>
      </c>
      <c r="E19" s="2089"/>
      <c r="F19" s="2090" t="str">
        <f>IF(AND(C19="是",E19="否"),"是否提供他项权证或相关说明","")</f>
        <v/>
      </c>
      <c r="G19" s="2091"/>
      <c r="H19" s="2040"/>
      <c r="I19" s="2040"/>
      <c r="J19" s="2040"/>
      <c r="K19" s="2050"/>
      <c r="L19" s="2026"/>
      <c r="M19" s="2026"/>
      <c r="N19" s="2080"/>
      <c r="O19" s="2079"/>
      <c r="P19" s="2080"/>
      <c r="Q19" s="2027"/>
      <c r="R19" s="2027"/>
      <c r="S19" s="2027"/>
      <c r="T19" s="2027"/>
      <c r="U19" s="2027"/>
      <c r="V19" s="2027"/>
    </row>
    <row r="20" spans="1:22" ht="18" customHeight="1">
      <c r="A20" s="2092" t="s">
        <v>1802</v>
      </c>
      <c r="B20" s="3012" t="s">
        <v>1803</v>
      </c>
      <c r="C20" s="3013"/>
      <c r="D20" s="3014" t="s">
        <v>1804</v>
      </c>
      <c r="E20" s="3015"/>
      <c r="F20" s="2093" t="s">
        <v>1805</v>
      </c>
      <c r="G20" s="2040"/>
      <c r="H20" s="2040"/>
      <c r="I20" s="2040"/>
      <c r="J20" s="2040"/>
      <c r="K20" s="3011" t="s">
        <v>1806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1807</v>
      </c>
      <c r="C21" s="2095" t="s">
        <v>3052</v>
      </c>
      <c r="D21" s="2096"/>
      <c r="E21" s="2097"/>
      <c r="F21" s="2098"/>
      <c r="G21" s="2040"/>
      <c r="H21" s="2040"/>
      <c r="I21" s="2040"/>
      <c r="J21" s="2040"/>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1808</v>
      </c>
      <c r="C22" s="2095" t="s">
        <v>1809</v>
      </c>
      <c r="D22" s="2024"/>
      <c r="E22" s="2024"/>
      <c r="F22" s="2100"/>
      <c r="G22" s="2040"/>
      <c r="H22" s="2040"/>
      <c r="I22" s="2040"/>
      <c r="J22" s="2040"/>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1810</v>
      </c>
      <c r="B23" s="183" t="s">
        <v>1811</v>
      </c>
      <c r="C23" s="2102"/>
      <c r="D23" s="2103" t="s">
        <v>1811</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1812</v>
      </c>
      <c r="C24" s="2107"/>
      <c r="D24" s="2101" t="s">
        <v>1812</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1813</v>
      </c>
      <c r="C25" s="2107"/>
      <c r="D25" s="2101" t="s">
        <v>1813</v>
      </c>
      <c r="E25" s="2108"/>
      <c r="F25" s="2100"/>
      <c r="G25" s="2040"/>
      <c r="H25" s="2040"/>
      <c r="I25" s="2040"/>
      <c r="J25" s="2040"/>
      <c r="K25" s="2050"/>
      <c r="L25" s="2026"/>
      <c r="M25" s="2026"/>
      <c r="N25" s="2080"/>
      <c r="O25" s="2079"/>
      <c r="P25" s="2080"/>
      <c r="Q25" s="2027"/>
      <c r="R25" s="2027"/>
      <c r="S25" s="2027"/>
      <c r="T25" s="2027"/>
      <c r="U25" s="2027"/>
      <c r="V25" s="2027"/>
    </row>
    <row r="26" spans="1:22" ht="18" customHeight="1" thickBot="1">
      <c r="A26" s="2109"/>
      <c r="B26" s="2110" t="s">
        <v>1814</v>
      </c>
      <c r="C26" s="2111"/>
      <c r="D26" s="2112" t="s">
        <v>1815</v>
      </c>
      <c r="E26" s="2113"/>
      <c r="F26" s="2114"/>
      <c r="G26" s="2058"/>
      <c r="H26" s="2058"/>
      <c r="I26" s="2058"/>
      <c r="J26" s="2040"/>
      <c r="K26" s="2050"/>
      <c r="L26" s="2026"/>
      <c r="M26" s="2026"/>
      <c r="N26" s="2080"/>
      <c r="O26" s="2079"/>
      <c r="P26" s="2080"/>
      <c r="Q26" s="2027"/>
      <c r="R26" s="2027"/>
      <c r="S26" s="2027"/>
      <c r="T26" s="2027"/>
      <c r="U26" s="2027"/>
      <c r="V26" s="2027"/>
    </row>
    <row r="27" spans="1:22" ht="18" customHeight="1" thickTop="1">
      <c r="A27" s="3029" t="s">
        <v>1816</v>
      </c>
      <c r="B27" s="2059" t="s">
        <v>1817</v>
      </c>
      <c r="C27" s="2115" t="s">
        <v>3053</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29"/>
      <c r="B28" s="2033" t="s">
        <v>1818</v>
      </c>
      <c r="C28" s="2117" t="s">
        <v>3054</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29"/>
      <c r="B29" s="2033" t="s">
        <v>1819</v>
      </c>
      <c r="C29" s="2120" t="s">
        <v>3055</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30"/>
      <c r="B30" s="2033" t="s">
        <v>1820</v>
      </c>
      <c r="C30" s="3031"/>
      <c r="D30" s="3032"/>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33" t="s">
        <v>1821</v>
      </c>
      <c r="B31" s="2122" t="s">
        <v>3056</v>
      </c>
      <c r="C31" s="2123" t="str">
        <f>IF(B31="现房","成新及维护状况正常否",IF(B31="在建","工程状态是否正常",IF(B31="土地","是否闲置","-")))</f>
        <v>成新及维护状况正常否</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34"/>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34"/>
      <c r="B33" s="2126"/>
      <c r="C33" s="2065"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1822</v>
      </c>
      <c r="B34" s="2129" t="s">
        <v>3057</v>
      </c>
      <c r="C34" s="2129" t="s">
        <v>3058</v>
      </c>
      <c r="D34" s="2129" t="s">
        <v>3059</v>
      </c>
      <c r="E34" s="2129" t="s">
        <v>3060</v>
      </c>
      <c r="F34" s="2129" t="s">
        <v>3061</v>
      </c>
      <c r="G34" s="2129" t="s">
        <v>3062</v>
      </c>
      <c r="H34" s="2129"/>
      <c r="I34" s="2040"/>
      <c r="J34" s="2040"/>
      <c r="K34" s="1794">
        <f>COUNTIF(B34:H34,"——")</f>
        <v>0</v>
      </c>
      <c r="L34" s="2070" t="s">
        <v>1823</v>
      </c>
      <c r="M34" s="2070" t="s">
        <v>1824</v>
      </c>
      <c r="N34" s="2070" t="s">
        <v>1825</v>
      </c>
      <c r="O34" s="2070" t="s">
        <v>1826</v>
      </c>
      <c r="P34" s="2070" t="s">
        <v>1827</v>
      </c>
      <c r="Q34" s="2070" t="s">
        <v>1828</v>
      </c>
      <c r="R34" s="2070" t="s">
        <v>1829</v>
      </c>
      <c r="S34" s="3028" t="s">
        <v>1830</v>
      </c>
      <c r="T34" s="2130" t="str">
        <f>NUMBERSTRING(7-K34,1)&amp;"通"</f>
        <v>七通</v>
      </c>
      <c r="U34" s="2027"/>
      <c r="V34" s="2027"/>
    </row>
    <row r="35" spans="1:22" ht="18" customHeight="1">
      <c r="A35" s="2131"/>
      <c r="B35" s="3035" t="s">
        <v>1831</v>
      </c>
      <c r="C35" s="3035"/>
      <c r="D35" s="3035"/>
      <c r="E35" s="3035"/>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8"/>
      <c r="T35" s="48" t="str">
        <f>IF(T34="一通",L35,IF(T34="二通",M35,IF(T34="三通",N35,IF(T34="四通",O35,IF(T34="五通",P35,IF(T34="六通",Q35,R35))))))</f>
        <v>通路、通电、通讯、通上水、通下水、燃气、</v>
      </c>
      <c r="U35" s="2027"/>
      <c r="V35" s="2027"/>
    </row>
    <row r="36" spans="1:22" ht="18" customHeight="1">
      <c r="A36" s="2133"/>
      <c r="B36" s="2132" t="s">
        <v>1832</v>
      </c>
      <c r="C36" s="2132" t="s">
        <v>1833</v>
      </c>
      <c r="D36" s="2132" t="s">
        <v>1834</v>
      </c>
      <c r="E36" s="2132" t="s">
        <v>1835</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1836</v>
      </c>
      <c r="B37" s="2136"/>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1837</v>
      </c>
      <c r="B38" s="2138"/>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1838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1839</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1840</v>
      </c>
      <c r="B42" s="1794" t="s">
        <v>1841</v>
      </c>
      <c r="C42" s="1794" t="s">
        <v>1842</v>
      </c>
      <c r="D42" s="1794" t="s">
        <v>1843</v>
      </c>
      <c r="E42" s="1794" t="s">
        <v>1844</v>
      </c>
      <c r="F42" s="1794" t="s">
        <v>1845</v>
      </c>
      <c r="G42" s="1794" t="s">
        <v>1846</v>
      </c>
      <c r="H42" s="1794" t="s">
        <v>1847</v>
      </c>
      <c r="I42" s="1794" t="s">
        <v>1848</v>
      </c>
      <c r="J42" s="2148" t="s">
        <v>1849</v>
      </c>
      <c r="K42" s="2071" t="s">
        <v>1850</v>
      </c>
      <c r="L42" s="2071" t="s">
        <v>1851</v>
      </c>
      <c r="M42" s="2071" t="s">
        <v>1852</v>
      </c>
      <c r="N42" s="1794" t="s">
        <v>1853</v>
      </c>
      <c r="O42" s="1794" t="s">
        <v>1854</v>
      </c>
      <c r="P42" s="1794" t="s">
        <v>1855</v>
      </c>
      <c r="Q42" s="2070" t="s">
        <v>1856</v>
      </c>
      <c r="R42" s="2070" t="s">
        <v>1857</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8671875" defaultRowHeight="13.8"/>
  <cols>
    <col min="1" max="1" width="12.554687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1860</v>
      </c>
      <c r="B2" s="11" t="s">
        <v>1861</v>
      </c>
      <c r="C2" s="11" t="s">
        <v>1862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1863</v>
      </c>
      <c r="AZ2" s="1270" t="s">
        <v>1864</v>
      </c>
      <c r="BA2" s="11" t="s">
        <v>1865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f>B15</f>
        <v>99999.9</v>
      </c>
      <c r="B3" s="14">
        <f>IF(C3="否",G5-AT5,G5)</f>
        <v>57477.440000000002</v>
      </c>
      <c r="C3" s="2164" t="s">
        <v>3068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1866</v>
      </c>
      <c r="B5" s="1802"/>
      <c r="C5" s="1802"/>
      <c r="D5" s="1805"/>
      <c r="E5" s="16" t="s">
        <v>1</v>
      </c>
      <c r="F5" s="16">
        <f>SUM(F13:F587)</f>
        <v>0</v>
      </c>
      <c r="G5" s="16">
        <f>SUM(G13:G587)</f>
        <v>57477.440000000002</v>
      </c>
      <c r="H5" s="16">
        <f t="shared" ref="H5:AT5" si="0">SUM(H13:H656)</f>
        <v>57477.440000000002</v>
      </c>
      <c r="I5" s="16">
        <f t="shared" si="0"/>
        <v>42449.82</v>
      </c>
      <c r="J5" s="16">
        <f t="shared" si="0"/>
        <v>0</v>
      </c>
      <c r="K5" s="16">
        <f t="shared" si="0"/>
        <v>15027.619999999999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1866</v>
      </c>
      <c r="AW5" s="1802"/>
      <c r="AX5" s="1802"/>
      <c r="AY5" s="17" t="s">
        <v>3</v>
      </c>
      <c r="AZ5" s="18">
        <f t="shared" ref="AZ5:BT5" si="1">SUM(AZ13:AZ656)</f>
        <v>57477.440000000002</v>
      </c>
      <c r="BA5" s="18">
        <f t="shared" si="1"/>
        <v>57477.440000000002</v>
      </c>
      <c r="BB5" s="18">
        <f t="shared" si="1"/>
        <v>42449.82</v>
      </c>
      <c r="BC5" s="18">
        <f t="shared" si="1"/>
        <v>15027.619999999999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1867</v>
      </c>
      <c r="B6" s="2170"/>
      <c r="C6" s="2170"/>
      <c r="D6" s="2171"/>
      <c r="E6" s="16">
        <f>H6+AC6+AT6</f>
        <v>99999.9</v>
      </c>
      <c r="F6" s="16" t="s">
        <v>1</v>
      </c>
      <c r="G6" s="16" t="s">
        <v>2</v>
      </c>
      <c r="H6" s="20">
        <f>SUMIF(I$12:AB$12,"总值",I6:AB6)</f>
        <v>99999.9</v>
      </c>
      <c r="I6" s="16">
        <f t="shared" ref="I6:AB6" si="2">ROUND($A$3*I5/$B$3,2)</f>
        <v>73854.679999999993</v>
      </c>
      <c r="J6" s="16">
        <f t="shared" si="2"/>
        <v>0</v>
      </c>
      <c r="K6" s="16">
        <f t="shared" si="2"/>
        <v>26145.22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1867</v>
      </c>
      <c r="AW6" s="2170"/>
      <c r="AX6" s="2170"/>
      <c r="AY6" s="21">
        <f>IF(AY3&gt;0,AY3,ROUND($A$3*AZ5/$B$3,2))</f>
        <v>99999.9</v>
      </c>
      <c r="AZ6" s="16" t="s">
        <v>3</v>
      </c>
      <c r="BA6" s="16">
        <f>ROUND($AY$6*BA5/$AZ$5,2)</f>
        <v>99999.9</v>
      </c>
      <c r="BB6" s="16">
        <f>ROUND($AY$6*BB5/$AZ$5,2)</f>
        <v>73854.679999999993</v>
      </c>
      <c r="BC6" s="16">
        <f t="shared" ref="BC6:BH6" si="4">ROUND($AY$6*BC5/$AZ$5,2)</f>
        <v>26145.22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1868</v>
      </c>
      <c r="B7" s="2105" t="s">
        <v>1869</v>
      </c>
      <c r="C7" s="2105" t="s">
        <v>1870</v>
      </c>
      <c r="D7" s="2105" t="s">
        <v>1871</v>
      </c>
      <c r="E7" s="2105" t="s">
        <v>1872</v>
      </c>
      <c r="F7" s="2105" t="s">
        <v>1873</v>
      </c>
      <c r="G7" s="2174" t="s">
        <v>1874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1875</v>
      </c>
      <c r="AV7" s="23" t="s">
        <v>1876</v>
      </c>
      <c r="AW7" s="2162" t="s">
        <v>1877</v>
      </c>
      <c r="AX7" s="23" t="s">
        <v>1870</v>
      </c>
      <c r="AY7" s="1802" t="s">
        <v>1878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1879</v>
      </c>
      <c r="H8" s="2180" t="s">
        <v>1880</v>
      </c>
      <c r="I8" s="2181"/>
      <c r="J8" s="1817"/>
      <c r="K8" s="1817"/>
      <c r="L8" s="1817"/>
      <c r="M8" s="1817"/>
      <c r="N8" s="1817"/>
      <c r="O8" s="1817"/>
      <c r="P8" s="1817"/>
      <c r="Q8" s="1817"/>
      <c r="R8" s="1817"/>
      <c r="S8" s="1817"/>
      <c r="T8" s="1817"/>
      <c r="U8" s="1817"/>
      <c r="V8" s="2182"/>
      <c r="W8" s="1817"/>
      <c r="X8" s="1817"/>
      <c r="Y8" s="1817"/>
      <c r="Z8" s="1817"/>
      <c r="AA8" s="2182"/>
      <c r="AB8" s="2183"/>
      <c r="AC8" s="981" t="s">
        <v>1881</v>
      </c>
      <c r="AD8" s="2184"/>
      <c r="AE8" s="2176"/>
      <c r="AF8" s="1817"/>
      <c r="AG8" s="1817"/>
      <c r="AH8" s="1817"/>
      <c r="AI8" s="1817"/>
      <c r="AJ8" s="1817"/>
      <c r="AK8" s="1817"/>
      <c r="AL8" s="1817"/>
      <c r="AM8" s="1817"/>
      <c r="AN8" s="1817"/>
      <c r="AO8" s="1817"/>
      <c r="AP8" s="1817"/>
      <c r="AQ8" s="1817"/>
      <c r="AR8" s="1817"/>
      <c r="AS8" s="1817"/>
      <c r="AT8" s="1292" t="s">
        <v>1882</v>
      </c>
      <c r="AU8" s="2178" t="s">
        <v>1883</v>
      </c>
      <c r="AV8" s="1292"/>
      <c r="AW8" s="2161"/>
      <c r="AX8" s="1292"/>
      <c r="AY8" s="2162" t="s">
        <v>1884</v>
      </c>
      <c r="AZ8" s="1816" t="s">
        <v>1885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2"/>
      <c r="H9" s="2186" t="s">
        <v>1886</v>
      </c>
      <c r="I9" s="2187" t="s">
        <v>3066</v>
      </c>
      <c r="J9" s="981"/>
      <c r="K9" s="2187" t="s">
        <v>3067</v>
      </c>
      <c r="L9" s="981"/>
      <c r="M9" s="2187"/>
      <c r="N9" s="981"/>
      <c r="O9" s="2187"/>
      <c r="P9" s="981"/>
      <c r="Q9" s="2187"/>
      <c r="R9" s="981"/>
      <c r="S9" s="2187"/>
      <c r="T9" s="981"/>
      <c r="U9" s="2187"/>
      <c r="V9" s="981"/>
      <c r="W9" s="2187"/>
      <c r="X9" s="2188"/>
      <c r="Y9" s="2187"/>
      <c r="Z9" s="981"/>
      <c r="AA9" s="2187"/>
      <c r="AB9" s="981"/>
      <c r="AC9" s="2179" t="s">
        <v>1886</v>
      </c>
      <c r="AD9" s="15" t="s">
        <v>1887</v>
      </c>
      <c r="AE9" s="1298"/>
      <c r="AF9" s="15" t="s">
        <v>1888</v>
      </c>
      <c r="AG9" s="1298"/>
      <c r="AH9" s="15" t="s">
        <v>1887</v>
      </c>
      <c r="AI9" s="1298"/>
      <c r="AJ9" s="15" t="s">
        <v>1888</v>
      </c>
      <c r="AK9" s="1298"/>
      <c r="AL9" s="15" t="s">
        <v>1887</v>
      </c>
      <c r="AM9" s="1298"/>
      <c r="AN9" s="15" t="s">
        <v>1888</v>
      </c>
      <c r="AO9" s="1298"/>
      <c r="AP9" s="15" t="s">
        <v>1887</v>
      </c>
      <c r="AQ9" s="1298"/>
      <c r="AR9" s="15" t="s">
        <v>1888</v>
      </c>
      <c r="AS9" s="2189"/>
      <c r="AT9" s="2178"/>
      <c r="AU9" s="2178" t="s">
        <v>1889</v>
      </c>
      <c r="AV9" s="1292"/>
      <c r="AW9" s="2161"/>
      <c r="AX9" s="1292"/>
      <c r="AY9" s="28"/>
      <c r="AZ9" s="28" t="s">
        <v>1879</v>
      </c>
      <c r="BA9" s="2190" t="s">
        <v>1890</v>
      </c>
      <c r="BB9" s="2191"/>
      <c r="BC9" s="1338"/>
      <c r="BD9" s="1338"/>
      <c r="BE9" s="1338"/>
      <c r="BF9" s="1338"/>
      <c r="BG9" s="1338"/>
      <c r="BH9" s="1338"/>
      <c r="BI9" s="1338"/>
      <c r="BJ9" s="1338"/>
      <c r="BK9" s="2192"/>
      <c r="BL9" s="15" t="s">
        <v>1891</v>
      </c>
      <c r="BM9" s="1817"/>
      <c r="BN9" s="2181"/>
      <c r="BO9" s="1817"/>
      <c r="BP9" s="1817"/>
      <c r="BQ9" s="1817"/>
      <c r="BR9" s="1817"/>
      <c r="BS9" s="1817"/>
      <c r="BT9" s="26"/>
    </row>
    <row r="10" spans="1:72" s="2185" customFormat="1" ht="13.2">
      <c r="A10" s="2178"/>
      <c r="B10" s="2178"/>
      <c r="C10" s="2178"/>
      <c r="D10" s="2178"/>
      <c r="E10" s="2178"/>
      <c r="F10" s="2178"/>
      <c r="G10" s="1292"/>
      <c r="H10" s="28"/>
      <c r="I10" s="2187" t="s">
        <v>1367</v>
      </c>
      <c r="J10" s="981"/>
      <c r="K10" s="2193" t="s">
        <v>1367</v>
      </c>
      <c r="L10" s="981"/>
      <c r="M10" s="2193"/>
      <c r="N10" s="981"/>
      <c r="O10" s="2193"/>
      <c r="P10" s="981"/>
      <c r="Q10" s="2193"/>
      <c r="R10" s="981"/>
      <c r="S10" s="2193"/>
      <c r="T10" s="981"/>
      <c r="U10" s="2193"/>
      <c r="V10" s="981"/>
      <c r="W10" s="2193"/>
      <c r="X10" s="981"/>
      <c r="Y10" s="2193"/>
      <c r="Z10" s="981"/>
      <c r="AA10" s="2193"/>
      <c r="AB10" s="981"/>
      <c r="AC10" s="1292"/>
      <c r="AD10" s="15" t="s">
        <v>1892</v>
      </c>
      <c r="AE10" s="2194"/>
      <c r="AF10" s="15" t="s">
        <v>1892</v>
      </c>
      <c r="AG10" s="2194"/>
      <c r="AH10" s="15" t="s">
        <v>1893</v>
      </c>
      <c r="AI10" s="2194"/>
      <c r="AJ10" s="15" t="s">
        <v>1893</v>
      </c>
      <c r="AK10" s="2194"/>
      <c r="AL10" s="15" t="s">
        <v>1894</v>
      </c>
      <c r="AM10" s="1298"/>
      <c r="AN10" s="15" t="s">
        <v>1894</v>
      </c>
      <c r="AO10" s="1298"/>
      <c r="AP10" s="15" t="s">
        <v>1895</v>
      </c>
      <c r="AQ10" s="1298"/>
      <c r="AR10" s="15" t="s">
        <v>1895</v>
      </c>
      <c r="AS10" s="1298"/>
      <c r="AT10" s="2178"/>
      <c r="AU10" s="2178"/>
      <c r="AV10" s="1292"/>
      <c r="AW10" s="2161"/>
      <c r="AX10" s="1292"/>
      <c r="AY10" s="28"/>
      <c r="AZ10" s="28"/>
      <c r="BA10" s="2195" t="s">
        <v>1886</v>
      </c>
      <c r="BB10" s="2196" t="str">
        <f>I9</f>
        <v>地上</v>
      </c>
      <c r="BC10" s="29" t="str">
        <f>K9</f>
        <v>地下</v>
      </c>
      <c r="BD10" s="29">
        <f>M9</f>
        <v>0</v>
      </c>
      <c r="BE10" s="29">
        <f>O9</f>
        <v>0</v>
      </c>
      <c r="BF10" s="29">
        <f>Q9</f>
        <v>0</v>
      </c>
      <c r="BG10" s="29">
        <f>S9</f>
        <v>0</v>
      </c>
      <c r="BH10" s="29">
        <f>U9</f>
        <v>0</v>
      </c>
      <c r="BI10" s="29">
        <f>W9</f>
        <v>0</v>
      </c>
      <c r="BJ10" s="29">
        <f>Y9</f>
        <v>0</v>
      </c>
      <c r="BK10" s="29">
        <f>AA9</f>
        <v>0</v>
      </c>
      <c r="BL10" s="25" t="s">
        <v>1886</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2"/>
      <c r="H11" s="2195"/>
      <c r="I11" s="2198" t="s">
        <v>3054</v>
      </c>
      <c r="J11" s="2199"/>
      <c r="K11" s="2198" t="s">
        <v>3054</v>
      </c>
      <c r="L11" s="2199"/>
      <c r="M11" s="2198"/>
      <c r="N11" s="2199"/>
      <c r="O11" s="2198"/>
      <c r="P11" s="2199"/>
      <c r="Q11" s="2198"/>
      <c r="R11" s="2199"/>
      <c r="S11" s="2198"/>
      <c r="T11" s="2199"/>
      <c r="U11" s="2198"/>
      <c r="V11" s="2199"/>
      <c r="W11" s="2198"/>
      <c r="X11" s="2199"/>
      <c r="Y11" s="2198"/>
      <c r="Z11" s="2199"/>
      <c r="AA11" s="2198"/>
      <c r="AB11" s="2199"/>
      <c r="AC11" s="1292"/>
      <c r="AD11" s="2200" t="s">
        <v>1896</v>
      </c>
      <c r="AE11" s="1818"/>
      <c r="AF11" s="2200" t="s">
        <v>1896</v>
      </c>
      <c r="AG11" s="1818"/>
      <c r="AH11" s="2200" t="s">
        <v>1897</v>
      </c>
      <c r="AI11" s="2201"/>
      <c r="AJ11" s="2200" t="s">
        <v>1897</v>
      </c>
      <c r="AK11" s="1818"/>
      <c r="AL11" s="1816"/>
      <c r="AM11" s="1818"/>
      <c r="AN11" s="1816"/>
      <c r="AO11" s="1818"/>
      <c r="AP11" s="1816"/>
      <c r="AQ11" s="1818"/>
      <c r="AR11" s="1816"/>
      <c r="AS11" s="1818"/>
      <c r="AT11" s="2161"/>
      <c r="AU11" s="2178"/>
      <c r="AV11" s="1292"/>
      <c r="AW11" s="2161"/>
      <c r="AX11" s="1292"/>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1" t="s">
        <v>1899</v>
      </c>
      <c r="W12" s="11" t="s">
        <v>1898</v>
      </c>
      <c r="X12" s="11" t="s">
        <v>1899</v>
      </c>
      <c r="Y12" s="11" t="s">
        <v>1898</v>
      </c>
      <c r="Z12" s="11" t="s">
        <v>1899</v>
      </c>
      <c r="AA12" s="11" t="s">
        <v>1898</v>
      </c>
      <c r="AB12" s="11" t="s">
        <v>1899</v>
      </c>
      <c r="AC12" s="2205"/>
      <c r="AD12" s="1805"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03" t="s">
        <v>1899</v>
      </c>
      <c r="AT12" s="2206"/>
      <c r="AU12" s="2203"/>
      <c r="AV12" s="31"/>
      <c r="AW12" s="2162"/>
      <c r="AX12" s="31"/>
      <c r="AY12" s="2207"/>
      <c r="AZ12" s="28"/>
      <c r="BA12" s="2195"/>
      <c r="BB12" s="24" t="str">
        <f>I11</f>
        <v>酒店</v>
      </c>
      <c r="BC12" s="2208" t="str">
        <f>K11</f>
        <v>酒店</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52.8">
      <c r="A13" s="1272" t="s">
        <v>3063</v>
      </c>
      <c r="B13" s="1272">
        <v>46890.84</v>
      </c>
      <c r="C13" s="1272">
        <v>26951.68</v>
      </c>
      <c r="D13" s="2209" t="s">
        <v>3068</v>
      </c>
      <c r="E13" s="16">
        <f>IF($C$3="是",ROUND($A$3*G13/$B$3,2),ROUND($A$3*(G13-AT13)/$B$3,2))</f>
        <v>46890.84</v>
      </c>
      <c r="F13" s="32"/>
      <c r="G13" s="33">
        <f>H13+AC13+AT13</f>
        <v>26951.68</v>
      </c>
      <c r="H13" s="20">
        <f>SUMIF(I$12:AB$12,"总值",I13:AB13)</f>
        <v>26951.68</v>
      </c>
      <c r="I13" s="2210">
        <f>5272.12+7932.64+1969.1+926.9</f>
        <v>16100.76</v>
      </c>
      <c r="J13" s="2210"/>
      <c r="K13" s="2210">
        <f>5508.31+5342.61</f>
        <v>10850.92</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t="str">
        <f t="shared" ref="AV13:AX17" si="6">A13</f>
        <v>三土房（2006）字第0156号</v>
      </c>
      <c r="AW13" s="11">
        <f t="shared" si="6"/>
        <v>46890.84</v>
      </c>
      <c r="AX13" s="11">
        <f t="shared" si="6"/>
        <v>26951.68</v>
      </c>
      <c r="AY13" s="1805">
        <f>ROUND($AY$6*AZ13/$AZ$5,2)</f>
        <v>46890.84</v>
      </c>
      <c r="AZ13" s="16">
        <f>BA13+BL13</f>
        <v>26951.68</v>
      </c>
      <c r="BA13" s="16">
        <f>SUM(BB13:BK13)</f>
        <v>26951.68</v>
      </c>
      <c r="BB13" s="16">
        <f>IF($D13="是",I13-J13,0)</f>
        <v>16100.76</v>
      </c>
      <c r="BC13" s="16">
        <f>IF($D13="是",K13-L13,0)</f>
        <v>10850.92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52.8">
      <c r="A14" s="1272" t="s">
        <v>3064</v>
      </c>
      <c r="B14" s="1272">
        <v>53109.06</v>
      </c>
      <c r="C14" s="2149">
        <v>30525.759999999998</v>
      </c>
      <c r="D14" s="2209" t="s">
        <v>3068</v>
      </c>
      <c r="E14" s="16">
        <f>IF($C$3="是",ROUND($A$3*G14/$B$3,2),ROUND($A$3*(G14-AT14)/$B$3,2))</f>
        <v>53109.06</v>
      </c>
      <c r="F14" s="32"/>
      <c r="G14" s="33">
        <f>H14+AC14+AT14</f>
        <v>30525.760000000002</v>
      </c>
      <c r="H14" s="20">
        <f>SUMIF(I$12:AB$12,"总值",I14:AB14)</f>
        <v>30525.760000000002</v>
      </c>
      <c r="I14" s="2210">
        <f>4830.52+16270.84+4065.36+1182.34</f>
        <v>26349.06</v>
      </c>
      <c r="J14" s="2210"/>
      <c r="K14" s="2210">
        <f>4176.7</f>
        <v>4176.7</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三土房（2006）字第0157号</v>
      </c>
      <c r="AW14" s="11">
        <f t="shared" si="6"/>
        <v>53109.06</v>
      </c>
      <c r="AX14" s="11">
        <f t="shared" si="6"/>
        <v>30525.759999999998</v>
      </c>
      <c r="AY14" s="1805">
        <f>ROUND($AY$6*AZ14/$AZ$5,2)</f>
        <v>53109.06</v>
      </c>
      <c r="AZ14" s="16">
        <f>BA14+BL14</f>
        <v>30525.760000000002</v>
      </c>
      <c r="BA14" s="16">
        <f>SUM(BB14:BK14)</f>
        <v>30525.760000000002</v>
      </c>
      <c r="BB14" s="16">
        <f>IF($D14="是",I14-J14,0)</f>
        <v>26349.06</v>
      </c>
      <c r="BC14" s="16">
        <f>IF($D14="是",K14-L14,0)</f>
        <v>4176.7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2954" t="s">
        <v>3065</v>
      </c>
      <c r="B15" s="1272">
        <f>B13+B14</f>
        <v>99999.9</v>
      </c>
      <c r="C15" s="1272">
        <f>C13+C14</f>
        <v>57477.440000000002</v>
      </c>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t="str">
        <f t="shared" si="6"/>
        <v>合计</v>
      </c>
      <c r="AW15" s="11">
        <f t="shared" si="6"/>
        <v>99999.9</v>
      </c>
      <c r="AX15" s="11">
        <f t="shared" si="6"/>
        <v>57477.440000000002</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46.8">
      <c r="A3" s="3036"/>
      <c r="B3" s="3036"/>
      <c r="C3" s="3036"/>
      <c r="D3" s="3037"/>
      <c r="E3" s="303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9" sqref="D29"/>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1925</v>
      </c>
      <c r="B1" s="1392"/>
      <c r="C1" s="1392"/>
      <c r="D1" s="1392"/>
      <c r="E1" s="1392"/>
      <c r="F1" s="1392"/>
      <c r="G1" s="1392"/>
      <c r="H1" s="1392"/>
      <c r="I1" s="1392"/>
      <c r="J1" s="1392"/>
      <c r="K1" s="1392"/>
      <c r="L1" s="1392"/>
      <c r="M1" s="1392"/>
      <c r="N1" s="1392"/>
      <c r="O1" s="1392"/>
      <c r="P1" s="1392"/>
    </row>
    <row r="2" spans="1:16" ht="14.4">
      <c r="A2" s="3047" t="s">
        <v>1926</v>
      </c>
      <c r="B2" s="3047"/>
      <c r="C2" s="3047"/>
      <c r="D2" s="967" t="s">
        <v>1902</v>
      </c>
      <c r="E2" s="2223" t="s">
        <v>1903</v>
      </c>
      <c r="F2" s="1392"/>
      <c r="G2" s="2224"/>
      <c r="H2" s="2225"/>
      <c r="I2" s="2226" t="s">
        <v>1927</v>
      </c>
      <c r="J2" s="1392"/>
      <c r="K2" s="1392"/>
      <c r="L2" s="1392"/>
      <c r="M2" s="1392"/>
      <c r="N2" s="1427"/>
      <c r="O2" s="1392"/>
      <c r="P2" s="1392"/>
    </row>
    <row r="3" spans="1:16" ht="15" thickBot="1">
      <c r="A3" s="3048" t="s">
        <v>1900</v>
      </c>
      <c r="B3" s="3048"/>
      <c r="C3" s="3048"/>
      <c r="D3" s="46">
        <f>'数据-基础表'!AY6</f>
        <v>99999.9</v>
      </c>
      <c r="E3" s="46">
        <f>'数据-基础表'!AZ5</f>
        <v>57477.440000000002</v>
      </c>
      <c r="F3" s="1392"/>
      <c r="G3" s="1399"/>
      <c r="H3" s="1247" t="s">
        <v>1901</v>
      </c>
      <c r="I3" s="55">
        <f>ROUND('数据-基础表'!B3/'数据-基础表'!A3,2)</f>
        <v>0.56999999999999995</v>
      </c>
      <c r="J3" s="1392"/>
      <c r="K3" s="1392"/>
      <c r="L3" s="1392"/>
      <c r="M3" s="1392"/>
      <c r="N3" s="1427"/>
      <c r="O3" s="1392"/>
      <c r="P3" s="1392"/>
    </row>
    <row r="4" spans="1:16" ht="14.4">
      <c r="A4" s="3049"/>
      <c r="B4" s="3050"/>
      <c r="C4" s="3051"/>
      <c r="D4" s="2227" t="s">
        <v>1902</v>
      </c>
      <c r="E4" s="2228" t="s">
        <v>1903</v>
      </c>
      <c r="F4" s="1392"/>
      <c r="G4" s="2229" t="s">
        <v>1928</v>
      </c>
      <c r="H4" s="1247" t="s">
        <v>1908</v>
      </c>
      <c r="I4" s="55">
        <f>ROUND(SUMIF('数据-基础表'!I9:AS9,"地上",'数据-基础表'!I5:AS5)/'数据-基础表'!A3,2)</f>
        <v>0.42</v>
      </c>
      <c r="J4" s="1392"/>
      <c r="K4" s="1392"/>
      <c r="L4" s="1392"/>
      <c r="M4" s="1392"/>
      <c r="N4" s="1427"/>
      <c r="O4" s="1392"/>
      <c r="P4" s="1392"/>
    </row>
    <row r="5" spans="1:16" ht="14.4">
      <c r="A5" s="47" t="s">
        <v>1904</v>
      </c>
      <c r="B5" s="3052" t="s">
        <v>1905</v>
      </c>
      <c r="C5" s="3052"/>
      <c r="D5" s="48">
        <f>ROUND($D$3*E5/$E$3,2)</f>
        <v>0</v>
      </c>
      <c r="E5" s="49">
        <f>SUMIF('数据-基础表'!$11:$11,"住宅",'数据-基础表'!$5:$5)</f>
        <v>0</v>
      </c>
      <c r="F5" s="1392"/>
      <c r="G5" s="1399"/>
      <c r="H5" s="1247" t="s">
        <v>1901</v>
      </c>
      <c r="I5" s="55">
        <f>ROUND(E31/D31,2)</f>
        <v>0.56999999999999995</v>
      </c>
      <c r="J5" s="1392"/>
      <c r="K5" s="1392"/>
      <c r="L5" s="1392"/>
      <c r="M5" s="1392"/>
      <c r="N5" s="1392"/>
      <c r="O5" s="1392"/>
      <c r="P5" s="1392"/>
    </row>
    <row r="6" spans="1:16" ht="15" thickBot="1">
      <c r="A6" s="2230"/>
      <c r="B6" s="3052" t="s">
        <v>1906</v>
      </c>
      <c r="C6" s="3052"/>
      <c r="D6" s="48">
        <f>ROUND($D$3*E6/$E$3,2)</f>
        <v>99999.9</v>
      </c>
      <c r="E6" s="49">
        <f>E3-E5</f>
        <v>57477.440000000002</v>
      </c>
      <c r="F6" s="1392"/>
      <c r="G6" s="2231" t="s">
        <v>1907</v>
      </c>
      <c r="H6" s="1399" t="s">
        <v>1908</v>
      </c>
      <c r="I6" s="939">
        <f>ROUND(F31/D31,2)</f>
        <v>0.42</v>
      </c>
      <c r="J6" s="1392"/>
      <c r="K6" s="1392"/>
      <c r="L6" s="1392"/>
      <c r="M6" s="1392"/>
      <c r="N6" s="1392"/>
      <c r="O6" s="1392"/>
      <c r="P6" s="1392"/>
    </row>
    <row r="7" spans="1:16" ht="14.4">
      <c r="A7" s="3044"/>
      <c r="B7" s="3045"/>
      <c r="C7" s="3046"/>
      <c r="D7" s="2227" t="s">
        <v>1902</v>
      </c>
      <c r="E7" s="2232" t="s">
        <v>1909</v>
      </c>
      <c r="F7" s="1392"/>
      <c r="G7" s="2224" t="s">
        <v>1910</v>
      </c>
      <c r="H7" s="64"/>
      <c r="I7" s="420"/>
      <c r="J7" s="1392"/>
      <c r="K7" s="1392"/>
      <c r="L7" s="1392"/>
      <c r="M7" s="1392"/>
      <c r="N7" s="1392"/>
      <c r="O7" s="1392"/>
      <c r="P7" s="1392"/>
    </row>
    <row r="8" spans="1:16" ht="14.4">
      <c r="A8" s="47" t="s">
        <v>1911</v>
      </c>
      <c r="B8" s="50" t="s">
        <v>1912</v>
      </c>
      <c r="C8" s="48" t="s">
        <v>1913</v>
      </c>
      <c r="D8" s="48">
        <f t="shared" ref="D8:D15" si="0">ROUND($D$3*E8/$E$3,2)</f>
        <v>73854.679999999993</v>
      </c>
      <c r="E8" s="51">
        <f>SUMIF('数据-基础表'!BB10:BK10,"地上",'数据-基础表'!BB5:BK5)</f>
        <v>42449.82</v>
      </c>
      <c r="F8" s="1392"/>
      <c r="G8" s="2233"/>
      <c r="H8" s="2233"/>
      <c r="I8" s="1392"/>
      <c r="J8" s="1392"/>
      <c r="K8" s="1392"/>
      <c r="L8" s="1392"/>
      <c r="M8" s="1392"/>
      <c r="N8" s="1392"/>
      <c r="O8" s="1392"/>
      <c r="P8" s="1392"/>
    </row>
    <row r="9" spans="1:16" ht="14.4">
      <c r="A9" s="2234"/>
      <c r="B9" s="2235"/>
      <c r="C9" s="48" t="s">
        <v>1914</v>
      </c>
      <c r="D9" s="48">
        <f t="shared" si="0"/>
        <v>0</v>
      </c>
      <c r="E9" s="52">
        <v>0</v>
      </c>
      <c r="F9" s="1392"/>
      <c r="G9" s="2233"/>
      <c r="H9" s="2233"/>
      <c r="I9" s="1392"/>
      <c r="J9" s="1392"/>
      <c r="K9" s="1392"/>
      <c r="L9" s="1392"/>
      <c r="M9" s="1392"/>
      <c r="N9" s="1392"/>
      <c r="O9" s="1392"/>
      <c r="P9" s="1392"/>
    </row>
    <row r="10" spans="1:16" ht="14.4">
      <c r="A10" s="2234"/>
      <c r="B10" s="2235"/>
      <c r="C10" s="48" t="s">
        <v>1923</v>
      </c>
      <c r="D10" s="48">
        <f t="shared" si="0"/>
        <v>26145.22</v>
      </c>
      <c r="E10" s="51">
        <f>SUMPRODUCT(('数据-基础表'!BB10:BK10="地下")*('数据-基础表'!BB11:BK11="商业")*('数据-基础表'!BB5:BK5))</f>
        <v>15027.619999999999</v>
      </c>
      <c r="F10" s="1392"/>
      <c r="G10" s="2233"/>
      <c r="H10" s="2233"/>
      <c r="I10" s="1392"/>
      <c r="J10" s="1392"/>
      <c r="K10" s="1392"/>
      <c r="L10" s="1392"/>
      <c r="M10" s="1392"/>
      <c r="N10" s="1392"/>
      <c r="O10" s="1392"/>
      <c r="P10" s="1392"/>
    </row>
    <row r="11" spans="1:16" ht="14.4">
      <c r="A11" s="2234"/>
      <c r="B11" s="2235"/>
      <c r="C11" s="48" t="s">
        <v>1915</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ht="14.4">
      <c r="A12" s="2234"/>
      <c r="B12" s="2235"/>
      <c r="C12" s="48" t="s">
        <v>1916</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ht="14.4">
      <c r="A13" s="2234"/>
      <c r="B13" s="2235"/>
      <c r="C13" s="48" t="s">
        <v>1917</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ht="14.4">
      <c r="A14" s="2234"/>
      <c r="B14" s="2235"/>
      <c r="C14" s="48" t="s">
        <v>1929</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1924</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 thickBot="1">
      <c r="A16" s="2230"/>
      <c r="B16" s="2235"/>
      <c r="C16" s="50" t="s">
        <v>1918</v>
      </c>
      <c r="D16" s="50">
        <f>SUM(D8:D15)</f>
        <v>99999.9</v>
      </c>
      <c r="E16" s="53">
        <f>SUM(E8:E15)</f>
        <v>57477.440000000002</v>
      </c>
      <c r="F16" s="1392"/>
      <c r="G16" s="2233"/>
      <c r="H16" s="2236" t="s">
        <v>1930</v>
      </c>
      <c r="I16" s="2237"/>
      <c r="J16" s="1392"/>
      <c r="K16" s="3041" t="s">
        <v>1930</v>
      </c>
      <c r="L16" s="3042"/>
      <c r="M16" s="3042"/>
      <c r="N16" s="3042"/>
      <c r="O16" s="3042"/>
      <c r="P16" s="3043"/>
    </row>
    <row r="17" spans="1:19" ht="14.4">
      <c r="A17" s="2238" t="s">
        <v>1931</v>
      </c>
      <c r="B17" s="2239" t="s">
        <v>1932</v>
      </c>
      <c r="C17" s="2240" t="s">
        <v>1933</v>
      </c>
      <c r="D17" s="2241" t="s">
        <v>1921</v>
      </c>
      <c r="E17" s="2242" t="s">
        <v>1922</v>
      </c>
      <c r="F17" s="2243"/>
      <c r="G17" s="2244"/>
      <c r="H17" s="2245" t="s">
        <v>1934</v>
      </c>
      <c r="I17" s="2246" t="s">
        <v>1919</v>
      </c>
      <c r="J17" s="1392"/>
      <c r="K17" s="3038" t="s">
        <v>1935</v>
      </c>
      <c r="L17" s="3039"/>
      <c r="M17" s="3040"/>
      <c r="N17" s="3038" t="s">
        <v>1936</v>
      </c>
      <c r="O17" s="3039"/>
      <c r="P17" s="3040"/>
      <c r="R17" s="2224" t="s">
        <v>1937</v>
      </c>
      <c r="S17" s="64"/>
    </row>
    <row r="18" spans="1:19" ht="14.4">
      <c r="A18" s="2234"/>
      <c r="B18" s="2247"/>
      <c r="C18" s="2248"/>
      <c r="D18" s="2249"/>
      <c r="E18" s="2250" t="s">
        <v>1938</v>
      </c>
      <c r="F18" s="2251" t="s">
        <v>1939</v>
      </c>
      <c r="G18" s="2252" t="s">
        <v>1940</v>
      </c>
      <c r="H18" s="1262" t="s">
        <v>1941</v>
      </c>
      <c r="I18" s="2253" t="s">
        <v>1942</v>
      </c>
      <c r="J18" s="1392"/>
      <c r="K18" s="1262" t="s">
        <v>1943</v>
      </c>
      <c r="L18" s="2254" t="s">
        <v>1944</v>
      </c>
      <c r="M18" s="1046" t="s">
        <v>1945</v>
      </c>
      <c r="N18" s="1262" t="s">
        <v>1943</v>
      </c>
      <c r="O18" s="2254" t="s">
        <v>1944</v>
      </c>
      <c r="P18" s="1046" t="s">
        <v>1945</v>
      </c>
      <c r="R18" s="1247" t="s">
        <v>1946</v>
      </c>
      <c r="S18" s="1247" t="s">
        <v>1947</v>
      </c>
    </row>
    <row r="19" spans="1:19" ht="14.4">
      <c r="A19" s="2255"/>
      <c r="B19" s="50" t="s">
        <v>1920</v>
      </c>
      <c r="C19" s="2955" t="s">
        <v>3069</v>
      </c>
      <c r="D19" s="48">
        <f>ROUND($D$3*E19/$E$3,2)</f>
        <v>99999.9</v>
      </c>
      <c r="E19" s="56">
        <f t="shared" ref="E19:E26" si="1">SUM(F19:G19)</f>
        <v>57477.440000000002</v>
      </c>
      <c r="F19" s="57">
        <f>'数据-基础表'!I5</f>
        <v>42449.82</v>
      </c>
      <c r="G19" s="58">
        <f>'数据-基础表'!K5</f>
        <v>15027.619999999999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99999.9</v>
      </c>
      <c r="S19" s="1248">
        <f t="shared" si="5"/>
        <v>57477.440000000002</v>
      </c>
    </row>
    <row r="20" spans="1:19" ht="14.4">
      <c r="A20" s="2259"/>
      <c r="B20" s="50" t="s">
        <v>1948</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ht="14.4">
      <c r="A21" s="2259"/>
      <c r="B21" s="50" t="s">
        <v>1948</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ht="14.4">
      <c r="A22" s="2259"/>
      <c r="B22" s="50" t="s">
        <v>1948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t="14.4">
      <c r="A23" s="2259"/>
      <c r="B23" s="50" t="s">
        <v>1948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t="14.4">
      <c r="A24" s="2259"/>
      <c r="B24" s="50" t="s">
        <v>1948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t="14.4">
      <c r="A25" s="2259"/>
      <c r="B25" s="50" t="s">
        <v>1948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t="14.4">
      <c r="A26" s="2259"/>
      <c r="B26" s="50" t="s">
        <v>1948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 thickBot="1">
      <c r="A27" s="2259"/>
      <c r="B27" s="48"/>
      <c r="C27" s="2262" t="s">
        <v>1949</v>
      </c>
      <c r="D27" s="1393">
        <f>SUM(D19:D26)</f>
        <v>99999.9</v>
      </c>
      <c r="E27" s="1394">
        <f>IF(SUM(E19:E26)='数据-基础表'!BA5,SUM(E19:E26),IF(F27="地上面积有误","面积有误","地下面积有误"))</f>
        <v>57477.440000000002</v>
      </c>
      <c r="F27" s="1393">
        <f>IF(SUM(F19:F26)=E8,SUM(F19:F26),"地上面积有误")</f>
        <v>42449.82</v>
      </c>
      <c r="G27" s="1395">
        <f>SUM(G19:G26)</f>
        <v>15027.619999999999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99999.9</v>
      </c>
      <c r="S27" s="1247">
        <f>IF(SUM(S19:S26)=$E$3,SUM(S19:S26),SUM(S19:S26)&amp;"误差"&amp;ROUND(SUM(S19:S26)-E3,2))</f>
        <v>57477.440000000002</v>
      </c>
    </row>
    <row r="28" spans="1:19" ht="14.4">
      <c r="A28" s="2259"/>
      <c r="B28" s="50" t="s">
        <v>1950</v>
      </c>
      <c r="C28" s="1259" t="s">
        <v>1951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9"/>
      <c r="B29" s="50" t="s">
        <v>1950</v>
      </c>
      <c r="C29" s="2263" t="s">
        <v>1952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9"/>
      <c r="B30" s="50"/>
      <c r="C30" s="2264" t="s">
        <v>1949</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5"/>
      <c r="B31" s="2266"/>
      <c r="C31" s="1007" t="s">
        <v>1953</v>
      </c>
      <c r="D31" s="729">
        <f>D27+D30</f>
        <v>99999.9</v>
      </c>
      <c r="E31" s="729">
        <f>E27+E30</f>
        <v>57477.440000000002</v>
      </c>
      <c r="F31" s="730">
        <f>F27+F30</f>
        <v>42449.82</v>
      </c>
      <c r="G31" s="731">
        <f>G27+G30</f>
        <v>15027.619999999999</v>
      </c>
      <c r="H31" s="1392"/>
      <c r="I31" s="1392"/>
      <c r="J31" s="1392"/>
      <c r="K31" s="1392"/>
      <c r="L31" s="1392"/>
      <c r="M31" s="1392"/>
      <c r="N31" s="1392"/>
      <c r="O31" s="1392"/>
      <c r="P31" s="1392"/>
    </row>
    <row r="32" spans="1:19" ht="14.4">
      <c r="A32" s="2229"/>
      <c r="B32" s="2229" t="s">
        <v>1954</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9.2187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1955</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2" t="s">
        <v>1956</v>
      </c>
      <c r="B2" s="1266">
        <f>项目基本情况!D3</f>
        <v>43768</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4.4" thickBot="1">
      <c r="A3" s="2027"/>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1957</v>
      </c>
      <c r="B4" s="2277"/>
      <c r="C4" s="2278"/>
      <c r="D4" s="2279"/>
      <c r="E4" s="2278" t="s">
        <v>1958</v>
      </c>
      <c r="F4" s="2278"/>
      <c r="G4" s="2278"/>
      <c r="H4" s="2278"/>
      <c r="I4" s="2278"/>
      <c r="J4" s="2280"/>
      <c r="K4" s="2281"/>
      <c r="L4" s="2282"/>
      <c r="M4" s="2278"/>
      <c r="N4" s="2278" t="s">
        <v>1959</v>
      </c>
      <c r="O4" s="2278"/>
      <c r="P4" s="2278"/>
      <c r="Q4" s="2278"/>
      <c r="R4" s="2278"/>
      <c r="S4" s="2280"/>
      <c r="T4" s="2283" t="str">
        <f>'数据-汇总表'!I17</f>
        <v>按面积比例</v>
      </c>
      <c r="U4" s="2277" t="s">
        <v>1960</v>
      </c>
      <c r="V4" s="2278"/>
      <c r="W4" s="2278"/>
      <c r="X4" s="2278"/>
      <c r="Y4" s="2280"/>
      <c r="Z4" s="2240" t="s">
        <v>1961</v>
      </c>
      <c r="AA4" s="2240"/>
      <c r="AB4" s="2240"/>
      <c r="AC4" s="2240"/>
      <c r="AD4" s="2240"/>
      <c r="AE4" s="2238" t="s">
        <v>1962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57.6">
      <c r="A5" s="2285" t="s">
        <v>1963</v>
      </c>
      <c r="B5" s="2286" t="s">
        <v>1964</v>
      </c>
      <c r="C5" s="2287" t="s">
        <v>1965</v>
      </c>
      <c r="D5" s="2288" t="s">
        <v>1966</v>
      </c>
      <c r="E5" s="1268" t="s">
        <v>1967</v>
      </c>
      <c r="F5" s="2289" t="s">
        <v>1968</v>
      </c>
      <c r="G5" s="1268" t="s">
        <v>1969</v>
      </c>
      <c r="H5" s="1268" t="s">
        <v>1970</v>
      </c>
      <c r="I5" s="1268" t="s">
        <v>1971</v>
      </c>
      <c r="J5" s="2290" t="s">
        <v>1972</v>
      </c>
      <c r="K5" s="2291" t="s">
        <v>1973</v>
      </c>
      <c r="L5" s="2292" t="s">
        <v>1974</v>
      </c>
      <c r="M5" s="2293" t="s">
        <v>1975</v>
      </c>
      <c r="N5" s="2294" t="s">
        <v>3070</v>
      </c>
      <c r="O5" s="2292" t="s">
        <v>1976</v>
      </c>
      <c r="P5" s="2295" t="s">
        <v>1977</v>
      </c>
      <c r="Q5" s="69" t="s">
        <v>1978</v>
      </c>
      <c r="R5" s="2296" t="s">
        <v>1979</v>
      </c>
      <c r="S5" s="2297" t="s">
        <v>1980</v>
      </c>
      <c r="T5" s="2298" t="s">
        <v>1981</v>
      </c>
      <c r="U5" s="1267" t="s">
        <v>1982</v>
      </c>
      <c r="V5" s="1268" t="s">
        <v>1983</v>
      </c>
      <c r="W5" s="1268" t="s">
        <v>1984</v>
      </c>
      <c r="X5" s="71"/>
      <c r="Y5" s="70" t="s">
        <v>1985</v>
      </c>
      <c r="Z5" s="2299" t="s">
        <v>1982</v>
      </c>
      <c r="AA5" s="1268" t="s">
        <v>1983</v>
      </c>
      <c r="AB5" s="1268" t="s">
        <v>1984</v>
      </c>
      <c r="AC5" s="71"/>
      <c r="AD5" s="71" t="s">
        <v>1985</v>
      </c>
      <c r="AE5" s="1267" t="s">
        <v>1986</v>
      </c>
      <c r="AF5" s="1268" t="s">
        <v>1987</v>
      </c>
      <c r="AG5" s="70" t="s">
        <v>1988</v>
      </c>
      <c r="AH5" s="1267" t="s">
        <v>1989</v>
      </c>
      <c r="AI5" s="2299" t="s">
        <v>1990</v>
      </c>
      <c r="AJ5" s="2299" t="s">
        <v>1991</v>
      </c>
      <c r="AK5" s="1268" t="s">
        <v>1992</v>
      </c>
      <c r="AL5" s="1268" t="s">
        <v>1993</v>
      </c>
      <c r="AM5" s="70" t="s">
        <v>1994</v>
      </c>
      <c r="AN5" s="2300" t="s">
        <v>1995</v>
      </c>
      <c r="AO5" s="2070" t="s">
        <v>1996</v>
      </c>
      <c r="AP5" s="1249" t="s">
        <v>1997</v>
      </c>
      <c r="AQ5" s="2301" t="s">
        <v>1998</v>
      </c>
      <c r="AR5" s="2301" t="s">
        <v>1999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3.8">
      <c r="A6" s="2302" t="str">
        <f>'数据-汇总表'!C19</f>
        <v>酒店</v>
      </c>
      <c r="B6" s="2303" t="str">
        <f>IF(A6=0,"","经营性")</f>
        <v>经营性</v>
      </c>
      <c r="C6" s="2304" t="s">
        <v>1367</v>
      </c>
      <c r="D6" s="1051">
        <f>SUMIF(项目基本情况!D$12:I$12,C6,项目基本情况!D$14:I$14)</f>
        <v>40</v>
      </c>
      <c r="E6" s="1048">
        <f>IF(B6="","",SUMIF(项目基本情况!D$12:I$12,C6,项目基本情况!D$13:I$13))</f>
        <v>54079</v>
      </c>
      <c r="F6" s="72">
        <f>SUMIF(项目基本情况!D$12:I$12,C6,项目基本情况!D$15:I$15)</f>
        <v>28.24</v>
      </c>
      <c r="G6" s="73">
        <f>IF(ISERROR(ROUND(POWER(1+H6,D6-F6)*(POWER(1+H6,F6)-1)/(POWER(1+H6,D6)-1),3)),0,ROUND(POWER(1+H6,D6-F6)*(POWER(1+H6,F6)-1)/(POWER(1+H6,D6)-1),3))</f>
        <v>0.88300000000000001</v>
      </c>
      <c r="H6" s="802">
        <v>5.5E-2</v>
      </c>
      <c r="I6" s="802">
        <v>0.06</v>
      </c>
      <c r="J6" s="74">
        <v>8.5000000000000006E-2</v>
      </c>
      <c r="K6" s="1251">
        <f>SUMIF('数据-汇总表'!C$19:C$33,A6,'数据-汇总表'!E$19:E$33)</f>
        <v>57477.440000000002</v>
      </c>
      <c r="L6" s="803">
        <v>8000</v>
      </c>
      <c r="M6" s="75">
        <f t="shared" ref="M6:M14" si="0">ROUND(K6*L6/10000,0)</f>
        <v>45982</v>
      </c>
      <c r="N6" s="801">
        <f>(ROUND(1-(2019-2004)/60,2)+90%)/2</f>
        <v>0.82499999999999996</v>
      </c>
      <c r="O6" s="75" t="str">
        <f>IF($N$5="成新度","——",ROUND(M6*N6,0))</f>
        <v>——</v>
      </c>
      <c r="P6" s="76" t="str">
        <f>IF($N$5="成新度","——",M6-O6)</f>
        <v>——</v>
      </c>
      <c r="Q6" s="2961">
        <v>0.3</v>
      </c>
      <c r="R6" s="77">
        <f ca="1">SUMIF('数据-汇总表'!C$19:C$33,A6,'数据-汇总表'!R$19:R$27)</f>
        <v>99999.9</v>
      </c>
      <c r="S6" s="54">
        <f>IF('数据-汇总表'!$I$17="按面积比例",SUMIF('数据-汇总表'!C$19:C$33,A6,'数据-汇总表'!K$19:K$33),SUMIF('数据-汇总表'!C$19:C$33,A6,'数据-汇总表'!N$19:N$33))</f>
        <v>0</v>
      </c>
      <c r="T6" s="1443">
        <f>ROUND($L$14*S6/10000,0)</f>
        <v>0</v>
      </c>
      <c r="U6" s="78">
        <f>酒店收入计算!E35*10000</f>
        <v>111842500</v>
      </c>
      <c r="V6" s="79">
        <v>0.02</v>
      </c>
      <c r="W6" s="79">
        <v>0</v>
      </c>
      <c r="X6" s="1261"/>
      <c r="Y6" s="80">
        <f>N6</f>
        <v>0.82499999999999996</v>
      </c>
      <c r="Z6" s="81"/>
      <c r="AA6" s="74"/>
      <c r="AB6" s="74"/>
      <c r="AC6" s="1261"/>
      <c r="AD6" s="82"/>
      <c r="AE6" s="1262">
        <f ca="1">IF(AN6="",0,SUMIF(INDIRECT("'"&amp;AN6&amp;"'"&amp;"!E:E"),$AE$5,INDIRECT("'"&amp;AN6&amp;"'"&amp;"!F:F")))</f>
        <v>28.24</v>
      </c>
      <c r="AF6" s="1803"/>
      <c r="AG6" s="147">
        <f>IF(AF6="",0,AE6-AF6)</f>
        <v>0</v>
      </c>
      <c r="AH6" s="83">
        <v>1</v>
      </c>
      <c r="AI6" s="85">
        <v>1</v>
      </c>
      <c r="AJ6" s="86"/>
      <c r="AK6" s="87">
        <v>1.4999999999999999E-2</v>
      </c>
      <c r="AL6" s="88">
        <v>1.5E-3</v>
      </c>
      <c r="AM6" s="89">
        <v>0.01</v>
      </c>
      <c r="AN6" s="2305" t="s">
        <v>3521</v>
      </c>
      <c r="AO6" s="55">
        <f ca="1">SUMIF(INDIRECT("'"&amp;AN6&amp;"'"&amp;"!A:A"),"总价",INDIRECT("'"&amp;AN6&amp;"'"&amp;"!B:B"))</f>
        <v>139215</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3.8">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3.8">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3.8">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3.8">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3.8">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3.8">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3.8">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4">
      <c r="A14" s="2307" t="s">
        <v>2000</v>
      </c>
      <c r="B14" s="2303" t="s">
        <v>2001</v>
      </c>
      <c r="C14" s="2308" t="s">
        <v>2000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8.8">
      <c r="A15" s="2307" t="s">
        <v>2002</v>
      </c>
      <c r="B15" s="2303" t="s">
        <v>2001</v>
      </c>
      <c r="C15" s="2308" t="s">
        <v>2003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 thickBot="1">
      <c r="A16" s="2309" t="s">
        <v>2004</v>
      </c>
      <c r="B16" s="97"/>
      <c r="C16" s="1005"/>
      <c r="D16" s="2310"/>
      <c r="E16" s="97"/>
      <c r="F16" s="97"/>
      <c r="G16" s="98">
        <f>ROUND(SUMPRODUCT(G6:G13,K6:K13)/SUMPRODUCT((G6:G13&gt;0)*(K6:K13)),3)</f>
        <v>0.88300000000000001</v>
      </c>
      <c r="H16" s="99">
        <f>ROUND(SUMPRODUCT(H6:H13,K6:K13)/SUMPRODUCT((H6:H13&gt;0)*(K6:K13)),3)</f>
        <v>5.5E-2</v>
      </c>
      <c r="I16" s="100"/>
      <c r="J16" s="100"/>
      <c r="K16" s="101">
        <f>SUM(K6:K15)</f>
        <v>57477.440000000002</v>
      </c>
      <c r="L16" s="102">
        <f>ROUND(M16*10000/SUM(K6:K14),0)</f>
        <v>8000</v>
      </c>
      <c r="M16" s="102">
        <f>SUM(M6:M14)</f>
        <v>45982</v>
      </c>
      <c r="N16" s="103">
        <f>ROUND(SUMPRODUCT(M6:M14,N6:N14)/M16,3)</f>
        <v>0.82499999999999996</v>
      </c>
      <c r="O16" s="102">
        <f>SUM(O6:O14)</f>
        <v>0</v>
      </c>
      <c r="P16" s="102">
        <f>SUM(P6:P14)</f>
        <v>0</v>
      </c>
      <c r="Q16" s="104">
        <f>ROUND(SUMPRODUCT(Q6:Q13,K6:K13)/SUMPRODUCT((Q6:Q13&gt;0)*(K6:K13)),2)</f>
        <v>0.3</v>
      </c>
      <c r="R16" s="1255">
        <f ca="1">SUM(R6:R13)</f>
        <v>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2005</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2006</v>
      </c>
      <c r="B19" s="112">
        <v>0</v>
      </c>
      <c r="C19" s="2273" t="s">
        <v>2007</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3" t="s">
        <v>2008</v>
      </c>
      <c r="B20" s="113">
        <v>2</v>
      </c>
      <c r="C20" s="2273" t="s">
        <v>2009</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4" t="s">
        <v>2010</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3" t="s">
        <v>2011</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2012</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2013</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2014</v>
      </c>
      <c r="B26" s="2316" t="s">
        <v>2015</v>
      </c>
      <c r="C26" s="2317" t="s">
        <v>2016</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2017</v>
      </c>
      <c r="B27" s="116">
        <v>220</v>
      </c>
      <c r="C27" s="1763" t="s">
        <v>2018</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2019</v>
      </c>
      <c r="B28" s="119">
        <v>220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2020</v>
      </c>
      <c r="B29" s="121">
        <f>ROUND(B28*K16/10000,0)</f>
        <v>1265</v>
      </c>
      <c r="C29" s="1763" t="s">
        <v>2021</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2022</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2023</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2024</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2025</v>
      </c>
      <c r="B33" s="726">
        <v>0.05</v>
      </c>
      <c r="C33" s="1762" t="s">
        <v>2026</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2027</v>
      </c>
      <c r="B34" s="122">
        <v>0</v>
      </c>
      <c r="C34" s="1762" t="s">
        <v>2028</v>
      </c>
      <c r="D34" s="2274" t="s">
        <v>2029</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2030</v>
      </c>
      <c r="B35" s="119">
        <v>200</v>
      </c>
      <c r="C35" s="1762" t="s">
        <v>2031</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2032</v>
      </c>
      <c r="B36" s="123">
        <v>1.4999999999999999E-2</v>
      </c>
      <c r="C36" s="1762" t="s">
        <v>2033</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2034</v>
      </c>
      <c r="B37" s="124">
        <v>0.03</v>
      </c>
      <c r="C37" s="1762" t="s">
        <v>2035</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2036</v>
      </c>
      <c r="B38" s="122">
        <v>0.03</v>
      </c>
      <c r="C38" s="1762" t="s">
        <v>2035</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2037</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2038</v>
      </c>
      <c r="B40" s="1300">
        <f ca="1">存贷款利率!G1</f>
        <v>4.7500000000000001E-2</v>
      </c>
      <c r="C40" s="1762" t="s">
        <v>2039</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2040</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2041</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2042</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2043</v>
      </c>
      <c r="B44" s="128">
        <v>7.0000000000000007E-2</v>
      </c>
      <c r="C44" s="1762" t="s">
        <v>2044</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2045</v>
      </c>
      <c r="B45" s="126">
        <v>0.03</v>
      </c>
      <c r="C45" s="1763" t="s">
        <v>2046</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2047</v>
      </c>
      <c r="B46" s="126">
        <v>0.02</v>
      </c>
      <c r="C46" s="1763" t="s">
        <v>2048</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2049</v>
      </c>
      <c r="B47" s="129"/>
      <c r="C47" s="1763" t="s">
        <v>2050</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2051</v>
      </c>
      <c r="B48" s="130">
        <v>0.03</v>
      </c>
      <c r="C48" s="1770" t="s">
        <v>2052</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2053</v>
      </c>
      <c r="B49" s="126">
        <v>5.0000000000000001E-4</v>
      </c>
      <c r="C49" s="1770" t="s">
        <v>2054</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2055</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2056</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2057</v>
      </c>
      <c r="B52" s="133">
        <f>SUMIF(A54:A63,B53,B54:B63)</f>
        <v>18</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2058</v>
      </c>
      <c r="B53" s="2332" t="s">
        <v>212</v>
      </c>
      <c r="C53" s="1427" t="s">
        <v>2059</v>
      </c>
      <c r="D53" s="2333" t="s">
        <v>2060</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2061</v>
      </c>
      <c r="B54" s="84">
        <v>18</v>
      </c>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2062</v>
      </c>
      <c r="B55" s="84">
        <v>15</v>
      </c>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2063</v>
      </c>
      <c r="B56" s="84">
        <v>12</v>
      </c>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2064</v>
      </c>
      <c r="B57" s="84">
        <v>9</v>
      </c>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2065</v>
      </c>
      <c r="B58" s="84">
        <v>6</v>
      </c>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2066</v>
      </c>
      <c r="B59" s="84">
        <v>2</v>
      </c>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2067</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2068</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2069</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2070</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053" t="s">
        <v>2071</v>
      </c>
      <c r="B1" s="3054"/>
      <c r="C1" s="3054"/>
      <c r="D1" s="3054"/>
      <c r="E1" s="3054"/>
      <c r="F1" s="3054"/>
      <c r="G1" s="305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2072</v>
      </c>
      <c r="D2" s="2361"/>
      <c r="E2" s="2362"/>
      <c r="F2" s="2282"/>
      <c r="G2" s="2360" t="s">
        <v>2073</v>
      </c>
      <c r="H2" s="2363"/>
      <c r="I2" s="2363"/>
      <c r="J2" s="2363"/>
      <c r="K2" s="2363"/>
      <c r="L2" s="2363"/>
      <c r="M2" s="2363"/>
      <c r="N2" s="2363"/>
      <c r="O2" s="2363"/>
      <c r="P2" s="2363"/>
      <c r="Q2" s="2363"/>
      <c r="R2" s="2363"/>
    </row>
    <row r="3" spans="1:29" ht="43.2">
      <c r="A3" s="415" t="s">
        <v>2074</v>
      </c>
      <c r="B3" s="1268" t="s">
        <v>2075</v>
      </c>
      <c r="C3" s="2365"/>
      <c r="D3" s="2366"/>
      <c r="E3" s="431" t="s">
        <v>2074</v>
      </c>
      <c r="F3" s="2367" t="s">
        <v>2076</v>
      </c>
      <c r="G3" s="2368" t="s">
        <v>2077</v>
      </c>
      <c r="H3" s="2363"/>
      <c r="I3" s="2363"/>
      <c r="J3" s="2363"/>
      <c r="K3" s="2363"/>
      <c r="L3" s="2363"/>
      <c r="M3" s="2363"/>
      <c r="N3" s="2363"/>
      <c r="O3" s="2363"/>
      <c r="P3" s="2363"/>
      <c r="Q3" s="2363"/>
      <c r="R3" s="2363"/>
    </row>
    <row r="4" spans="1:29" ht="43.2">
      <c r="A4" s="431"/>
      <c r="B4" s="1794" t="s">
        <v>2078</v>
      </c>
      <c r="C4" s="2369"/>
      <c r="D4" s="2366"/>
      <c r="E4" s="2370"/>
      <c r="F4" s="42" t="s">
        <v>2079</v>
      </c>
      <c r="G4" s="2371" t="s">
        <v>2080</v>
      </c>
      <c r="H4" s="2363"/>
      <c r="I4" s="2363"/>
      <c r="J4" s="2363"/>
      <c r="K4" s="2363"/>
      <c r="L4" s="2363"/>
      <c r="M4" s="2363"/>
      <c r="N4" s="2363"/>
      <c r="O4" s="2363"/>
      <c r="P4" s="2363"/>
      <c r="Q4" s="2363"/>
      <c r="R4" s="2363"/>
    </row>
    <row r="5" spans="1:29" ht="28.8">
      <c r="A5" s="431"/>
      <c r="B5" s="1794" t="s">
        <v>2081</v>
      </c>
      <c r="C5" s="2369"/>
      <c r="D5" s="2366"/>
      <c r="E5" s="2370"/>
      <c r="F5" s="1794" t="s">
        <v>2082</v>
      </c>
      <c r="G5" s="2371" t="s">
        <v>2083</v>
      </c>
      <c r="H5" s="2363"/>
      <c r="I5" s="2363"/>
      <c r="J5" s="2363"/>
      <c r="K5" s="2363"/>
      <c r="L5" s="2363"/>
      <c r="M5" s="2363"/>
      <c r="N5" s="2363"/>
      <c r="O5" s="2363"/>
      <c r="P5" s="2363"/>
      <c r="Q5" s="2363"/>
      <c r="R5" s="2363"/>
    </row>
    <row r="6" spans="1:29" ht="28.8">
      <c r="A6" s="431"/>
      <c r="B6" s="1794" t="s">
        <v>2084</v>
      </c>
      <c r="C6" s="2371"/>
      <c r="D6" s="2366"/>
      <c r="E6" s="2370"/>
      <c r="F6" s="1794" t="s">
        <v>2085</v>
      </c>
      <c r="G6" s="2371" t="s">
        <v>2086</v>
      </c>
      <c r="H6" s="2363"/>
      <c r="I6" s="2363"/>
      <c r="J6" s="2363"/>
      <c r="K6" s="2363"/>
      <c r="L6" s="2363"/>
      <c r="M6" s="2363"/>
      <c r="N6" s="2363"/>
      <c r="O6" s="2363"/>
      <c r="P6" s="2363"/>
      <c r="Q6" s="2363"/>
      <c r="R6" s="2363"/>
    </row>
    <row r="7" spans="1:29" ht="43.8" thickBot="1">
      <c r="A7" s="431"/>
      <c r="B7" s="1794" t="s">
        <v>2082</v>
      </c>
      <c r="C7" s="2371"/>
      <c r="D7" s="2372"/>
      <c r="E7" s="2373"/>
      <c r="F7" s="2374" t="s">
        <v>2087</v>
      </c>
      <c r="G7" s="2375" t="s">
        <v>2088</v>
      </c>
      <c r="H7" s="2363"/>
      <c r="I7" s="2363"/>
      <c r="J7" s="2363"/>
      <c r="K7" s="2363"/>
      <c r="L7" s="2363"/>
      <c r="M7" s="2363"/>
      <c r="N7" s="2363"/>
      <c r="O7" s="2363"/>
      <c r="P7" s="2363"/>
      <c r="Q7" s="2363"/>
      <c r="R7" s="2363"/>
    </row>
    <row r="8" spans="1:29" ht="14.4">
      <c r="A8" s="431"/>
      <c r="B8" s="1794" t="s">
        <v>2085</v>
      </c>
      <c r="C8" s="2371"/>
      <c r="D8" s="2372"/>
      <c r="E8" s="2372"/>
      <c r="F8" s="1133"/>
      <c r="G8" s="1133"/>
      <c r="H8" s="2363"/>
      <c r="I8" s="2363"/>
      <c r="J8" s="2363"/>
      <c r="K8" s="2363"/>
      <c r="L8" s="2363"/>
      <c r="M8" s="2363"/>
      <c r="N8" s="2363"/>
      <c r="O8" s="2363"/>
      <c r="P8" s="2363"/>
      <c r="Q8" s="2363"/>
      <c r="R8" s="2363"/>
    </row>
    <row r="9" spans="1:29" ht="14.4">
      <c r="A9" s="431"/>
      <c r="B9" s="1794" t="s">
        <v>2089</v>
      </c>
      <c r="C9" s="2369"/>
      <c r="D9" s="2366"/>
      <c r="E9" s="2372"/>
      <c r="F9" s="1133"/>
      <c r="G9" s="1133"/>
      <c r="H9" s="2363"/>
      <c r="I9" s="2363"/>
      <c r="J9" s="2363"/>
      <c r="K9" s="2363"/>
      <c r="L9" s="2363"/>
      <c r="M9" s="2363"/>
      <c r="N9" s="2363"/>
      <c r="O9" s="2363"/>
      <c r="P9" s="2363"/>
      <c r="Q9" s="2363"/>
      <c r="R9" s="2363"/>
    </row>
    <row r="10" spans="1:29" s="117" customFormat="1" ht="15" thickBot="1">
      <c r="A10" s="2376"/>
      <c r="B10" s="2377" t="s">
        <v>2090</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2091</v>
      </c>
      <c r="B13" s="2383"/>
      <c r="C13" s="2383"/>
      <c r="D13" s="2390"/>
      <c r="E13" s="2383"/>
      <c r="F13" s="2383"/>
      <c r="G13" s="2383"/>
    </row>
    <row r="14" spans="1:29" ht="15" thickBot="1">
      <c r="A14" s="2394"/>
      <c r="B14" s="2395"/>
      <c r="C14" s="2396" t="s">
        <v>2092</v>
      </c>
      <c r="D14" s="2366"/>
      <c r="E14" s="2397"/>
      <c r="F14" s="2397"/>
      <c r="G14" s="2360" t="s">
        <v>2093</v>
      </c>
    </row>
    <row r="15" spans="1:29" ht="41.4">
      <c r="A15" s="68" t="s">
        <v>2094</v>
      </c>
      <c r="B15" s="1267" t="s">
        <v>2075</v>
      </c>
      <c r="C15" s="2398">
        <f>C3</f>
        <v>0</v>
      </c>
      <c r="D15" s="2366"/>
      <c r="E15" s="2399" t="s">
        <v>2095</v>
      </c>
      <c r="F15" s="1267" t="s">
        <v>2096</v>
      </c>
      <c r="G15" s="135" t="str">
        <f>G3</f>
        <v>估价对象位于XX开发区，园区建设成熟度XX，产业集聚程度XX</v>
      </c>
    </row>
    <row r="16" spans="1:29" ht="41.4">
      <c r="A16" s="645"/>
      <c r="B16" s="2400" t="s">
        <v>2078</v>
      </c>
      <c r="C16" s="2401">
        <f>C4</f>
        <v>0</v>
      </c>
      <c r="D16" s="2366"/>
      <c r="E16" s="2402"/>
      <c r="F16" s="2403" t="s">
        <v>2079</v>
      </c>
      <c r="G16" s="136" t="str">
        <f>G4</f>
        <v>估价对象周边道路状况、公共交通通达情况、停车便捷程度，综合评价交通便捷度较好</v>
      </c>
    </row>
    <row r="17" spans="1:18" ht="14.4">
      <c r="A17" s="645"/>
      <c r="B17" s="2400" t="s">
        <v>2081</v>
      </c>
      <c r="C17" s="2401">
        <f>C5</f>
        <v>0</v>
      </c>
      <c r="D17" s="2372"/>
      <c r="E17" s="2402"/>
      <c r="F17" s="2403" t="s">
        <v>2097</v>
      </c>
      <c r="G17" s="1568"/>
    </row>
    <row r="18" spans="1:18" ht="41.4">
      <c r="A18" s="645"/>
      <c r="B18" s="2403" t="s">
        <v>2084</v>
      </c>
      <c r="C18" s="136">
        <f>C6</f>
        <v>0</v>
      </c>
      <c r="D18" s="2372"/>
      <c r="E18" s="2402"/>
      <c r="F18" s="2403" t="s">
        <v>2087</v>
      </c>
      <c r="G18" s="136" t="str">
        <f>G7</f>
        <v>该园区内是否有污染型企业，绿化情况，卫生条件，整体环境状况判断</v>
      </c>
    </row>
    <row r="19" spans="1:18" ht="27.6">
      <c r="A19" s="645"/>
      <c r="B19" s="2403" t="s">
        <v>2098</v>
      </c>
      <c r="C19" s="1568"/>
      <c r="D19" s="2366"/>
      <c r="E19" s="2402"/>
      <c r="F19" s="1794" t="s">
        <v>2082</v>
      </c>
      <c r="G19" s="136" t="str">
        <f>G5</f>
        <v>估价对象所在区域公共配套设施齐备情况</v>
      </c>
    </row>
    <row r="20" spans="1:18" ht="27.6">
      <c r="A20" s="645"/>
      <c r="B20" s="2403" t="s">
        <v>2099</v>
      </c>
      <c r="C20" s="2401">
        <f>C9</f>
        <v>0</v>
      </c>
      <c r="D20" s="2372"/>
      <c r="E20" s="2402"/>
      <c r="F20" s="1794" t="s">
        <v>2100</v>
      </c>
      <c r="G20" s="136" t="str">
        <f>G6</f>
        <v>估价对象所在区域基础设施水平</v>
      </c>
    </row>
    <row r="21" spans="1:18" ht="14.4">
      <c r="A21" s="645"/>
      <c r="B21" s="1794" t="s">
        <v>2082</v>
      </c>
      <c r="C21" s="136">
        <f>C7</f>
        <v>0</v>
      </c>
      <c r="D21" s="2366"/>
      <c r="E21" s="2402"/>
      <c r="F21" s="2403" t="s">
        <v>2101</v>
      </c>
      <c r="G21" s="2404"/>
    </row>
    <row r="22" spans="1:18" ht="13.5" customHeight="1">
      <c r="A22" s="645"/>
      <c r="B22" s="1794" t="s">
        <v>2085</v>
      </c>
      <c r="C22" s="136">
        <f>C8</f>
        <v>0</v>
      </c>
      <c r="D22" s="2366"/>
      <c r="E22" s="2402"/>
      <c r="F22" s="2403" t="s">
        <v>2090</v>
      </c>
      <c r="G22" s="1568"/>
    </row>
    <row r="23" spans="1:18" s="2363" customFormat="1" ht="15" thickBot="1">
      <c r="A23" s="645"/>
      <c r="B23" s="2403" t="s">
        <v>2101</v>
      </c>
      <c r="C23" s="2404"/>
      <c r="D23" s="2391"/>
      <c r="E23" s="2405"/>
      <c r="F23" s="2406" t="s">
        <v>2102</v>
      </c>
      <c r="G23" s="2407"/>
      <c r="H23" s="2391"/>
      <c r="I23" s="2392"/>
      <c r="J23" s="2391"/>
      <c r="K23" s="2391"/>
      <c r="L23" s="2392"/>
      <c r="M23" s="2391"/>
      <c r="N23" s="2391"/>
      <c r="O23" s="2392"/>
      <c r="P23" s="2391"/>
      <c r="Q23" s="2391"/>
      <c r="R23" s="2393"/>
    </row>
    <row r="24" spans="1:18" s="2363" customFormat="1" ht="15" thickBot="1">
      <c r="A24" s="2408"/>
      <c r="B24" s="2406" t="s">
        <v>2103</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J19" sqref="J19"/>
    </sheetView>
  </sheetViews>
  <sheetFormatPr defaultColWidth="9" defaultRowHeight="14.4"/>
  <cols>
    <col min="1" max="1" width="23.33203125" style="1737" customWidth="1"/>
    <col min="2" max="9" width="15.77734375" style="1737" customWidth="1"/>
    <col min="10" max="16384" width="9" style="1737"/>
  </cols>
  <sheetData>
    <row r="1" spans="1:10" ht="16.2">
      <c r="A1" s="1742" t="s">
        <v>1355</v>
      </c>
      <c r="B1" s="1742">
        <f>SUM(B14:B23)</f>
        <v>57477.440000000002</v>
      </c>
      <c r="C1" s="1741"/>
      <c r="D1" s="1741"/>
      <c r="E1" s="1741"/>
      <c r="F1" s="1741"/>
      <c r="G1" s="1739"/>
    </row>
    <row r="2" spans="1:10" ht="16.2">
      <c r="A2" s="1742" t="s">
        <v>1343</v>
      </c>
      <c r="B2" s="1742">
        <f>SUM(C14:C23)</f>
        <v>99999.9</v>
      </c>
      <c r="C2" s="1741"/>
      <c r="D2" s="1741"/>
      <c r="E2" s="1741"/>
      <c r="F2" s="1741"/>
      <c r="G2" s="1739"/>
    </row>
    <row r="3" spans="1:10" ht="15.6">
      <c r="A3" s="1742" t="s">
        <v>1352</v>
      </c>
      <c r="B3" s="1743">
        <f>项目基本情况!D3</f>
        <v>43768</v>
      </c>
      <c r="C3" s="1741"/>
      <c r="D3" s="1741"/>
      <c r="E3" s="1741"/>
      <c r="F3" s="1741"/>
      <c r="G3" s="1739"/>
    </row>
    <row r="4" spans="1:10" ht="31.2">
      <c r="A4" s="1742" t="s">
        <v>1351</v>
      </c>
      <c r="B4" s="1742" t="s">
        <v>1350</v>
      </c>
      <c r="C4" s="1742" t="s">
        <v>1349</v>
      </c>
      <c r="D4" s="1742" t="s">
        <v>1348</v>
      </c>
      <c r="E4" s="1741"/>
      <c r="F4" s="1739"/>
      <c r="G4" s="1739"/>
    </row>
    <row r="5" spans="1:10" ht="15.6">
      <c r="A5" s="1742" t="s">
        <v>1347</v>
      </c>
      <c r="B5" s="1742">
        <f ca="1">SUM(D14:D23)</f>
        <v>147162</v>
      </c>
      <c r="C5" s="1742">
        <f ca="1">ROUND(B5*10000/$B$1,0)</f>
        <v>25603</v>
      </c>
      <c r="D5" s="1742">
        <f ca="1">ROUND(B5*10000/$B$2,0)</f>
        <v>14716</v>
      </c>
      <c r="E5" s="1741"/>
      <c r="F5" s="1739"/>
      <c r="G5" s="1739"/>
    </row>
    <row r="6" spans="1:10" ht="15.6">
      <c r="A6" s="1742" t="s">
        <v>1346</v>
      </c>
      <c r="B6" s="1742">
        <f ca="1">SUM(G14:G23)</f>
        <v>147162</v>
      </c>
      <c r="C6" s="1742">
        <f ca="1">ROUND(B6*10000/$B$1,0)</f>
        <v>25603</v>
      </c>
      <c r="D6" s="1742">
        <f ca="1">ROUND(B6*10000/$B$2,0)</f>
        <v>14716</v>
      </c>
      <c r="E6" s="1741"/>
      <c r="F6" s="1739"/>
      <c r="G6" s="1739"/>
    </row>
    <row r="7" spans="1:10" ht="15.6">
      <c r="A7" s="1742" t="s">
        <v>1354</v>
      </c>
      <c r="B7" s="1742">
        <f>SUM(H14:H23)</f>
        <v>0</v>
      </c>
      <c r="C7" s="1742">
        <f>ROUND(B7*10000/$B$1,0)</f>
        <v>0</v>
      </c>
      <c r="D7" s="1742">
        <f>ROUND(B7*10000/$B$2,0)</f>
        <v>0</v>
      </c>
      <c r="E7" s="1741"/>
      <c r="F7" s="1739"/>
      <c r="G7" s="1739"/>
    </row>
    <row r="8" spans="1:10" ht="15.6">
      <c r="A8" s="1742" t="s">
        <v>1275</v>
      </c>
      <c r="B8" s="1742">
        <f>SUM(I14:I23)</f>
        <v>0</v>
      </c>
      <c r="C8" s="1742">
        <f>ROUND(B8*10000/$B$1,0)</f>
        <v>0</v>
      </c>
      <c r="D8" s="1742">
        <f>ROUND(B8*10000/$B$2,0)</f>
        <v>0</v>
      </c>
      <c r="E8" s="1741"/>
      <c r="F8" s="1739"/>
      <c r="G8" s="1739"/>
    </row>
    <row r="9" spans="1:10" ht="15.6">
      <c r="A9" s="1742" t="s">
        <v>1345</v>
      </c>
      <c r="B9" s="1744"/>
      <c r="C9" s="1741"/>
      <c r="D9" s="1741"/>
      <c r="E9" s="1741"/>
      <c r="F9" s="1739"/>
      <c r="G9" s="1739"/>
    </row>
    <row r="10" spans="1:10" ht="15.6">
      <c r="A10" s="1742" t="s">
        <v>1344</v>
      </c>
      <c r="B10" s="1744"/>
      <c r="C10" s="1741"/>
      <c r="D10" s="1741"/>
      <c r="E10" s="1741"/>
      <c r="F10" s="1739"/>
      <c r="G10" s="1739"/>
    </row>
    <row r="11" spans="1:10" ht="15.6">
      <c r="A11" s="1742" t="s">
        <v>1360</v>
      </c>
      <c r="B11" s="1744"/>
      <c r="C11" s="1741"/>
      <c r="D11" s="1741"/>
      <c r="E11" s="1741"/>
      <c r="F11" s="1739"/>
      <c r="G11" s="1739"/>
    </row>
    <row r="12" spans="1:10" ht="15.6">
      <c r="A12" s="1741"/>
      <c r="B12" s="1741"/>
      <c r="C12" s="1741"/>
      <c r="D12" s="1741"/>
      <c r="E12" s="1741"/>
      <c r="F12" s="1739"/>
      <c r="G12" s="1739"/>
    </row>
    <row r="13" spans="1:10" ht="31.8">
      <c r="A13" s="1747" t="s">
        <v>1359</v>
      </c>
      <c r="B13" s="1740" t="s">
        <v>1356</v>
      </c>
      <c r="C13" s="1740" t="s">
        <v>1358</v>
      </c>
      <c r="D13" s="1740" t="s">
        <v>1357</v>
      </c>
      <c r="E13" s="1742" t="s">
        <v>1349</v>
      </c>
      <c r="F13" s="1742" t="s">
        <v>1348</v>
      </c>
      <c r="G13" s="1740" t="s">
        <v>1342</v>
      </c>
      <c r="H13" s="1740" t="s">
        <v>1353</v>
      </c>
      <c r="I13" s="1740" t="s">
        <v>1341</v>
      </c>
      <c r="J13" s="1739"/>
    </row>
    <row r="14" spans="1:10" ht="15.6">
      <c r="A14" s="1738" t="s">
        <v>1340</v>
      </c>
      <c r="B14" s="1740">
        <f>结果表!B118</f>
        <v>57477.440000000002</v>
      </c>
      <c r="C14" s="1740">
        <f>结果表!C118</f>
        <v>99999.9</v>
      </c>
      <c r="D14" s="1740">
        <f ca="1">结果表!H118</f>
        <v>147162</v>
      </c>
      <c r="E14" s="1740">
        <f ca="1">ROUND(D14*10000/B14,0)</f>
        <v>25603</v>
      </c>
      <c r="F14" s="1740">
        <f ca="1">ROUND(D14*10000/C14,0)</f>
        <v>14716</v>
      </c>
      <c r="G14" s="1740">
        <f ca="1">结果表!D122</f>
        <v>147162</v>
      </c>
      <c r="H14" s="1740" t="str">
        <f>结果表!D124</f>
        <v>——</v>
      </c>
      <c r="I14" s="1740" t="str">
        <f>结果表!D126</f>
        <v>——</v>
      </c>
      <c r="J14" s="1739"/>
    </row>
    <row r="15" spans="1:10" ht="15.6">
      <c r="A15" s="1738" t="s">
        <v>1339</v>
      </c>
      <c r="B15" s="1745"/>
      <c r="C15" s="1745"/>
      <c r="D15" s="1745"/>
      <c r="E15" s="1740" t="e">
        <f t="shared" ref="E15:E23" si="0">ROUND(D15*10000/B15,0)</f>
        <v>#DIV/0!</v>
      </c>
      <c r="F15" s="1740" t="e">
        <f t="shared" ref="F15:F23" si="1">ROUND(D15*10000/C15,0)</f>
        <v>#DIV/0!</v>
      </c>
      <c r="G15" s="1746"/>
      <c r="H15" s="1746"/>
      <c r="I15" s="1745"/>
      <c r="J15" s="1739"/>
    </row>
    <row r="16" spans="1:10" ht="15.6">
      <c r="A16" s="1738" t="s">
        <v>1338</v>
      </c>
      <c r="B16" s="1745"/>
      <c r="C16" s="1745"/>
      <c r="D16" s="1745"/>
      <c r="E16" s="1740" t="e">
        <f t="shared" si="0"/>
        <v>#DIV/0!</v>
      </c>
      <c r="F16" s="1740" t="e">
        <f t="shared" si="1"/>
        <v>#DIV/0!</v>
      </c>
      <c r="G16" s="1746"/>
      <c r="H16" s="1746"/>
      <c r="I16" s="1745"/>
    </row>
    <row r="17" spans="1:9" ht="15.6">
      <c r="A17" s="1738" t="s">
        <v>1337</v>
      </c>
      <c r="B17" s="1745"/>
      <c r="C17" s="1745"/>
      <c r="D17" s="1745"/>
      <c r="E17" s="1740" t="e">
        <f t="shared" si="0"/>
        <v>#DIV/0!</v>
      </c>
      <c r="F17" s="1740" t="e">
        <f t="shared" si="1"/>
        <v>#DIV/0!</v>
      </c>
      <c r="G17" s="1746"/>
      <c r="H17" s="1746"/>
      <c r="I17" s="1745"/>
    </row>
    <row r="18" spans="1:9" ht="15.6">
      <c r="A18" s="1738" t="s">
        <v>1336</v>
      </c>
      <c r="B18" s="1745"/>
      <c r="C18" s="1745"/>
      <c r="D18" s="1745"/>
      <c r="E18" s="1740" t="e">
        <f t="shared" si="0"/>
        <v>#DIV/0!</v>
      </c>
      <c r="F18" s="1740" t="e">
        <f t="shared" si="1"/>
        <v>#DIV/0!</v>
      </c>
      <c r="G18" s="1745"/>
      <c r="H18" s="1745"/>
      <c r="I18" s="1745"/>
    </row>
    <row r="19" spans="1:9" ht="15.6">
      <c r="A19" s="1738" t="s">
        <v>1335</v>
      </c>
      <c r="B19" s="1745"/>
      <c r="C19" s="1745"/>
      <c r="D19" s="1745"/>
      <c r="E19" s="1740" t="e">
        <f t="shared" si="0"/>
        <v>#DIV/0!</v>
      </c>
      <c r="F19" s="1740" t="e">
        <f t="shared" si="1"/>
        <v>#DIV/0!</v>
      </c>
      <c r="G19" s="1745"/>
      <c r="H19" s="1745"/>
      <c r="I19" s="1745"/>
    </row>
    <row r="20" spans="1:9" ht="15.6">
      <c r="A20" s="1738" t="s">
        <v>1334</v>
      </c>
      <c r="B20" s="1745"/>
      <c r="C20" s="1745"/>
      <c r="D20" s="1745"/>
      <c r="E20" s="1740" t="e">
        <f t="shared" si="0"/>
        <v>#DIV/0!</v>
      </c>
      <c r="F20" s="1740" t="e">
        <f t="shared" si="1"/>
        <v>#DIV/0!</v>
      </c>
      <c r="G20" s="1745"/>
      <c r="H20" s="1745"/>
      <c r="I20" s="1745"/>
    </row>
    <row r="21" spans="1:9" ht="15.6">
      <c r="A21" s="1738" t="s">
        <v>1333</v>
      </c>
      <c r="B21" s="1745"/>
      <c r="C21" s="1745"/>
      <c r="D21" s="1745"/>
      <c r="E21" s="1740" t="e">
        <f t="shared" si="0"/>
        <v>#DIV/0!</v>
      </c>
      <c r="F21" s="1740" t="e">
        <f t="shared" si="1"/>
        <v>#DIV/0!</v>
      </c>
      <c r="G21" s="1745"/>
      <c r="H21" s="1745"/>
      <c r="I21" s="1745"/>
    </row>
    <row r="22" spans="1:9" ht="15.6">
      <c r="A22" s="1738" t="s">
        <v>1332</v>
      </c>
      <c r="B22" s="1745"/>
      <c r="C22" s="1745"/>
      <c r="D22" s="1745"/>
      <c r="E22" s="1740" t="e">
        <f t="shared" si="0"/>
        <v>#DIV/0!</v>
      </c>
      <c r="F22" s="1740" t="e">
        <f t="shared" si="1"/>
        <v>#DIV/0!</v>
      </c>
      <c r="G22" s="1745"/>
      <c r="H22" s="1745"/>
      <c r="I22" s="1745"/>
    </row>
    <row r="23" spans="1:9" ht="15.6">
      <c r="A23" s="1738" t="s">
        <v>1331</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3" zoomScaleNormal="100" zoomScaleSheetLayoutView="100" zoomScalePageLayoutView="80" workbookViewId="0">
      <selection activeCell="D119" sqref="D119:I119"/>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1" t="s">
        <v>2104</v>
      </c>
      <c r="B1" s="2414"/>
      <c r="C1" s="2415"/>
      <c r="D1" s="2414"/>
      <c r="E1" s="2414"/>
      <c r="F1" s="2416" t="s">
        <v>2105</v>
      </c>
      <c r="G1" s="2066" t="s">
        <v>3056</v>
      </c>
      <c r="H1" s="2417" t="str">
        <f>IF(G1="现房","——","估价对象范围")</f>
        <v>——</v>
      </c>
      <c r="I1" s="2418"/>
    </row>
    <row r="2" spans="1:12" ht="21.75" customHeight="1" thickBot="1">
      <c r="A2" s="3127" t="str">
        <f>项目基本情况!S2</f>
        <v>北京市海南省三亚市亚龙湾滨海路红树林度假酒店房地产</v>
      </c>
      <c r="B2" s="3128"/>
      <c r="C2" s="3128"/>
      <c r="D2" s="3128"/>
      <c r="E2" s="3128"/>
      <c r="F2" s="3128"/>
      <c r="G2" s="3128"/>
      <c r="H2" s="3128"/>
      <c r="I2" s="3129"/>
    </row>
    <row r="3" spans="1:12" ht="13.2">
      <c r="A3" s="3130" t="s">
        <v>2106</v>
      </c>
      <c r="B3" s="3131"/>
      <c r="C3" s="3131"/>
      <c r="D3" s="3131"/>
      <c r="E3" s="3131"/>
      <c r="F3" s="3131"/>
      <c r="G3" s="3131"/>
      <c r="H3" s="3131"/>
      <c r="I3" s="3131"/>
    </row>
    <row r="4" spans="1:12" ht="14.4">
      <c r="A4" s="2421" t="s">
        <v>2107</v>
      </c>
      <c r="B4" s="2422" t="s">
        <v>2108</v>
      </c>
      <c r="C4" s="2423" t="s">
        <v>3526</v>
      </c>
      <c r="D4" s="2423" t="s">
        <v>3521</v>
      </c>
      <c r="E4" s="3111" t="s">
        <v>2109</v>
      </c>
      <c r="F4" s="3124"/>
      <c r="G4" s="3124"/>
      <c r="H4" s="3124"/>
      <c r="I4" s="311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3.2">
      <c r="A5" s="3102" t="s">
        <v>2110</v>
      </c>
      <c r="B5" s="3028">
        <v>25</v>
      </c>
      <c r="C5" s="3132"/>
      <c r="D5" s="3120"/>
      <c r="E5" s="140" t="s">
        <v>2111</v>
      </c>
      <c r="F5" s="2425"/>
      <c r="G5" s="2425"/>
      <c r="H5" s="2425"/>
      <c r="I5" s="1830"/>
    </row>
    <row r="6" spans="1:12" ht="13.2">
      <c r="A6" s="3102"/>
      <c r="B6" s="3028"/>
      <c r="C6" s="3134"/>
      <c r="D6" s="3120"/>
      <c r="E6" s="140" t="s">
        <v>2112</v>
      </c>
      <c r="F6" s="2425"/>
      <c r="G6" s="2425"/>
      <c r="H6" s="2425"/>
      <c r="I6" s="1830"/>
    </row>
    <row r="7" spans="1:12" ht="13.2">
      <c r="A7" s="3102"/>
      <c r="B7" s="3028"/>
      <c r="C7" s="3133"/>
      <c r="D7" s="3120"/>
      <c r="E7" s="140" t="s">
        <v>2113</v>
      </c>
      <c r="F7" s="2425"/>
      <c r="G7" s="2425"/>
      <c r="H7" s="2425"/>
      <c r="I7" s="1830"/>
    </row>
    <row r="8" spans="1:12" ht="13.2">
      <c r="A8" s="3102" t="s">
        <v>2114</v>
      </c>
      <c r="B8" s="3028">
        <v>15</v>
      </c>
      <c r="C8" s="3132"/>
      <c r="D8" s="3120"/>
      <c r="E8" s="140" t="s">
        <v>2115</v>
      </c>
      <c r="F8" s="2425"/>
      <c r="G8" s="2425"/>
      <c r="H8" s="2425"/>
      <c r="I8" s="1830"/>
    </row>
    <row r="9" spans="1:12" ht="13.2">
      <c r="A9" s="3102"/>
      <c r="B9" s="3028"/>
      <c r="C9" s="3133"/>
      <c r="D9" s="3120"/>
      <c r="E9" s="140" t="s">
        <v>2116</v>
      </c>
      <c r="F9" s="2425"/>
      <c r="G9" s="2425"/>
      <c r="H9" s="2425"/>
      <c r="I9" s="1830"/>
    </row>
    <row r="10" spans="1:12" ht="13.2">
      <c r="A10" s="3102" t="s">
        <v>2117</v>
      </c>
      <c r="B10" s="3028">
        <v>15</v>
      </c>
      <c r="C10" s="3132"/>
      <c r="D10" s="3120"/>
      <c r="E10" s="140" t="s">
        <v>2118</v>
      </c>
      <c r="F10" s="2425"/>
      <c r="G10" s="2425"/>
      <c r="H10" s="2425"/>
      <c r="I10" s="1830"/>
    </row>
    <row r="11" spans="1:12" ht="13.2">
      <c r="A11" s="3102"/>
      <c r="B11" s="3028"/>
      <c r="C11" s="3133"/>
      <c r="D11" s="3120"/>
      <c r="E11" s="140" t="s">
        <v>2119</v>
      </c>
      <c r="F11" s="2425"/>
      <c r="G11" s="2425"/>
      <c r="H11" s="2425"/>
      <c r="I11" s="1830"/>
    </row>
    <row r="12" spans="1:12" ht="13.2">
      <c r="A12" s="3102" t="s">
        <v>2120</v>
      </c>
      <c r="B12" s="3028">
        <v>15</v>
      </c>
      <c r="C12" s="3132"/>
      <c r="D12" s="3120"/>
      <c r="E12" s="140" t="s">
        <v>2121</v>
      </c>
      <c r="F12" s="2425"/>
      <c r="G12" s="2425"/>
      <c r="H12" s="2425"/>
      <c r="I12" s="1830"/>
    </row>
    <row r="13" spans="1:12" ht="13.2">
      <c r="A13" s="3102"/>
      <c r="B13" s="3028"/>
      <c r="C13" s="3133"/>
      <c r="D13" s="3120"/>
      <c r="E13" s="140" t="s">
        <v>2122</v>
      </c>
      <c r="F13" s="2425"/>
      <c r="G13" s="2425"/>
      <c r="H13" s="2425"/>
      <c r="I13" s="1830"/>
    </row>
    <row r="14" spans="1:12" ht="13.2">
      <c r="A14" s="3102" t="s">
        <v>2123</v>
      </c>
      <c r="B14" s="3028">
        <v>30</v>
      </c>
      <c r="C14" s="3132">
        <v>5</v>
      </c>
      <c r="D14" s="3120">
        <v>5</v>
      </c>
      <c r="E14" s="140" t="s">
        <v>2124</v>
      </c>
      <c r="F14" s="2425"/>
      <c r="G14" s="2425"/>
      <c r="H14" s="2425"/>
      <c r="I14" s="1830"/>
    </row>
    <row r="15" spans="1:12" ht="13.2">
      <c r="A15" s="3102"/>
      <c r="B15" s="3028"/>
      <c r="C15" s="3134"/>
      <c r="D15" s="3120"/>
      <c r="E15" s="140" t="s">
        <v>2125</v>
      </c>
      <c r="F15" s="2425"/>
      <c r="G15" s="2425"/>
      <c r="H15" s="2425"/>
      <c r="I15" s="1830"/>
    </row>
    <row r="16" spans="1:12" ht="13.2">
      <c r="A16" s="3102"/>
      <c r="B16" s="3028"/>
      <c r="C16" s="3133"/>
      <c r="D16" s="3120"/>
      <c r="E16" s="140" t="s">
        <v>2126</v>
      </c>
      <c r="F16" s="2425"/>
      <c r="G16" s="2425"/>
      <c r="H16" s="2425"/>
      <c r="I16" s="1830"/>
    </row>
    <row r="17" spans="1:35" ht="14.4">
      <c r="A17" s="2426" t="s">
        <v>2127</v>
      </c>
      <c r="B17" s="64"/>
      <c r="C17" s="141">
        <f>SUM(C5:C16)</f>
        <v>5</v>
      </c>
      <c r="D17" s="141">
        <f>SUM(D5:D16)</f>
        <v>5</v>
      </c>
      <c r="E17" s="138"/>
      <c r="F17" s="138"/>
      <c r="G17" s="138"/>
      <c r="H17" s="138"/>
      <c r="I17" s="138"/>
      <c r="K17" s="2424"/>
      <c r="L17" s="2427" t="s">
        <v>2128</v>
      </c>
      <c r="M17" s="2427" t="s">
        <v>2129</v>
      </c>
    </row>
    <row r="18" spans="1:35" ht="15" thickBot="1">
      <c r="A18" s="2428" t="s">
        <v>2130</v>
      </c>
      <c r="B18" s="2429"/>
      <c r="C18" s="142">
        <f>ROUND(C17/SUM(C17:D17),2)</f>
        <v>0.5</v>
      </c>
      <c r="D18" s="142">
        <f>1-C18</f>
        <v>0.5</v>
      </c>
      <c r="E18" s="138"/>
      <c r="F18" s="138"/>
      <c r="G18" s="138"/>
      <c r="H18" s="138"/>
      <c r="I18" s="138"/>
      <c r="K18" s="2424" t="s">
        <v>2131</v>
      </c>
      <c r="L18" s="2424">
        <f>IF(C1="",'数据-汇总表'!E3,SUMIF(项目类型,C1,'数据-汇总表'!E17:E26)+SUMIF(项目类型,C1,'数据-汇总表'!I17:I26))</f>
        <v>57477.440000000002</v>
      </c>
      <c r="M18" s="2424">
        <f>IF(C1="",'数据-汇总表'!E3,SUMIF(项目类型,C1,'数据-汇总表'!E17:E26))</f>
        <v>57477.440000000002</v>
      </c>
    </row>
    <row r="19" spans="1:35" ht="14.4">
      <c r="A19" s="2430" t="s">
        <v>2132</v>
      </c>
      <c r="B19" s="2431" t="s">
        <v>2133</v>
      </c>
      <c r="C19" s="143">
        <f ca="1">SUMIF(INDIRECT("'"&amp;C4&amp;"'"&amp;"!A:A"),结果表!B19,INDIRECT("'"&amp;C4&amp;"'"&amp;"!B:B"))</f>
        <v>155109</v>
      </c>
      <c r="D19" s="144">
        <f ca="1">SUMIF(INDIRECT("'"&amp;D4&amp;"'"&amp;"!A:A"),结果表!B19,INDIRECT("'"&amp;D4&amp;"'"&amp;"!B:B"))</f>
        <v>139215</v>
      </c>
      <c r="E19" s="2430" t="s">
        <v>2134</v>
      </c>
      <c r="F19" s="2431" t="s">
        <v>2133</v>
      </c>
      <c r="G19" s="145">
        <f ca="1">ROUND(C19*$C$18+D19*$D$18,0)</f>
        <v>147162</v>
      </c>
      <c r="H19" s="2432" t="s">
        <v>2135</v>
      </c>
      <c r="I19" s="138"/>
      <c r="K19" s="2424" t="s">
        <v>2136</v>
      </c>
      <c r="L19" s="2424">
        <f>IF(C1="",'数据-汇总表'!D3,SUMIF(项目类型,C1,'数据-汇总表'!D17:D26)+SUMIF(项目类型,C1,'数据-汇总表'!H17:H27))</f>
        <v>99999.9</v>
      </c>
      <c r="M19" s="2424">
        <f>IF(C1="",'数据-汇总表'!D3,SUMIF(项目类型,C1,'数据-汇总表'!D17:D26))</f>
        <v>99999.9</v>
      </c>
    </row>
    <row r="20" spans="1:35" ht="14.4">
      <c r="A20" s="2433"/>
      <c r="B20" s="1247" t="s">
        <v>2137</v>
      </c>
      <c r="C20" s="146">
        <f ca="1">SUMIF(INDIRECT("'"&amp;C4&amp;"'"&amp;"!A:A"),结果表!B20,INDIRECT("'"&amp;C4&amp;"'"&amp;"!B:B"))</f>
        <v>26986</v>
      </c>
      <c r="D20" s="147">
        <f ca="1">SUMIF(INDIRECT("'"&amp;D4&amp;"'"&amp;"!A:A"),结果表!B20,INDIRECT("'"&amp;D4&amp;"'"&amp;"!B:B"))</f>
        <v>24221</v>
      </c>
      <c r="E20" s="2433"/>
      <c r="F20" s="1247" t="s">
        <v>2137</v>
      </c>
      <c r="G20" s="148">
        <f ca="1">ROUND(C20*$C$18+D20*$D$18,0)</f>
        <v>25604</v>
      </c>
      <c r="H20" s="980" t="s">
        <v>2138</v>
      </c>
      <c r="I20" s="138"/>
    </row>
    <row r="21" spans="1:35" ht="15" customHeight="1" thickBot="1">
      <c r="A21" s="1000"/>
      <c r="B21" s="2434" t="s">
        <v>2139</v>
      </c>
      <c r="C21" s="789">
        <f ca="1">ROUND(C19*10000/L19,0)</f>
        <v>15511</v>
      </c>
      <c r="D21" s="790">
        <f ca="1">ROUND(D19*10000/L19,0)</f>
        <v>13922</v>
      </c>
      <c r="E21" s="1000"/>
      <c r="F21" s="2434" t="s">
        <v>2139</v>
      </c>
      <c r="G21" s="149">
        <f ca="1">ROUND(G19*10000/L19,0)</f>
        <v>14716</v>
      </c>
      <c r="H21" s="2435" t="s">
        <v>2138</v>
      </c>
      <c r="I21" s="138"/>
    </row>
    <row r="22" spans="1:35" ht="15" thickBot="1">
      <c r="A22" s="2277" t="s">
        <v>2140</v>
      </c>
      <c r="B22" s="2436"/>
      <c r="C22" s="2437"/>
      <c r="D22" s="791">
        <f ca="1">IF(C19&lt;D19,D19/C19-1,C19/D19-1)</f>
        <v>0.11416873181769205</v>
      </c>
      <c r="E22" s="138"/>
      <c r="F22" s="138"/>
      <c r="G22" s="138"/>
      <c r="H22" s="138"/>
      <c r="I22" s="138"/>
      <c r="V22" s="795" t="e">
        <f>ROUND(基准地价修正!S4/基准地价修正!S2,2)</f>
        <v>#DIV/0!</v>
      </c>
    </row>
    <row r="23" spans="1:35" ht="13.8" thickBot="1">
      <c r="A23" s="2414"/>
      <c r="B23" s="2414"/>
      <c r="C23" s="2414"/>
      <c r="D23" s="2414"/>
      <c r="E23" s="138"/>
      <c r="F23" s="138"/>
      <c r="G23" s="138"/>
      <c r="H23" s="138"/>
      <c r="I23" s="138"/>
    </row>
    <row r="24" spans="1:35" ht="14.4">
      <c r="A24" s="3141" t="s">
        <v>2141</v>
      </c>
      <c r="B24" s="2431" t="s">
        <v>2133</v>
      </c>
      <c r="C24" s="145">
        <f>IF(B30=0,0,D30)</f>
        <v>0</v>
      </c>
      <c r="D24" s="2438"/>
      <c r="E24" s="138"/>
      <c r="F24" s="138"/>
      <c r="G24" s="138"/>
      <c r="H24" s="138"/>
      <c r="I24" s="138"/>
    </row>
    <row r="25" spans="1:35" ht="14.4">
      <c r="A25" s="3142"/>
      <c r="B25" s="1247" t="s">
        <v>2137</v>
      </c>
      <c r="C25" s="150">
        <f>IF(B30=0,0,C30)</f>
        <v>0</v>
      </c>
      <c r="D25" s="2439"/>
      <c r="E25" s="138"/>
      <c r="F25" s="138"/>
      <c r="G25" s="138"/>
      <c r="H25" s="138"/>
      <c r="I25" s="138"/>
    </row>
    <row r="26" spans="1:35" ht="13.5" customHeight="1">
      <c r="A26" s="2440" t="s">
        <v>2142</v>
      </c>
      <c r="B26" s="151" t="s">
        <v>2143</v>
      </c>
      <c r="C26" s="151" t="s">
        <v>2144</v>
      </c>
      <c r="D26" s="152" t="s">
        <v>2145</v>
      </c>
      <c r="E26" s="138"/>
      <c r="F26" s="138"/>
      <c r="G26" s="138"/>
      <c r="H26" s="138"/>
      <c r="I26" s="138"/>
    </row>
    <row r="27" spans="1:35" ht="13.8">
      <c r="A27" s="2440"/>
      <c r="B27" s="151">
        <v>0</v>
      </c>
      <c r="C27" s="151">
        <v>0</v>
      </c>
      <c r="D27" s="152"/>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2146</v>
      </c>
      <c r="B30" s="151"/>
      <c r="C30" s="151"/>
      <c r="D30" s="151"/>
      <c r="E30" s="2913" t="s">
        <v>3020</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2147</v>
      </c>
      <c r="B32" s="2444"/>
      <c r="C32" s="153">
        <f ca="1">IF(D32="总价",G19-C24,G20-C25)</f>
        <v>147162</v>
      </c>
      <c r="D32" s="2445" t="s">
        <v>2148</v>
      </c>
      <c r="E32" s="138"/>
      <c r="F32" s="138"/>
      <c r="G32" s="138"/>
      <c r="H32" s="138"/>
      <c r="I32" s="138"/>
    </row>
    <row r="33" spans="1:15" ht="14.4">
      <c r="A33" s="957" t="s">
        <v>2149</v>
      </c>
      <c r="B33" s="2446"/>
      <c r="C33" s="2447" t="s">
        <v>3579</v>
      </c>
      <c r="D33" s="2448" t="s">
        <v>3526</v>
      </c>
      <c r="E33" s="2449" t="s">
        <v>2150</v>
      </c>
      <c r="F33" s="2450" t="str">
        <f>IF(D32="楼面单价","取值（单价）","取值（总价）")</f>
        <v>取值（总价）</v>
      </c>
      <c r="G33" s="138"/>
      <c r="H33" s="138"/>
      <c r="I33" s="138"/>
    </row>
    <row r="34" spans="1:15" ht="14.4">
      <c r="A34" s="2451"/>
      <c r="B34" s="2452" t="s">
        <v>2151</v>
      </c>
      <c r="C34" s="157">
        <f ca="1">IF(C33="自定义",F34,C32-C35)</f>
        <v>87120</v>
      </c>
      <c r="D34" s="1055">
        <f ca="1">IF(C33="自定义",ROUND(C34/C32,3),IF(C33="收益比率",SUMIF(INDIRECT("'"&amp;D33&amp;"'"&amp;"!b:b"),"土地收益比率",INDIRECT("'"&amp;D33&amp;"'"&amp;"!c:c")),SUMIF(INDIRECT("'"&amp;D33&amp;"'"&amp;"!b:b"),"土地成本比率",INDIRECT("'"&amp;D33&amp;"'"&amp;"!c:c"))))</f>
        <v>0.59200000000000008</v>
      </c>
      <c r="E34" s="2453" t="s">
        <v>2152</v>
      </c>
      <c r="F34" s="1735"/>
      <c r="G34" s="138"/>
      <c r="H34" s="138"/>
      <c r="I34" s="138"/>
    </row>
    <row r="35" spans="1:15" ht="15" thickBot="1">
      <c r="A35" s="2454"/>
      <c r="B35" s="2455" t="s">
        <v>2153</v>
      </c>
      <c r="C35" s="1441">
        <f ca="1">IF(C33="自定义",F35,ROUND(C32*D35,0))</f>
        <v>60042</v>
      </c>
      <c r="D35" s="1442">
        <f ca="1">IF(C33="自定义",ROUND(C35/C32,3),IF(C33="收益比率",SUMIF(INDIRECT("'"&amp;D33&amp;"'"&amp;"!b:b"),"建筑物收益比率",INDIRECT("'"&amp;D33&amp;"'"&amp;"!c:c")),SUMIF(INDIRECT("'"&amp;D33&amp;"'"&amp;"!b:b"),"建筑物成本比率",INDIRECT("'"&amp;D33&amp;"'"&amp;"!c:c"))))</f>
        <v>0.40799999999999997</v>
      </c>
      <c r="E35" s="2456" t="s">
        <v>2154</v>
      </c>
      <c r="F35" s="163"/>
      <c r="G35" s="138"/>
      <c r="H35" s="138"/>
      <c r="I35" s="138"/>
    </row>
    <row r="36" spans="1:15" ht="15" thickBot="1">
      <c r="A36" s="3121" t="s">
        <v>2155</v>
      </c>
      <c r="B36" s="2457" t="s">
        <v>2156</v>
      </c>
      <c r="C36" s="154"/>
      <c r="D36" s="2458"/>
      <c r="E36" s="2459"/>
      <c r="F36" s="2460"/>
      <c r="G36" s="138"/>
      <c r="H36" s="138"/>
      <c r="I36" s="138"/>
    </row>
    <row r="37" spans="1:15" ht="15" thickBot="1">
      <c r="A37" s="3122"/>
      <c r="B37" s="2263" t="s">
        <v>2157</v>
      </c>
      <c r="C37" s="156"/>
      <c r="D37" s="1392"/>
      <c r="E37" s="1392"/>
      <c r="F37" s="2460"/>
      <c r="G37" s="138"/>
      <c r="H37" s="138"/>
      <c r="I37" s="138"/>
    </row>
    <row r="38" spans="1:15" ht="15" thickBot="1">
      <c r="A38" s="3123"/>
      <c r="B38" s="2461" t="s">
        <v>2158</v>
      </c>
      <c r="C38" s="727"/>
      <c r="D38" s="2462" t="s">
        <v>2159</v>
      </c>
      <c r="E38" s="1392"/>
      <c r="F38" s="2460"/>
      <c r="G38" s="138"/>
      <c r="H38" s="138"/>
      <c r="I38" s="138"/>
    </row>
    <row r="39" spans="1:15" ht="14.4">
      <c r="A39" s="2433" t="s">
        <v>2160</v>
      </c>
      <c r="B39" s="2463" t="s">
        <v>2161</v>
      </c>
      <c r="C39" s="2464" t="s">
        <v>2162</v>
      </c>
      <c r="D39" s="2464" t="s">
        <v>2163</v>
      </c>
      <c r="E39" s="2465" t="s">
        <v>2164</v>
      </c>
      <c r="F39" s="2460"/>
      <c r="G39" s="138"/>
      <c r="H39" s="138"/>
      <c r="I39" s="138"/>
    </row>
    <row r="40" spans="1:15" ht="13.8">
      <c r="A40" s="2466" t="s">
        <v>2165</v>
      </c>
      <c r="B40" s="158"/>
      <c r="C40" s="159"/>
      <c r="D40" s="159"/>
      <c r="E40" s="160"/>
      <c r="F40" s="2460"/>
      <c r="G40" s="138"/>
      <c r="H40" s="138"/>
      <c r="I40" s="138"/>
    </row>
    <row r="41" spans="1:15" ht="13.8">
      <c r="A41" s="2466" t="s">
        <v>2166</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1"/>
      <c r="B43" s="2161"/>
      <c r="C43" s="2161"/>
      <c r="D43" s="2161"/>
      <c r="E43" s="2161"/>
      <c r="F43" s="2468"/>
      <c r="G43" s="2468"/>
      <c r="H43" s="2468"/>
      <c r="I43" s="2469"/>
    </row>
    <row r="44" spans="1:15" ht="17.399999999999999">
      <c r="A44" s="2470" t="s">
        <v>2167</v>
      </c>
      <c r="B44" s="2471"/>
      <c r="C44" s="2471"/>
      <c r="D44" s="2472"/>
      <c r="E44" s="2472"/>
      <c r="F44" s="2473"/>
      <c r="G44" s="2473"/>
      <c r="H44" s="2473"/>
      <c r="I44" s="2473"/>
      <c r="J44" s="2474" t="s">
        <v>2168</v>
      </c>
      <c r="K44" s="2475"/>
      <c r="L44" s="2475"/>
      <c r="M44" s="2475"/>
      <c r="N44" s="2475"/>
      <c r="O44" s="2475"/>
    </row>
    <row r="45" spans="1:15" ht="14.25" customHeight="1" thickBot="1">
      <c r="A45" s="3138" t="s">
        <v>2169</v>
      </c>
      <c r="B45" s="3139"/>
      <c r="C45" s="3140"/>
      <c r="D45" s="164">
        <f ca="1">ROUND(H101*F45,0)</f>
        <v>147162</v>
      </c>
      <c r="E45" s="165" t="s">
        <v>2170</v>
      </c>
      <c r="F45" s="166">
        <v>1</v>
      </c>
      <c r="G45" s="167" t="s">
        <v>2171</v>
      </c>
      <c r="H45" s="138"/>
      <c r="I45" s="138"/>
      <c r="J45" s="3057" t="s">
        <v>2172</v>
      </c>
      <c r="K45" s="3057"/>
      <c r="L45" s="3057"/>
      <c r="M45" s="3057"/>
      <c r="N45" s="3057"/>
      <c r="O45" s="3057"/>
    </row>
    <row r="46" spans="1:15" ht="14.25" customHeight="1">
      <c r="A46" s="3135" t="s">
        <v>2173</v>
      </c>
      <c r="B46" s="3136"/>
      <c r="C46" s="3136"/>
      <c r="D46" s="3136"/>
      <c r="E46" s="3136"/>
      <c r="F46" s="3136"/>
      <c r="G46" s="3137"/>
      <c r="H46" s="2476"/>
      <c r="I46" s="168"/>
      <c r="J46" s="1808">
        <v>1</v>
      </c>
      <c r="K46" s="3057" t="s">
        <v>2174</v>
      </c>
      <c r="L46" s="3057"/>
      <c r="M46" s="3058"/>
      <c r="N46" s="3058"/>
      <c r="O46" s="3058"/>
    </row>
    <row r="47" spans="1:15" ht="12" customHeight="1">
      <c r="A47" s="169" t="s">
        <v>2175</v>
      </c>
      <c r="B47" s="170"/>
      <c r="C47" s="171"/>
      <c r="D47" s="172" t="s">
        <v>2176</v>
      </c>
      <c r="E47" s="24" t="s">
        <v>2177</v>
      </c>
      <c r="F47" s="173" t="s">
        <v>2178</v>
      </c>
      <c r="G47" s="174" t="s">
        <v>2179</v>
      </c>
      <c r="H47" s="2476"/>
      <c r="I47" s="168"/>
      <c r="J47" s="1808">
        <v>2</v>
      </c>
      <c r="K47" s="3057" t="s">
        <v>2180</v>
      </c>
      <c r="L47" s="3057"/>
      <c r="M47" s="3059">
        <f>'数据-取费表'!B2</f>
        <v>43768</v>
      </c>
      <c r="N47" s="3059"/>
      <c r="O47" s="3059"/>
    </row>
    <row r="48" spans="1:15" ht="26.4">
      <c r="A48" s="3125" t="s">
        <v>2181</v>
      </c>
      <c r="B48" s="3126"/>
      <c r="C48" s="3126"/>
      <c r="D48" s="140">
        <f>IF(H48="情况1",0,IF(H48="情况2",D52,IF(H48="情况3",D53,IF(H48="情况4",D54))))</f>
        <v>0</v>
      </c>
      <c r="E48" s="1797" t="str">
        <f>IF(H48="情况4","(销售额-原购置价)×税（费）率","销售额×税（费）率")</f>
        <v>销售额×税（费）率</v>
      </c>
      <c r="F48" s="175" t="str">
        <f>IF(H48="情况1","免征",'数据-取费表'!B41)</f>
        <v>免征</v>
      </c>
      <c r="G48" s="2477" t="s">
        <v>2182</v>
      </c>
      <c r="H48" s="2478" t="s">
        <v>2183</v>
      </c>
      <c r="I48" s="2476"/>
      <c r="J48" s="1808">
        <v>3</v>
      </c>
      <c r="K48" s="3057" t="s">
        <v>2184</v>
      </c>
      <c r="L48" s="3057"/>
      <c r="M48" s="3060">
        <f ca="1">H101</f>
        <v>147162</v>
      </c>
      <c r="N48" s="3060"/>
      <c r="O48" s="3060"/>
    </row>
    <row r="49" spans="1:35" ht="25.5" customHeight="1">
      <c r="A49" s="176" t="s">
        <v>2185</v>
      </c>
      <c r="B49" s="3105" t="s">
        <v>2186</v>
      </c>
      <c r="C49" s="3105"/>
      <c r="D49" s="177">
        <v>0</v>
      </c>
      <c r="E49" s="23" t="s">
        <v>2187</v>
      </c>
      <c r="F49" s="28" t="s">
        <v>34</v>
      </c>
      <c r="G49" s="3086"/>
      <c r="H49" s="138"/>
      <c r="I49" s="2479"/>
      <c r="J49" s="1808">
        <v>4</v>
      </c>
      <c r="K49" s="3057" t="str">
        <f>IF(项目基本情况!E8="房地产抵押价值","房地产抵押价值","抵押担保权已注销时的房地产抵押价值")</f>
        <v>抵押担保权已注销时的房地产抵押价值</v>
      </c>
      <c r="L49" s="3057"/>
      <c r="M49" s="3060" t="str">
        <f>IF(项目基本情况!E8="房地产抵押价值",H107,H109)</f>
        <v>——</v>
      </c>
      <c r="N49" s="3060"/>
      <c r="O49" s="3060"/>
    </row>
    <row r="50" spans="1:35" ht="25.5" customHeight="1">
      <c r="A50" s="178"/>
      <c r="B50" s="3105" t="s">
        <v>2188</v>
      </c>
      <c r="C50" s="3105"/>
      <c r="D50" s="179"/>
      <c r="E50" s="31"/>
      <c r="F50" s="180"/>
      <c r="G50" s="3087"/>
      <c r="H50" s="138"/>
      <c r="I50" s="2479"/>
      <c r="J50" s="3057" t="s">
        <v>2189</v>
      </c>
      <c r="K50" s="3057"/>
      <c r="L50" s="3057"/>
      <c r="M50" s="3057"/>
      <c r="N50" s="3057"/>
      <c r="O50" s="3057"/>
    </row>
    <row r="51" spans="1:35" ht="12" customHeight="1">
      <c r="A51" s="181"/>
      <c r="B51" s="3105" t="s">
        <v>2190</v>
      </c>
      <c r="C51" s="3105"/>
      <c r="D51" s="182"/>
      <c r="E51" s="30"/>
      <c r="F51" s="180"/>
      <c r="G51" s="3088"/>
      <c r="H51" s="138"/>
      <c r="I51" s="2479"/>
      <c r="J51" s="2480" t="s">
        <v>2191</v>
      </c>
      <c r="K51" s="3057" t="s">
        <v>2192</v>
      </c>
      <c r="L51" s="3057"/>
      <c r="M51" s="2480" t="s">
        <v>2193</v>
      </c>
      <c r="N51" s="2480" t="s">
        <v>2194</v>
      </c>
      <c r="O51" s="2480" t="s">
        <v>2195</v>
      </c>
    </row>
    <row r="52" spans="1:35" ht="24" customHeight="1">
      <c r="A52" s="183" t="s">
        <v>2196</v>
      </c>
      <c r="B52" s="3105" t="s">
        <v>2197</v>
      </c>
      <c r="C52" s="3105"/>
      <c r="D52" s="182">
        <f ca="1">ROUND(D45*'数据-取费表'!B41/(1+'数据-取费表'!C42),0)</f>
        <v>7849</v>
      </c>
      <c r="E52" s="11" t="s">
        <v>2198</v>
      </c>
      <c r="F52" s="184">
        <f>'数据-取费表'!B41</f>
        <v>5.6000000000000001E-2</v>
      </c>
      <c r="G52" s="2481"/>
      <c r="H52" s="138"/>
      <c r="I52" s="2479"/>
      <c r="J52" s="1808">
        <v>1</v>
      </c>
      <c r="K52" s="3080" t="s">
        <v>2199</v>
      </c>
      <c r="L52" s="3080"/>
      <c r="M52" s="1750">
        <f>D48</f>
        <v>0</v>
      </c>
      <c r="N52" s="1808" t="str">
        <f>E48</f>
        <v>销售额×税（费）率</v>
      </c>
      <c r="O52" s="1751" t="str">
        <f>F48</f>
        <v>免征</v>
      </c>
    </row>
    <row r="53" spans="1:35" ht="12" customHeight="1">
      <c r="A53" s="183" t="s">
        <v>2200</v>
      </c>
      <c r="B53" s="3106" t="s">
        <v>2201</v>
      </c>
      <c r="C53" s="3107"/>
      <c r="D53" s="182">
        <f ca="1">ROUND(D45*'数据-取费表'!B41/(1+'数据-取费表'!C42),0)</f>
        <v>7849</v>
      </c>
      <c r="E53" s="11" t="s">
        <v>2198</v>
      </c>
      <c r="F53" s="184">
        <f>'数据-取费表'!B41</f>
        <v>5.6000000000000001E-2</v>
      </c>
      <c r="G53" s="2481"/>
      <c r="H53" s="138"/>
      <c r="I53" s="2479"/>
      <c r="J53" s="1808">
        <v>2</v>
      </c>
      <c r="K53" s="3080" t="s">
        <v>2202</v>
      </c>
      <c r="L53" s="3080"/>
      <c r="M53" s="1750">
        <f t="shared" ref="M53:O54" ca="1" si="0">D55</f>
        <v>74</v>
      </c>
      <c r="N53" s="1808" t="str">
        <f t="shared" si="0"/>
        <v>销售额×税（费）率</v>
      </c>
      <c r="O53" s="1751">
        <f t="shared" si="0"/>
        <v>5.0000000000000001E-4</v>
      </c>
    </row>
    <row r="54" spans="1:35" ht="12" customHeight="1">
      <c r="A54" s="183" t="s">
        <v>2203</v>
      </c>
      <c r="B54" s="3106" t="s">
        <v>2204</v>
      </c>
      <c r="C54" s="3107"/>
      <c r="D54" s="182">
        <f ca="1">C68</f>
        <v>7849</v>
      </c>
      <c r="E54" s="30" t="s">
        <v>2205</v>
      </c>
      <c r="F54" s="184">
        <f>'数据-取费表'!B41</f>
        <v>5.6000000000000001E-2</v>
      </c>
      <c r="G54" s="2481"/>
      <c r="H54" s="2482"/>
      <c r="I54" s="2479"/>
      <c r="J54" s="1808">
        <v>3</v>
      </c>
      <c r="K54" s="3080" t="s">
        <v>2206</v>
      </c>
      <c r="L54" s="3080"/>
      <c r="M54" s="1750">
        <f t="shared" ca="1" si="0"/>
        <v>83293</v>
      </c>
      <c r="N54" s="1808" t="str">
        <f t="shared" si="0"/>
        <v>增值额×税（费）率</v>
      </c>
      <c r="O54" s="1752" t="str">
        <f t="shared" si="0"/>
        <v>——</v>
      </c>
    </row>
    <row r="55" spans="1:35" ht="24" customHeight="1">
      <c r="A55" s="3144" t="s">
        <v>2207</v>
      </c>
      <c r="B55" s="3126"/>
      <c r="C55" s="3126"/>
      <c r="D55" s="185">
        <f ca="1">IF(H55="个人住宅",0,ROUND(D45*I55,0))</f>
        <v>74</v>
      </c>
      <c r="E55" s="11" t="s">
        <v>2208</v>
      </c>
      <c r="F55" s="184">
        <f>IF(H55="正常",I55,"免征")</f>
        <v>5.0000000000000001E-4</v>
      </c>
      <c r="G55" s="2481"/>
      <c r="H55" s="2478" t="s">
        <v>2209</v>
      </c>
      <c r="I55" s="186">
        <f>'数据-取费表'!B49</f>
        <v>5.0000000000000001E-4</v>
      </c>
      <c r="J55" s="1808" t="str">
        <f>IF(H59="非个人房产","",4)</f>
        <v/>
      </c>
      <c r="K55" s="3080" t="str">
        <f>IF(H59="非个人房产","——","个人所得税")</f>
        <v>——</v>
      </c>
      <c r="L55" s="3080"/>
      <c r="M55" s="1753" t="str">
        <f>D59</f>
        <v>——</v>
      </c>
      <c r="N55" s="1806" t="str">
        <f>E59</f>
        <v>——</v>
      </c>
      <c r="O55" s="1754" t="str">
        <f>F59</f>
        <v>——</v>
      </c>
    </row>
    <row r="56" spans="1:35" ht="25.2">
      <c r="A56" s="3144" t="s">
        <v>2210</v>
      </c>
      <c r="B56" s="3126"/>
      <c r="C56" s="3126"/>
      <c r="D56" s="185">
        <f ca="1">IF(H56="个人住宅",D57,D58)</f>
        <v>83293</v>
      </c>
      <c r="E56" s="11" t="s">
        <v>2211</v>
      </c>
      <c r="F56" s="184" t="str">
        <f>IF(H56="正常",F58,"免征")</f>
        <v>——</v>
      </c>
      <c r="G56" s="2483" t="s">
        <v>2212</v>
      </c>
      <c r="H56" s="2484" t="s">
        <v>2209</v>
      </c>
      <c r="I56" s="2485"/>
      <c r="J56" s="1808" t="str">
        <f>IF(项目基本情况!K6="上海银行",IF(J55="",4,J55+1),"")</f>
        <v/>
      </c>
      <c r="K56" s="3063" t="str">
        <f>IF(项目基本情况!K6="上海银行","其他处置费用","")</f>
        <v/>
      </c>
      <c r="L56" s="3064"/>
      <c r="M56" s="1750" t="str">
        <f>IF(项目基本情况!K6="上海银行",M69,"")</f>
        <v/>
      </c>
      <c r="N56" s="3066" t="str">
        <f>IF(项目基本情况!K6="上海银行","包含处置中涉及的律师、诉讼、拍卖、评估等费用","")</f>
        <v/>
      </c>
      <c r="O56" s="3067"/>
    </row>
    <row r="57" spans="1:35" ht="13.2">
      <c r="A57" s="183" t="s">
        <v>2185</v>
      </c>
      <c r="B57" s="3111" t="s">
        <v>2213</v>
      </c>
      <c r="C57" s="3112"/>
      <c r="D57" s="187">
        <v>0</v>
      </c>
      <c r="E57" s="23" t="s">
        <v>2187</v>
      </c>
      <c r="F57" s="155"/>
      <c r="G57" s="2481"/>
      <c r="H57" s="2485"/>
      <c r="I57" s="2485"/>
      <c r="J57" s="3080">
        <f>IF(AND(J55="",J56=""),4,IF(项目基本情况!K6="上海银行",结果表!J56+1,结果表!J55+1))</f>
        <v>4</v>
      </c>
      <c r="K57" s="3080" t="s">
        <v>2214</v>
      </c>
      <c r="L57" s="2486" t="s">
        <v>2215</v>
      </c>
      <c r="M57" s="1755"/>
      <c r="N57" s="1756">
        <f ca="1">SUMIF(M52:M56,"&lt;9e307")</f>
        <v>83367</v>
      </c>
      <c r="O57" s="2487"/>
      <c r="P57" s="1749" t="e">
        <f ca="1">N57/M49</f>
        <v>#VALUE!</v>
      </c>
    </row>
    <row r="58" spans="1:35" ht="25.2">
      <c r="A58" s="183" t="s">
        <v>2196</v>
      </c>
      <c r="B58" s="3111" t="s">
        <v>2216</v>
      </c>
      <c r="C58" s="3124"/>
      <c r="D58" s="185">
        <f ca="1">IF(H58="转让取得",C81,C97)</f>
        <v>83293</v>
      </c>
      <c r="E58" s="11" t="s">
        <v>2211</v>
      </c>
      <c r="F58" s="24" t="s">
        <v>34</v>
      </c>
      <c r="G58" s="2481"/>
      <c r="H58" s="2484" t="s">
        <v>2217</v>
      </c>
      <c r="I58" s="2485"/>
      <c r="J58" s="3080"/>
      <c r="K58" s="3080"/>
      <c r="L58" s="2486" t="s">
        <v>2218</v>
      </c>
      <c r="M58" s="1757"/>
      <c r="N58" s="2488" t="str">
        <f ca="1">NUMBERSTRING(INT(N57*10000),2)&amp;"元整"</f>
        <v>捌亿叁仟叁佰陆拾柒万元整</v>
      </c>
      <c r="O58" s="2489"/>
    </row>
    <row r="59" spans="1:35" ht="24.6" thickBot="1">
      <c r="A59" s="3084" t="s">
        <v>2219</v>
      </c>
      <c r="B59" s="3085"/>
      <c r="C59" s="3085"/>
      <c r="D59" s="188" t="str">
        <f>IF(H59="非个人房产","——",IF(H59="个人住宅",0,ROUND(D45*I59,0)))</f>
        <v>——</v>
      </c>
      <c r="E59" s="189" t="str">
        <f>IF(H59="非个人房产","——","销售额×税（费）率")</f>
        <v>——</v>
      </c>
      <c r="F59" s="190" t="str">
        <f>IF(H59="非个人房产","——",IF(H59="个人住宅","免征",I59))</f>
        <v>——</v>
      </c>
      <c r="G59" s="2490" t="s">
        <v>2212</v>
      </c>
      <c r="H59" s="2484" t="s">
        <v>2220</v>
      </c>
      <c r="I59" s="191">
        <v>0.01</v>
      </c>
      <c r="J59" s="3082">
        <f>J57+1</f>
        <v>5</v>
      </c>
      <c r="K59" s="3080" t="s">
        <v>2221</v>
      </c>
      <c r="L59" s="1808" t="s">
        <v>2215</v>
      </c>
      <c r="M59" s="1758"/>
      <c r="N59" s="1759" t="e">
        <f ca="1">M49-N57</f>
        <v>#VALUE!</v>
      </c>
      <c r="O59" s="2491"/>
    </row>
    <row r="60" spans="1:35" ht="12" customHeight="1">
      <c r="A60" s="2492"/>
      <c r="B60" s="2414"/>
      <c r="C60" s="2414"/>
      <c r="D60" s="2414"/>
      <c r="E60" s="2162"/>
      <c r="F60" s="2485"/>
      <c r="G60" s="2485"/>
      <c r="H60" s="2493"/>
      <c r="I60" s="138"/>
      <c r="J60" s="3083"/>
      <c r="K60" s="3080"/>
      <c r="L60" s="2486" t="s">
        <v>2218</v>
      </c>
      <c r="M60" s="1757"/>
      <c r="N60" s="2488" t="e">
        <f ca="1">NUMBERSTRING(INT(N59*10000),2)&amp;"元整"</f>
        <v>#VALUE!</v>
      </c>
      <c r="O60" s="2489"/>
    </row>
    <row r="61" spans="1:35" ht="13.8" thickBot="1">
      <c r="A61" s="3143" t="s">
        <v>2222</v>
      </c>
      <c r="B61" s="3143"/>
      <c r="C61" s="3143"/>
      <c r="D61" s="3143"/>
      <c r="E61" s="3143"/>
      <c r="F61" s="2485"/>
      <c r="G61" s="2485"/>
      <c r="H61" s="2493"/>
      <c r="I61" s="138"/>
      <c r="J61" s="1808">
        <f>J59+1</f>
        <v>6</v>
      </c>
      <c r="K61" s="3080" t="s">
        <v>2223</v>
      </c>
      <c r="L61" s="3080"/>
      <c r="M61" s="1760"/>
      <c r="N61" s="1761" t="e">
        <f ca="1">ROUND(N59*10000/'数据-汇总表'!E3,0)</f>
        <v>#VALUE!</v>
      </c>
      <c r="O61" s="2494"/>
    </row>
    <row r="62" spans="1:35" ht="13.2">
      <c r="A62" s="3100" t="s">
        <v>2224</v>
      </c>
      <c r="B62" s="3101"/>
      <c r="C62" s="1800"/>
      <c r="D62" s="1800" t="s">
        <v>2225</v>
      </c>
      <c r="E62" s="192" t="s">
        <v>2226</v>
      </c>
      <c r="F62" s="2485"/>
      <c r="G62" s="2485"/>
      <c r="H62" s="2493"/>
      <c r="I62" s="138"/>
    </row>
    <row r="63" spans="1:35" ht="13.2">
      <c r="A63" s="203" t="s">
        <v>775</v>
      </c>
      <c r="B63" s="193" t="s">
        <v>2227</v>
      </c>
      <c r="C63" s="194">
        <f ca="1">ROUND((C64+C65)/(1+'数据-取费表'!C42),0)</f>
        <v>140154</v>
      </c>
      <c r="D63" s="195"/>
      <c r="E63" s="196"/>
      <c r="F63" s="2485"/>
      <c r="G63" s="2485"/>
      <c r="H63" s="2493"/>
      <c r="I63" s="138"/>
      <c r="J63" s="3065" t="s">
        <v>2228</v>
      </c>
      <c r="K63" s="2495" t="s">
        <v>2229</v>
      </c>
      <c r="L63" s="1748" t="e">
        <f>IF(M49&gt;10000,M49*0.5%,IF(AND(M49&gt;1000,M49&lt;=10000),M49*1%,IF(AND(M49&gt;100,M49&lt;=1000),M49*3%,IF(AND(M49&gt;10,M49&lt;=100),M49*5%,M49*8%))))</f>
        <v>#VALUE!</v>
      </c>
      <c r="M63" s="24" t="e">
        <f>ROUND(L63,1)</f>
        <v>#VALUE!</v>
      </c>
      <c r="Z63" s="2419"/>
      <c r="AI63" s="2420"/>
    </row>
    <row r="64" spans="1:35" ht="14.25" customHeight="1">
      <c r="A64" s="197" t="s">
        <v>770</v>
      </c>
      <c r="B64" s="198" t="s">
        <v>2230</v>
      </c>
      <c r="C64" s="199">
        <f ca="1">D45</f>
        <v>147162</v>
      </c>
      <c r="D64" s="200" t="s">
        <v>32</v>
      </c>
      <c r="E64" s="201"/>
      <c r="F64" s="2485"/>
      <c r="G64" s="2485"/>
      <c r="H64" s="2493"/>
      <c r="I64" s="138"/>
      <c r="J64" s="3065"/>
      <c r="K64" s="2495" t="s">
        <v>2231</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2232</v>
      </c>
      <c r="Z64" s="2419"/>
      <c r="AI64" s="2420"/>
    </row>
    <row r="65" spans="1:35" ht="14.25" customHeight="1">
      <c r="A65" s="197" t="s">
        <v>771</v>
      </c>
      <c r="B65" s="198" t="s">
        <v>2233</v>
      </c>
      <c r="C65" s="202"/>
      <c r="D65" s="200"/>
      <c r="E65" s="201"/>
      <c r="F65" s="2485"/>
      <c r="G65" s="2485"/>
      <c r="H65" s="2493"/>
      <c r="I65" s="138"/>
      <c r="J65" s="3065"/>
      <c r="K65" s="2495" t="s">
        <v>2234</v>
      </c>
      <c r="L65" s="1748" t="e">
        <f>IF(M49&gt;1000,M49*0.1%,IF(AND(M49&gt;500,M49&lt;=1000),M49*0.5%,IF(AND(M49&gt;50,M49&lt;=500),M49*1%,IF(AND(M49&gt;1,M49&lt;=50),M49*1.5%))))</f>
        <v>#VALUE!</v>
      </c>
      <c r="M65" s="24" t="e">
        <f t="shared" si="1"/>
        <v>#VALUE!</v>
      </c>
      <c r="N65" s="138" t="s">
        <v>2232</v>
      </c>
      <c r="Z65" s="2419"/>
      <c r="AI65" s="2420"/>
    </row>
    <row r="66" spans="1:35" ht="14.25" customHeight="1">
      <c r="A66" s="203" t="s">
        <v>772</v>
      </c>
      <c r="B66" s="204" t="s">
        <v>2235</v>
      </c>
      <c r="C66" s="205"/>
      <c r="D66" s="206" t="s">
        <v>32</v>
      </c>
      <c r="E66" s="1772" t="s">
        <v>1361</v>
      </c>
      <c r="F66" s="2485"/>
      <c r="G66" s="2485"/>
      <c r="H66" s="2493"/>
      <c r="I66" s="138"/>
      <c r="J66" s="3065"/>
      <c r="K66" s="2495" t="s">
        <v>2236</v>
      </c>
      <c r="L66" s="1748" t="e">
        <f>M49*0.5%</f>
        <v>#VALUE!</v>
      </c>
      <c r="M66" s="24" t="e">
        <f>IF(L66&gt;0.5,0.5,ROUND(L66,0))</f>
        <v>#VALUE!</v>
      </c>
      <c r="N66" s="138" t="s">
        <v>2237</v>
      </c>
      <c r="Z66" s="2419"/>
      <c r="AI66" s="2420"/>
    </row>
    <row r="67" spans="1:35" ht="14.25" customHeight="1">
      <c r="A67" s="203" t="s">
        <v>773</v>
      </c>
      <c r="B67" s="204" t="s">
        <v>2238</v>
      </c>
      <c r="C67" s="207">
        <f ca="1">C63-C66</f>
        <v>140154</v>
      </c>
      <c r="D67" s="200" t="s">
        <v>32</v>
      </c>
      <c r="E67" s="201"/>
      <c r="F67" s="2485"/>
      <c r="G67" s="2485"/>
      <c r="H67" s="2493"/>
      <c r="I67" s="138"/>
      <c r="J67" s="3065"/>
      <c r="K67" s="2495" t="s">
        <v>2239</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2240</v>
      </c>
      <c r="C68" s="210">
        <f ca="1">IF(C67&lt;=0,0,ROUND(C67*D68,0))</f>
        <v>7849</v>
      </c>
      <c r="D68" s="211">
        <f>'数据-取费表'!B41</f>
        <v>5.6000000000000001E-2</v>
      </c>
      <c r="E68" s="212"/>
      <c r="F68" s="2485"/>
      <c r="G68" s="2485"/>
      <c r="H68" s="2493"/>
      <c r="I68" s="138"/>
      <c r="J68" s="3065"/>
      <c r="K68" s="2495" t="s">
        <v>2241</v>
      </c>
      <c r="L68" s="1748"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065"/>
      <c r="K69" s="2495" t="s">
        <v>2242</v>
      </c>
      <c r="L69" s="2501"/>
      <c r="M69" s="24" t="e">
        <f>ROUND(SUM(M63:M68),0)</f>
        <v>#VALUE!</v>
      </c>
      <c r="N69" s="1749"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09" t="s">
        <v>2243</v>
      </c>
      <c r="B70" s="3110"/>
      <c r="C70" s="3110"/>
      <c r="D70" s="3110"/>
      <c r="E70" s="3110"/>
      <c r="F70" s="3110"/>
      <c r="G70" s="3110"/>
      <c r="H70" s="311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00" t="s">
        <v>2224</v>
      </c>
      <c r="B71" s="3101"/>
      <c r="C71" s="1800"/>
      <c r="D71" s="1800" t="s">
        <v>2225</v>
      </c>
      <c r="E71" s="213" t="s">
        <v>2226</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2244</v>
      </c>
      <c r="C72" s="207">
        <f ca="1">ROUND(D45/(1+'数据-取费表'!C42),0)</f>
        <v>140154</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2245</v>
      </c>
      <c r="C73" s="207">
        <f ca="1">C74+C78</f>
        <v>841</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2246</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2247</v>
      </c>
      <c r="C75" s="218"/>
      <c r="D75" s="200" t="s">
        <v>32</v>
      </c>
      <c r="E75" s="219" t="s">
        <v>2248</v>
      </c>
      <c r="F75" s="2507" t="s">
        <v>2249</v>
      </c>
      <c r="G75" s="219" t="s">
        <v>2250</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2251</v>
      </c>
      <c r="C76" s="200">
        <f>IF(F75="购房发票",ROUND(C75*H75*D76,0),0)</f>
        <v>0</v>
      </c>
      <c r="D76" s="222">
        <v>0.05</v>
      </c>
      <c r="E76" s="3106" t="s">
        <v>2252</v>
      </c>
      <c r="F76" s="3105"/>
      <c r="G76" s="3105"/>
      <c r="H76" s="310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509" t="s">
        <v>2255</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2256</v>
      </c>
      <c r="C78" s="225">
        <f ca="1">ROUND(D45*D78/(1+'数据-取费表'!C42),0)</f>
        <v>841</v>
      </c>
      <c r="D78" s="226">
        <f>'数据-取费表'!B43</f>
        <v>6.000000000000001E-3</v>
      </c>
      <c r="E78" s="3097" t="s">
        <v>2257</v>
      </c>
      <c r="F78" s="3098"/>
      <c r="G78" s="3098"/>
      <c r="H78" s="309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2258</v>
      </c>
      <c r="C79" s="207">
        <f ca="1">C72-C73</f>
        <v>139313</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2259</v>
      </c>
      <c r="C80" s="227">
        <f ca="1">IF(C79&lt;=0,0,C79/C73)</f>
        <v>165.65160523186682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2260</v>
      </c>
      <c r="C81" s="228">
        <f ca="1">ROUND(IF(C79&lt;=0,0,IF(C80&gt;=200%,C79*60%-C73*35%,IF(C80&gt;=100%,C79*50%-C73*15%,IF(C80&gt;=50%,C79*40%-C73*5%,IF(C80&lt;50%,C79*30%,0))))),0)</f>
        <v>83293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09" t="s">
        <v>2261</v>
      </c>
      <c r="B83" s="3110"/>
      <c r="C83" s="3110"/>
      <c r="D83" s="3110"/>
      <c r="E83" s="3110"/>
      <c r="F83" s="3110"/>
      <c r="G83" s="3110"/>
      <c r="H83" s="311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00" t="s">
        <v>2224</v>
      </c>
      <c r="B84" s="3101"/>
      <c r="C84" s="1800"/>
      <c r="D84" s="1800" t="s">
        <v>2225</v>
      </c>
      <c r="E84" s="213" t="s">
        <v>2226</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2244</v>
      </c>
      <c r="C85" s="207">
        <f ca="1">ROUND(D45/(1+'数据-取费表'!C42),0)</f>
        <v>140154</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2245</v>
      </c>
      <c r="C86" s="207">
        <f ca="1">IF(H88="仅含出让金",C87+C90+C91+C92+C93+C94,C87+C91+C92+C93+C94)</f>
        <v>841</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2262</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2263</v>
      </c>
      <c r="C88" s="236"/>
      <c r="D88" s="226"/>
      <c r="E88" s="237" t="s">
        <v>2264</v>
      </c>
      <c r="F88" s="1796"/>
      <c r="G88" s="238" t="s">
        <v>2265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2253</v>
      </c>
      <c r="C89" s="225">
        <f>ROUND(C88*D89,0)</f>
        <v>0</v>
      </c>
      <c r="D89" s="226">
        <f>'数据-取费表'!B48+'数据-取费表'!B49</f>
        <v>3.0499999999999999E-2</v>
      </c>
      <c r="E89" s="237" t="s">
        <v>2266</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2267</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2268</v>
      </c>
      <c r="B91" s="198" t="s">
        <v>2269</v>
      </c>
      <c r="C91" s="225">
        <f>IF(H91="——",成本法!C33,I91)</f>
        <v>0</v>
      </c>
      <c r="D91" s="226"/>
      <c r="E91" s="3097" t="s">
        <v>2270</v>
      </c>
      <c r="F91" s="3098"/>
      <c r="G91" s="3098"/>
      <c r="H91" s="2514" t="s">
        <v>2271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2272</v>
      </c>
      <c r="B92" s="198" t="s">
        <v>2273</v>
      </c>
      <c r="C92" s="225">
        <f>ROUND((C87+C90+C91)*D92,0)</f>
        <v>0</v>
      </c>
      <c r="D92" s="226">
        <v>0.1</v>
      </c>
      <c r="E92" s="3097" t="s">
        <v>2274</v>
      </c>
      <c r="F92" s="3098"/>
      <c r="G92" s="3098"/>
      <c r="H92" s="309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2275</v>
      </c>
      <c r="B93" s="198" t="s">
        <v>2256</v>
      </c>
      <c r="C93" s="225">
        <f ca="1">ROUND(D45*D93/(1+'数据-取费表'!C42),0)</f>
        <v>841</v>
      </c>
      <c r="D93" s="226">
        <f>'数据-取费表'!B43</f>
        <v>6.000000000000001E-3</v>
      </c>
      <c r="E93" s="3097" t="s">
        <v>2257</v>
      </c>
      <c r="F93" s="3098"/>
      <c r="G93" s="3098"/>
      <c r="H93" s="309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2276</v>
      </c>
      <c r="B94" s="198" t="s">
        <v>2277</v>
      </c>
      <c r="C94" s="236">
        <f>ROUND((C87+C90+C91)*D94,0)</f>
        <v>0</v>
      </c>
      <c r="D94" s="226">
        <v>0.2</v>
      </c>
      <c r="E94" s="3145" t="s">
        <v>2278</v>
      </c>
      <c r="F94" s="3146"/>
      <c r="G94" s="3146"/>
      <c r="H94" s="314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2258</v>
      </c>
      <c r="C95" s="207">
        <f ca="1">ROUND(C85-C86,0)</f>
        <v>139313</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2259</v>
      </c>
      <c r="C96" s="227">
        <f ca="1">IF(C95&lt;=0,0,C95/C86)</f>
        <v>165.65160523186682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2260</v>
      </c>
      <c r="C97" s="228">
        <f ca="1">ROUND(IF(C95&lt;=0,0,IF(C96&gt;=200%,C95*60%-C86*35%,IF(C96&gt;=100%,C95*50%-C86*15%,IF(C96&gt;=50%,C95*40%-C86*5%,IF(C96&lt;50%,C95*30%,0))))),0)</f>
        <v>83293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2279</v>
      </c>
      <c r="B99" s="2414"/>
      <c r="C99" s="2414"/>
      <c r="D99" s="2414"/>
      <c r="E99" s="2162"/>
      <c r="F99" s="2162"/>
      <c r="G99" s="2162"/>
      <c r="H99" s="2161"/>
      <c r="I99" s="138"/>
    </row>
    <row r="100" spans="1:35" ht="18.75" customHeight="1">
      <c r="A100" s="3049" t="s">
        <v>2280</v>
      </c>
      <c r="B100" s="3050"/>
      <c r="C100" s="3050"/>
      <c r="D100" s="3081"/>
      <c r="E100" s="3050" t="s">
        <v>2281</v>
      </c>
      <c r="F100" s="3050"/>
      <c r="G100" s="3050"/>
      <c r="H100" s="3081"/>
      <c r="I100" s="138"/>
    </row>
    <row r="101" spans="1:35" ht="18.75" customHeight="1">
      <c r="A101" s="3089" t="s">
        <v>2282</v>
      </c>
      <c r="B101" s="3090"/>
      <c r="C101" s="736" t="str">
        <f>C4</f>
        <v>成本法</v>
      </c>
      <c r="D101" s="737" t="str">
        <f>D4</f>
        <v>收益法</v>
      </c>
      <c r="E101" s="3061" t="s">
        <v>2283</v>
      </c>
      <c r="F101" s="3062"/>
      <c r="G101" s="2516" t="s">
        <v>2284</v>
      </c>
      <c r="H101" s="1045">
        <f ca="1">H118</f>
        <v>147162</v>
      </c>
      <c r="I101" s="138"/>
    </row>
    <row r="102" spans="1:35" ht="18.75" customHeight="1">
      <c r="A102" s="3091" t="s">
        <v>2285</v>
      </c>
      <c r="B102" s="2516" t="s">
        <v>2284</v>
      </c>
      <c r="C102" s="736">
        <f ca="1">C19</f>
        <v>155109</v>
      </c>
      <c r="D102" s="737">
        <f ca="1">D19</f>
        <v>139215</v>
      </c>
      <c r="E102" s="3061"/>
      <c r="F102" s="3062"/>
      <c r="G102" s="2516" t="s">
        <v>2286</v>
      </c>
      <c r="H102" s="371">
        <f ca="1">I118</f>
        <v>25603</v>
      </c>
      <c r="I102" s="138"/>
    </row>
    <row r="103" spans="1:35" ht="42.75" customHeight="1">
      <c r="A103" s="3091"/>
      <c r="B103" s="2516" t="s">
        <v>2286</v>
      </c>
      <c r="C103" s="738">
        <f ca="1">C20</f>
        <v>26986</v>
      </c>
      <c r="D103" s="739">
        <f ca="1">D20</f>
        <v>24221</v>
      </c>
      <c r="E103" s="3055" t="s">
        <v>2287</v>
      </c>
      <c r="F103" s="3056"/>
      <c r="G103" s="2517" t="s">
        <v>2288</v>
      </c>
      <c r="H103" s="1045">
        <f>IF(D36="正常操作",H104+H105+H106,H105+H106)</f>
        <v>0</v>
      </c>
      <c r="I103" s="138"/>
    </row>
    <row r="104" spans="1:35" ht="18.75" customHeight="1">
      <c r="A104" s="3091" t="s">
        <v>2289</v>
      </c>
      <c r="B104" s="2518" t="s">
        <v>2284</v>
      </c>
      <c r="C104" s="740">
        <f ca="1">H118</f>
        <v>147162</v>
      </c>
      <c r="D104" s="741"/>
      <c r="E104" s="2263" t="s">
        <v>2290</v>
      </c>
      <c r="F104" s="2254"/>
      <c r="G104" s="2517" t="s">
        <v>2288</v>
      </c>
      <c r="H104" s="1046">
        <f>IF(D36="同一抵押权人同一抵押物续贷",C36&amp;"（未扣减，详见特别提示）",C36)</f>
        <v>0</v>
      </c>
      <c r="I104" s="138"/>
    </row>
    <row r="105" spans="1:35" ht="18.75" customHeight="1" thickBot="1">
      <c r="A105" s="3103"/>
      <c r="B105" s="2519" t="s">
        <v>2286</v>
      </c>
      <c r="C105" s="742">
        <f ca="1">I118</f>
        <v>25603</v>
      </c>
      <c r="D105" s="743"/>
      <c r="E105" s="2263" t="s">
        <v>2291</v>
      </c>
      <c r="F105" s="2254"/>
      <c r="G105" s="2517" t="s">
        <v>2288</v>
      </c>
      <c r="H105" s="1046">
        <f>C37</f>
        <v>0</v>
      </c>
      <c r="I105" s="138"/>
    </row>
    <row r="106" spans="1:35" ht="18.75" customHeight="1">
      <c r="A106" s="2414" t="s">
        <v>2292</v>
      </c>
      <c r="B106" s="2414"/>
      <c r="C106" s="2414"/>
      <c r="D106" s="2414"/>
      <c r="E106" s="2520" t="s">
        <v>2293</v>
      </c>
      <c r="F106" s="2254"/>
      <c r="G106" s="2517" t="s">
        <v>2288</v>
      </c>
      <c r="H106" s="1046">
        <f>C38</f>
        <v>0</v>
      </c>
      <c r="I106" s="138"/>
    </row>
    <row r="107" spans="1:35" ht="18.75" customHeight="1">
      <c r="A107" s="138"/>
      <c r="B107" s="138"/>
      <c r="C107" s="138"/>
      <c r="D107" s="138"/>
      <c r="E107" s="3092" t="str">
        <f>IF(项目基本情况!E8="已注销","——","3.房地产抵押价值")</f>
        <v>3.房地产抵押价值</v>
      </c>
      <c r="F107" s="3062"/>
      <c r="G107" s="2516" t="s">
        <v>2284</v>
      </c>
      <c r="H107" s="1045">
        <f ca="1">IF(E107="——","——",H101-H103)</f>
        <v>147162</v>
      </c>
      <c r="I107" s="138"/>
    </row>
    <row r="108" spans="1:35" ht="18.75" customHeight="1">
      <c r="A108" s="138"/>
      <c r="B108" s="138"/>
      <c r="C108" s="138"/>
      <c r="D108" s="138"/>
      <c r="E108" s="3092"/>
      <c r="F108" s="3062"/>
      <c r="G108" s="2516" t="s">
        <v>2286</v>
      </c>
      <c r="H108" s="371">
        <f ca="1">ROUND(H107*10000/'数据-汇总表'!E3,0)</f>
        <v>25603</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6" t="s">
        <v>2284</v>
      </c>
      <c r="H109" s="348" t="str">
        <f>IF(E109="——","——",H101-H105-H106)</f>
        <v>——</v>
      </c>
      <c r="I109" s="138"/>
    </row>
    <row r="110" spans="1:35" ht="18.75" customHeight="1">
      <c r="A110" s="138"/>
      <c r="B110" s="138"/>
      <c r="C110" s="138"/>
      <c r="D110" s="138"/>
      <c r="E110" s="3092"/>
      <c r="F110" s="3062"/>
      <c r="G110" s="2516" t="s">
        <v>2286</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6" t="s">
        <v>2284</v>
      </c>
      <c r="H111" s="1045" t="str">
        <f>IF(E111="——","——",N59)</f>
        <v>——</v>
      </c>
      <c r="I111" s="138"/>
    </row>
    <row r="112" spans="1:35" ht="18.75" customHeight="1" thickBot="1">
      <c r="A112" s="138"/>
      <c r="B112" s="138"/>
      <c r="C112" s="138"/>
      <c r="D112" s="138"/>
      <c r="E112" s="3095"/>
      <c r="F112" s="3096"/>
      <c r="G112" s="2521" t="s">
        <v>2286</v>
      </c>
      <c r="H112" s="790" t="str">
        <f>IF(E111="——","——",N61)</f>
        <v>——</v>
      </c>
      <c r="I112" s="138"/>
    </row>
    <row r="113" spans="1:11" ht="18.75" customHeight="1">
      <c r="A113" s="138"/>
      <c r="B113" s="138"/>
      <c r="C113" s="138"/>
      <c r="D113" s="138"/>
      <c r="E113" s="3104" t="s">
        <v>2292</v>
      </c>
      <c r="F113" s="3104"/>
      <c r="G113" s="3104"/>
      <c r="H113" s="3104"/>
      <c r="I113" s="138"/>
    </row>
    <row r="114" spans="1:11" ht="3.75" customHeight="1">
      <c r="A114" s="2414"/>
      <c r="B114" s="2414"/>
      <c r="C114" s="2414"/>
      <c r="D114" s="2414"/>
      <c r="E114" s="2492"/>
      <c r="F114" s="2492"/>
      <c r="G114" s="2492"/>
      <c r="H114" s="2492"/>
      <c r="I114" s="2414"/>
    </row>
    <row r="115" spans="1:11" ht="18.75" customHeight="1">
      <c r="A115" s="3117" t="s">
        <v>2294</v>
      </c>
      <c r="B115" s="3118"/>
      <c r="C115" s="3118"/>
      <c r="D115" s="3118"/>
      <c r="E115" s="3118"/>
      <c r="F115" s="3118"/>
      <c r="G115" s="3118"/>
      <c r="H115" s="3118"/>
      <c r="I115" s="3119"/>
    </row>
    <row r="116" spans="1:11" ht="27" customHeight="1">
      <c r="A116" s="3028" t="s">
        <v>2295</v>
      </c>
      <c r="B116" s="3071" t="s">
        <v>2296</v>
      </c>
      <c r="C116" s="3071" t="s">
        <v>2297</v>
      </c>
      <c r="D116" s="3077" t="s">
        <v>2298</v>
      </c>
      <c r="E116" s="3078"/>
      <c r="F116" s="3113" t="s">
        <v>2299</v>
      </c>
      <c r="G116" s="3113"/>
      <c r="H116" s="3028" t="s">
        <v>2300</v>
      </c>
      <c r="I116" s="3028"/>
    </row>
    <row r="117" spans="1:11" ht="18.75" customHeight="1">
      <c r="A117" s="3028"/>
      <c r="B117" s="3072"/>
      <c r="C117" s="3072"/>
      <c r="D117" s="1794" t="s">
        <v>2301</v>
      </c>
      <c r="E117" s="1794" t="s">
        <v>2302</v>
      </c>
      <c r="F117" s="1794" t="s">
        <v>2301</v>
      </c>
      <c r="G117" s="1794" t="s">
        <v>2303</v>
      </c>
      <c r="H117" s="1794" t="s">
        <v>2301</v>
      </c>
      <c r="I117" s="1794" t="s">
        <v>2303</v>
      </c>
    </row>
    <row r="118" spans="1:11" ht="24.75" customHeight="1">
      <c r="A118" s="2522" t="str">
        <f>项目基本情况!S2</f>
        <v>北京市海南省三亚市亚龙湾滨海路红树林度假酒店房地产</v>
      </c>
      <c r="B118" s="1794">
        <f>M18</f>
        <v>57477.440000000002</v>
      </c>
      <c r="C118" s="1794">
        <f>M19</f>
        <v>99999.9</v>
      </c>
      <c r="D118" s="1794">
        <f ca="1">ROUND(IF(D32="总价",C34,E118*B118/10000),0)</f>
        <v>87120</v>
      </c>
      <c r="E118" s="1794">
        <f ca="1">ROUND(IF(C33="自定义",IF(D32="楼面单价",C34,D118*10000/B118),I118-G118),0)</f>
        <v>15157</v>
      </c>
      <c r="F118" s="1794">
        <f ca="1">ROUND(IF(D32="总价",C35,G118*B118/10000),0)</f>
        <v>60042</v>
      </c>
      <c r="G118" s="1794">
        <f ca="1">ROUND(IF(D32="楼面单价",C35,F118*10000/B118),0)</f>
        <v>10446</v>
      </c>
      <c r="H118" s="1794">
        <f ca="1">ROUND(IF(D32="总价",C32,I118*B118/10000),0)</f>
        <v>147162</v>
      </c>
      <c r="I118" s="1794">
        <f ca="1">ROUND(IF(D32="楼面单价",C32,H118*10000/B118),0)</f>
        <v>25603</v>
      </c>
    </row>
    <row r="119" spans="1:11" ht="18.75" customHeight="1">
      <c r="A119" s="3028" t="s">
        <v>2304</v>
      </c>
      <c r="B119" s="3028"/>
      <c r="C119" s="3028"/>
      <c r="D119" s="3073" t="str">
        <f ca="1">NUMBERSTRING(INT(D118*10000),2)&amp;"元整"</f>
        <v>捌亿柒仟壹佰贰拾万元整</v>
      </c>
      <c r="E119" s="3074"/>
      <c r="F119" s="3073" t="str">
        <f ca="1">NUMBERSTRING(INT(F118*10000),2)&amp;"元整"</f>
        <v>陆亿零肆拾贰万元整</v>
      </c>
      <c r="G119" s="3074"/>
      <c r="H119" s="3073" t="str">
        <f ca="1">NUMBERSTRING(INT(H118*10000),2)&amp;"元整"</f>
        <v>壹拾肆亿柒仟壹佰陆拾贰万元整</v>
      </c>
      <c r="I119" s="3074"/>
    </row>
    <row r="120" spans="1:11" ht="18.75" customHeight="1">
      <c r="A120" s="3068" t="str">
        <f>IF(项目基本情况!B9="房地产市场价值","",MID(E103,3,LEN(E103)-2))</f>
        <v/>
      </c>
      <c r="B120" s="3069"/>
      <c r="C120" s="3070"/>
      <c r="D120" s="3068">
        <f>H103</f>
        <v>0</v>
      </c>
      <c r="E120" s="3069"/>
      <c r="F120" s="3069"/>
      <c r="G120" s="3069"/>
      <c r="H120" s="3069"/>
      <c r="I120" s="3070"/>
      <c r="K120" s="2419" t="str">
        <f>IF(D120=0,"故，本次评估不存在"&amp;A120,"故，本次评估"&amp;A120&amp;"为人民币"&amp;D120&amp;"万元整。")</f>
        <v>故，本次评估不存在</v>
      </c>
    </row>
    <row r="121" spans="1:11" ht="18.75" customHeight="1">
      <c r="A121" s="3114" t="s">
        <v>2304</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
      </c>
      <c r="B122" s="3079"/>
      <c r="C122" s="3079"/>
      <c r="D122" s="3068">
        <f ca="1">H107</f>
        <v>147162</v>
      </c>
      <c r="E122" s="3069"/>
      <c r="F122" s="3069"/>
      <c r="G122" s="3069"/>
      <c r="H122" s="3069"/>
      <c r="I122" s="3070"/>
    </row>
    <row r="123" spans="1:11" ht="18.75" customHeight="1">
      <c r="A123" s="3028" t="s">
        <v>2304</v>
      </c>
      <c r="B123" s="3028"/>
      <c r="C123" s="3028"/>
      <c r="D123" s="3073" t="str">
        <f ca="1">NUMBERSTRING(INT(D122*10000),2)&amp;"元整"</f>
        <v>壹拾肆亿柒仟壹佰陆拾贰万元整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2304</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2304</v>
      </c>
      <c r="B127" s="3028"/>
      <c r="C127" s="3028"/>
      <c r="D127" s="3073" t="e">
        <f>NUMBERSTRING(INT(D126*10000),2)&amp;"元整"</f>
        <v>#VALUE!</v>
      </c>
      <c r="E127" s="3075"/>
      <c r="F127" s="3075"/>
      <c r="G127" s="3075"/>
      <c r="H127" s="3075"/>
      <c r="I127" s="3074"/>
    </row>
    <row r="128" spans="1:11" ht="21.75" customHeight="1">
      <c r="A128" s="3076" t="s">
        <v>2305</v>
      </c>
      <c r="B128" s="3076"/>
      <c r="C128" s="3076"/>
      <c r="D128" s="3076"/>
      <c r="E128" s="3076"/>
      <c r="F128" s="3076"/>
      <c r="G128" s="3076"/>
      <c r="H128" s="3076"/>
      <c r="I128" s="3076"/>
    </row>
    <row r="129" spans="1:35" ht="21.75" customHeight="1">
      <c r="A129" s="2523" t="s">
        <v>2306</v>
      </c>
      <c r="B129" s="2524"/>
      <c r="C129" s="2525" t="s">
        <v>2307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2308</v>
      </c>
      <c r="G135" s="2540"/>
      <c r="H135" s="2540"/>
      <c r="I135" s="2541" t="s">
        <v>2309</v>
      </c>
    </row>
    <row r="136" spans="1:35" ht="21.75" customHeight="1">
      <c r="A136" s="795"/>
      <c r="B136" s="2542"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2311</v>
      </c>
    </row>
    <row r="139" spans="1:35" ht="21.75" customHeight="1">
      <c r="A139" s="795"/>
      <c r="B139" s="2542" t="s">
        <v>2312</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2311</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E27" sqref="E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2313</v>
      </c>
      <c r="B1" s="1935"/>
      <c r="C1" s="242"/>
      <c r="D1" s="242"/>
      <c r="E1" s="242"/>
      <c r="F1" s="242"/>
      <c r="G1" s="1379">
        <f>MATCH(B1,'数据-取费表'!A6:A16,0)+5</f>
        <v>7</v>
      </c>
    </row>
    <row r="2" spans="1:9" s="244" customFormat="1" ht="18" customHeight="1">
      <c r="A2" s="245" t="s">
        <v>2314</v>
      </c>
      <c r="B2" s="246">
        <f ca="1">IF(D2="——",C52,C52-E2)</f>
        <v>155109</v>
      </c>
      <c r="C2" s="243" t="s">
        <v>2315</v>
      </c>
      <c r="D2" s="2545" t="s">
        <v>70</v>
      </c>
      <c r="E2" s="1440" t="e">
        <f ca="1">SUMIF(INDIRECT("'"&amp;G2&amp;"'"&amp;"!A:A"),"承租人权益价值",INDIRECT("'"&amp;G2&amp;"'"&amp;"!c:c"))</f>
        <v>#REF!</v>
      </c>
      <c r="F2" s="2546" t="s">
        <v>2315</v>
      </c>
      <c r="G2" s="2547"/>
    </row>
    <row r="3" spans="1:9" s="244" customFormat="1" ht="18" customHeight="1" thickBot="1">
      <c r="A3" s="247" t="s">
        <v>2316</v>
      </c>
      <c r="B3" s="248">
        <f ca="1">ROUND(B2*10000/(IF(B1="",'数据-汇总表'!E3,INDIRECT("'数据-取费表'!k"&amp;$G$1))),0)</f>
        <v>26986</v>
      </c>
      <c r="C3" s="243" t="s">
        <v>2317</v>
      </c>
      <c r="D3" s="243"/>
      <c r="E3" s="243"/>
      <c r="F3" s="243"/>
      <c r="G3" s="243"/>
    </row>
    <row r="4" spans="1:9" s="252" customFormat="1" ht="16.2">
      <c r="A4" s="249" t="s">
        <v>2318</v>
      </c>
      <c r="B4" s="250"/>
      <c r="C4" s="250"/>
      <c r="D4" s="250"/>
      <c r="E4" s="250"/>
      <c r="F4" s="250"/>
      <c r="G4" s="251"/>
    </row>
    <row r="5" spans="1:9" s="258" customFormat="1" ht="13.5" customHeight="1">
      <c r="A5" s="299" t="s">
        <v>2319</v>
      </c>
      <c r="B5" s="254" t="s">
        <v>2320</v>
      </c>
      <c r="C5" s="255">
        <f>C6+C7+C8</f>
        <v>57860</v>
      </c>
      <c r="D5" s="255" t="s">
        <v>2321</v>
      </c>
      <c r="E5" s="256" t="s">
        <v>2322</v>
      </c>
      <c r="F5" s="256" t="s">
        <v>2323</v>
      </c>
      <c r="G5" s="257"/>
    </row>
    <row r="6" spans="1:9" s="258" customFormat="1" ht="13.5" customHeight="1">
      <c r="A6" s="949" t="s">
        <v>2324</v>
      </c>
      <c r="B6" s="259" t="s">
        <v>2325</v>
      </c>
      <c r="C6" s="260">
        <f>'土地比较法-住宅、综合'!B2</f>
        <v>54920</v>
      </c>
      <c r="D6" s="261"/>
      <c r="E6" s="262"/>
      <c r="F6" s="262"/>
      <c r="G6" s="263"/>
    </row>
    <row r="7" spans="1:9" s="258" customFormat="1" ht="13.5" customHeight="1">
      <c r="A7" s="949" t="s">
        <v>2326</v>
      </c>
      <c r="B7" s="259" t="s">
        <v>2327</v>
      </c>
      <c r="C7" s="264">
        <f>ROUND(C6*F7,0)</f>
        <v>1675</v>
      </c>
      <c r="D7" s="264"/>
      <c r="E7" s="262"/>
      <c r="F7" s="265">
        <f>IF(项目基本情况!B8="出让",0,'数据-取费表'!B48+'数据-取费表'!B49)</f>
        <v>3.0499999999999999E-2</v>
      </c>
      <c r="G7" s="263"/>
    </row>
    <row r="8" spans="1:9" s="267" customFormat="1">
      <c r="A8" s="949" t="s">
        <v>2328</v>
      </c>
      <c r="B8" s="259" t="s">
        <v>2329</v>
      </c>
      <c r="C8" s="264">
        <f>IF(G8="已包含在土地购买价格中","0",IF(B1="",'数据-取费表'!B29,IF(G9="全部缴纳",C9+C10,H9)))</f>
        <v>1265</v>
      </c>
      <c r="D8" s="266"/>
      <c r="E8" s="264"/>
      <c r="F8" s="265"/>
      <c r="G8" s="2548" t="s">
        <v>3533</v>
      </c>
    </row>
    <row r="9" spans="1:9" s="258" customFormat="1" ht="13.5" customHeight="1">
      <c r="A9" s="950" t="s">
        <v>800</v>
      </c>
      <c r="B9" s="268" t="s">
        <v>2330</v>
      </c>
      <c r="C9" s="269">
        <f ca="1">ROUND(D9*E9/10000,0)</f>
        <v>0</v>
      </c>
      <c r="D9" s="1032">
        <f ca="1">IF(B1="",'数据-汇总表'!E5,IF(INDIRECT("'数据-取费表'!c"&amp;$G$1)="住宅",INDIRECT("'数据-取费表'!k"&amp;$G$1),0))</f>
        <v>0</v>
      </c>
      <c r="E9" s="269">
        <f>'数据-取费表'!B27</f>
        <v>220</v>
      </c>
      <c r="F9" s="265"/>
      <c r="G9" s="2549" t="s">
        <v>3534</v>
      </c>
      <c r="H9" s="1390"/>
      <c r="I9" s="2550" t="s">
        <v>2331</v>
      </c>
    </row>
    <row r="10" spans="1:9" s="258" customFormat="1" ht="13.5" customHeight="1">
      <c r="A10" s="950" t="s">
        <v>801</v>
      </c>
      <c r="B10" s="268" t="s">
        <v>2332</v>
      </c>
      <c r="C10" s="269">
        <f ca="1">ROUND(D10*E10/10000,0)</f>
        <v>1265</v>
      </c>
      <c r="D10" s="1032">
        <f ca="1">IF(B1="",'数据-汇总表'!E6,IF(INDIRECT("'数据-取费表'!c"&amp;$G$1)="住宅",INDIRECT("'数据-取费表'!s"&amp;$G$1),INDIRECT("'数据-取费表'!k"&amp;$G$1)+INDIRECT("'数据-取费表'!s"&amp;$G$1)))</f>
        <v>57477.440000000002</v>
      </c>
      <c r="E10" s="269">
        <f>'数据-取费表'!B28</f>
        <v>220</v>
      </c>
      <c r="F10" s="265"/>
      <c r="G10" s="270"/>
    </row>
    <row r="11" spans="1:9" s="258" customFormat="1" ht="13.5" hidden="1" customHeight="1">
      <c r="A11" s="271" t="s">
        <v>7</v>
      </c>
      <c r="B11" s="259" t="s">
        <v>2333</v>
      </c>
      <c r="C11" s="255"/>
      <c r="D11" s="1034"/>
      <c r="E11" s="262"/>
      <c r="F11" s="262"/>
      <c r="G11" s="263"/>
    </row>
    <row r="12" spans="1:9" s="258" customFormat="1" ht="13.5" hidden="1" customHeight="1">
      <c r="A12" s="271" t="s">
        <v>8</v>
      </c>
      <c r="B12" s="259" t="s">
        <v>2334</v>
      </c>
      <c r="C12" s="255">
        <v>0</v>
      </c>
      <c r="D12" s="1034"/>
      <c r="E12" s="272"/>
      <c r="F12" s="265">
        <v>3.0499999999999999E-2</v>
      </c>
      <c r="G12" s="263"/>
    </row>
    <row r="13" spans="1:9" s="258" customFormat="1" ht="13.5" hidden="1" customHeight="1">
      <c r="A13" s="271" t="s">
        <v>9</v>
      </c>
      <c r="B13" s="259" t="s">
        <v>2335</v>
      </c>
      <c r="C13" s="255"/>
      <c r="D13" s="1034"/>
      <c r="E13" s="262"/>
      <c r="F13" s="262"/>
      <c r="G13" s="263"/>
    </row>
    <row r="14" spans="1:9" s="258" customFormat="1" ht="13.5" hidden="1" customHeight="1">
      <c r="A14" s="271" t="s">
        <v>10</v>
      </c>
      <c r="B14" s="259" t="s">
        <v>2336</v>
      </c>
      <c r="C14" s="255"/>
      <c r="D14" s="1034"/>
      <c r="E14" s="262"/>
      <c r="F14" s="262"/>
      <c r="G14" s="263" t="s">
        <v>2337</v>
      </c>
    </row>
    <row r="15" spans="1:9" s="258" customFormat="1" ht="13.5" hidden="1" customHeight="1">
      <c r="A15" s="271" t="s">
        <v>11</v>
      </c>
      <c r="B15" s="259" t="s">
        <v>2338</v>
      </c>
      <c r="C15" s="264"/>
      <c r="D15" s="1034"/>
      <c r="E15" s="262"/>
      <c r="F15" s="262"/>
      <c r="G15" s="263" t="s">
        <v>2339</v>
      </c>
    </row>
    <row r="16" spans="1:9" s="258" customFormat="1" ht="13.5" hidden="1" customHeight="1">
      <c r="A16" s="271" t="s">
        <v>12</v>
      </c>
      <c r="B16" s="259" t="s">
        <v>2336</v>
      </c>
      <c r="C16" s="264"/>
      <c r="D16" s="1034"/>
      <c r="E16" s="262"/>
      <c r="F16" s="262"/>
      <c r="G16" s="263"/>
    </row>
    <row r="17" spans="1:7" s="258" customFormat="1" ht="13.5" hidden="1" customHeight="1">
      <c r="A17" s="271" t="s">
        <v>13</v>
      </c>
      <c r="B17" s="259" t="s">
        <v>2340</v>
      </c>
      <c r="C17" s="273"/>
      <c r="D17" s="1035"/>
      <c r="E17" s="273"/>
      <c r="F17" s="273"/>
      <c r="G17" s="263" t="s">
        <v>2339</v>
      </c>
    </row>
    <row r="18" spans="1:7" s="258" customFormat="1" ht="13.5" hidden="1" customHeight="1">
      <c r="A18" s="271" t="s">
        <v>14</v>
      </c>
      <c r="B18" s="259" t="s">
        <v>2341</v>
      </c>
      <c r="C18" s="264">
        <v>0</v>
      </c>
      <c r="D18" s="1034"/>
      <c r="E18" s="262"/>
      <c r="F18" s="265">
        <v>3.0499999999999999E-2</v>
      </c>
      <c r="G18" s="263" t="s">
        <v>2342</v>
      </c>
    </row>
    <row r="19" spans="1:7" s="267" customFormat="1" ht="13.5" customHeight="1">
      <c r="A19" s="299" t="s">
        <v>2343</v>
      </c>
      <c r="B19" s="254" t="s">
        <v>2344</v>
      </c>
      <c r="C19" s="255" t="str">
        <f>IF(G19="已包含在土地取得成本中","0",ROUND(D19*E19/10000,0))</f>
        <v>0</v>
      </c>
      <c r="D19" s="1036">
        <f ca="1">D9+D10</f>
        <v>57477.440000000002</v>
      </c>
      <c r="E19" s="255">
        <f>'数据-取费表'!B31</f>
        <v>200</v>
      </c>
      <c r="F19" s="275"/>
      <c r="G19" s="2548" t="s">
        <v>3535</v>
      </c>
    </row>
    <row r="20" spans="1:7" s="258" customFormat="1" ht="13.5" customHeight="1">
      <c r="A20" s="299" t="s">
        <v>2345</v>
      </c>
      <c r="B20" s="254" t="s">
        <v>2346</v>
      </c>
      <c r="C20" s="276">
        <f>ROUND((C5+C19)*F20,0)</f>
        <v>1736</v>
      </c>
      <c r="D20" s="276"/>
      <c r="E20" s="276"/>
      <c r="F20" s="277">
        <f>'数据-取费表'!B37</f>
        <v>0.03</v>
      </c>
      <c r="G20" s="278" t="s">
        <v>2347</v>
      </c>
    </row>
    <row r="21" spans="1:7" s="258" customFormat="1" ht="13.5" customHeight="1">
      <c r="A21" s="299" t="s">
        <v>2348</v>
      </c>
      <c r="B21" s="254" t="s">
        <v>2349</v>
      </c>
      <c r="C21" s="279">
        <f>F21</f>
        <v>0.03</v>
      </c>
      <c r="D21" s="280" t="s">
        <v>2350</v>
      </c>
      <c r="E21" s="276"/>
      <c r="F21" s="277">
        <f>'数据-取费表'!B38</f>
        <v>0.03</v>
      </c>
      <c r="G21" s="278" t="s">
        <v>2351</v>
      </c>
    </row>
    <row r="22" spans="1:7" s="258" customFormat="1" ht="13.5" customHeight="1">
      <c r="A22" s="299" t="s">
        <v>2352</v>
      </c>
      <c r="B22" s="254" t="s">
        <v>2353</v>
      </c>
      <c r="C22" s="1354">
        <f ca="1">ROUND(SUM(C23:C25),0)</f>
        <v>5709</v>
      </c>
      <c r="D22" s="279">
        <f ca="1">C26</f>
        <v>1.4E-3</v>
      </c>
      <c r="E22" s="280" t="s">
        <v>2350</v>
      </c>
      <c r="F22" s="281">
        <f ca="1">'数据-取费表'!B40</f>
        <v>4.7500000000000001E-2</v>
      </c>
      <c r="G22" s="278" t="str">
        <f>IF('数据-取费表'!B22&lt;=1,"单利计息","复利计息")</f>
        <v>复利计息</v>
      </c>
    </row>
    <row r="23" spans="1:7" s="258" customFormat="1" ht="13.5" customHeight="1">
      <c r="A23" s="951" t="s">
        <v>2354</v>
      </c>
      <c r="B23" s="259" t="s">
        <v>2355</v>
      </c>
      <c r="C23" s="1355">
        <f ca="1">ROUND(IF('数据-取费表'!B22&lt;=1,C5*F22*'数据-取费表'!B23,C5*(POWER((1+F22),'数据-取费表'!B23)-1)),0)</f>
        <v>5627</v>
      </c>
      <c r="D23" s="282"/>
      <c r="E23" s="282"/>
      <c r="F23" s="283"/>
      <c r="G23" s="284" t="s">
        <v>2356</v>
      </c>
    </row>
    <row r="24" spans="1:7" s="258" customFormat="1" ht="13.5" customHeight="1">
      <c r="A24" s="951" t="s">
        <v>2357</v>
      </c>
      <c r="B24" s="259" t="s">
        <v>2358</v>
      </c>
      <c r="C24" s="1355">
        <f ca="1">ROUND(IF('数据-取费表'!B22&lt;=1,C19*F22*('数据-取费表'!B19/2+'数据-取费表'!B21),C19*(POWER((1+F22),('数据-取费表'!B19/2+'数据-取费表'!B21))-1)),0)</f>
        <v>0</v>
      </c>
      <c r="D24" s="282"/>
      <c r="E24" s="282"/>
      <c r="F24" s="283"/>
      <c r="G24" s="284" t="s">
        <v>2359</v>
      </c>
    </row>
    <row r="25" spans="1:7" s="258" customFormat="1" ht="24">
      <c r="A25" s="951" t="s">
        <v>2360</v>
      </c>
      <c r="B25" s="259" t="s">
        <v>2361</v>
      </c>
      <c r="C25" s="1355">
        <f ca="1">ROUND(IF('数据-取费表'!B22&lt;=1,C20*F22*'数据-取费表'!B23/2,C20*(POWER((1+F22),'数据-取费表'!B23/2)-1)),0)</f>
        <v>82</v>
      </c>
      <c r="D25" s="282"/>
      <c r="E25" s="285"/>
      <c r="F25" s="283"/>
      <c r="G25" s="286" t="s">
        <v>2362</v>
      </c>
    </row>
    <row r="26" spans="1:7" s="258" customFormat="1">
      <c r="A26" s="951" t="s">
        <v>795</v>
      </c>
      <c r="B26" s="259" t="s">
        <v>2363</v>
      </c>
      <c r="C26" s="282">
        <f ca="1">ROUND(IF('数据-取费表'!B22&lt;=1,F21*F22*'数据-取费表'!B23/2,F21*(POWER((1+F22),'数据-取费表'!B23/2)-1)),4)</f>
        <v>1.4E-3</v>
      </c>
      <c r="D26" s="282"/>
      <c r="E26" s="285"/>
      <c r="F26" s="283"/>
      <c r="G26" s="287"/>
    </row>
    <row r="27" spans="1:7" s="258" customFormat="1" ht="26.4">
      <c r="A27" s="299" t="s">
        <v>2364</v>
      </c>
      <c r="B27" s="288" t="s">
        <v>2365</v>
      </c>
      <c r="C27" s="289">
        <f ca="1">C28</f>
        <v>17879</v>
      </c>
      <c r="D27" s="279">
        <f ca="1">C29</f>
        <v>8.9999999999999993E-3</v>
      </c>
      <c r="E27" s="280" t="s">
        <v>2366</v>
      </c>
      <c r="F27" s="290">
        <f ca="1">IF(B1="",'数据-取费表'!Q16,INDIRECT("'数据-取费表'!q"&amp;$G$1))</f>
        <v>0.3</v>
      </c>
      <c r="G27" s="291" t="s">
        <v>2367</v>
      </c>
    </row>
    <row r="28" spans="1:7" s="258" customFormat="1" ht="13.5" customHeight="1">
      <c r="A28" s="951" t="s">
        <v>791</v>
      </c>
      <c r="B28" s="292" t="s">
        <v>2368</v>
      </c>
      <c r="C28" s="293">
        <f ca="1">ROUND((C5+C19+C20)*F27*'数据-取费表'!B21/'数据-取费表'!B20,0)</f>
        <v>17879</v>
      </c>
      <c r="D28" s="279"/>
      <c r="E28" s="280"/>
      <c r="F28" s="290"/>
      <c r="G28" s="291"/>
    </row>
    <row r="29" spans="1:7" s="258" customFormat="1" ht="13.5" customHeight="1">
      <c r="A29" s="951" t="s">
        <v>792</v>
      </c>
      <c r="B29" s="292" t="s">
        <v>2369</v>
      </c>
      <c r="C29" s="282">
        <f ca="1">ROUND(C21*F27*'数据-取费表'!B21/'数据-取费表'!B20,4)</f>
        <v>8.9999999999999993E-3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91784</v>
      </c>
      <c r="D31" s="274"/>
      <c r="E31" s="255"/>
      <c r="F31" s="294"/>
      <c r="G31" s="278" t="s">
        <v>2374</v>
      </c>
    </row>
    <row r="32" spans="1:7" s="252" customFormat="1" ht="16.2">
      <c r="A32" s="296" t="s">
        <v>2375</v>
      </c>
      <c r="B32" s="297"/>
      <c r="C32" s="297"/>
      <c r="D32" s="297"/>
      <c r="E32" s="297"/>
      <c r="F32" s="297"/>
      <c r="G32" s="298"/>
    </row>
    <row r="33" spans="1:7" s="258" customFormat="1" ht="13.5" customHeight="1">
      <c r="A33" s="299" t="s">
        <v>782</v>
      </c>
      <c r="B33" s="254" t="s">
        <v>2376</v>
      </c>
      <c r="C33" s="300">
        <f ca="1">SUM(C34:C38)</f>
        <v>50121</v>
      </c>
      <c r="D33" s="276"/>
      <c r="E33" s="256"/>
      <c r="F33" s="285"/>
      <c r="G33" s="278"/>
    </row>
    <row r="34" spans="1:7" s="302" customFormat="1" ht="13.5" customHeight="1">
      <c r="A34" s="951" t="s">
        <v>791</v>
      </c>
      <c r="B34" s="259" t="s">
        <v>2377</v>
      </c>
      <c r="C34" s="264">
        <f ca="1">IF(B1="",IF(F34=100%,'数据-取费表'!M16,'数据-取费表'!O16),IF(F34=100%,INDIRECT("'数据-取费表'!m"&amp;$G$1)+INDIRECT("'数据-取费表'!t"&amp;$G$1),INDIRECT("'数据-取费表'!o"&amp;$G$1)+INDIRECT("'数据-取费表'!aq"&amp;$G$1)))</f>
        <v>45982</v>
      </c>
      <c r="D34" s="261"/>
      <c r="E34" s="264"/>
      <c r="F34" s="301">
        <f ca="1">IF('数据-取费表'!B24=0,1,IF(B1="",'数据-取费表'!N16,INDIRECT("'数据-取费表'!n"&amp;$G$1)))</f>
        <v>1</v>
      </c>
      <c r="G34" s="263" t="s">
        <v>2378</v>
      </c>
    </row>
    <row r="35" spans="1:7" ht="13.5" customHeight="1">
      <c r="A35" s="951" t="s">
        <v>796</v>
      </c>
      <c r="B35" s="259" t="s">
        <v>2379</v>
      </c>
      <c r="C35" s="264">
        <f ca="1">ROUND(C34*F35,0)</f>
        <v>2299</v>
      </c>
      <c r="D35" s="264"/>
      <c r="E35" s="264"/>
      <c r="F35" s="303">
        <f>'数据-取费表'!B33</f>
        <v>0.05</v>
      </c>
      <c r="G35" s="263" t="s">
        <v>2380</v>
      </c>
    </row>
    <row r="36" spans="1:7" ht="24">
      <c r="A36" s="951"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1" t="s">
        <v>798</v>
      </c>
      <c r="B37" s="259" t="s">
        <v>2383</v>
      </c>
      <c r="C37" s="293">
        <f ca="1">ROUND(E37*D37*F34/10000,0)</f>
        <v>1150</v>
      </c>
      <c r="D37" s="261">
        <f ca="1">D19</f>
        <v>57477.440000000002</v>
      </c>
      <c r="E37" s="293">
        <f>'数据-取费表'!B35</f>
        <v>200</v>
      </c>
      <c r="F37" s="303"/>
      <c r="G37" s="305" t="s">
        <v>2384</v>
      </c>
    </row>
    <row r="38" spans="1:7" ht="13.5" customHeight="1">
      <c r="A38" s="951" t="s">
        <v>799</v>
      </c>
      <c r="B38" s="259" t="s">
        <v>2385</v>
      </c>
      <c r="C38" s="264">
        <f ca="1">ROUND(C34*F38,0)</f>
        <v>690</v>
      </c>
      <c r="D38" s="264"/>
      <c r="E38" s="264"/>
      <c r="F38" s="303">
        <f>'数据-取费表'!B36</f>
        <v>1.4999999999999999E-2</v>
      </c>
      <c r="G38" s="263" t="s">
        <v>2380</v>
      </c>
    </row>
    <row r="39" spans="1:7" s="258" customFormat="1" ht="13.5" customHeight="1">
      <c r="A39" s="299" t="s">
        <v>2386</v>
      </c>
      <c r="B39" s="254" t="s">
        <v>2387</v>
      </c>
      <c r="C39" s="276">
        <f ca="1">ROUND(C33*F20,0)</f>
        <v>1504</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2452</v>
      </c>
      <c r="D41" s="279">
        <f ca="1">C44</f>
        <v>1.4E-3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ROUND(IF('数据-取费表'!B22&lt;=1,C33*F22*'数据-取费表'!B21/2,C33*(POWER((1+F22),'数据-取费表'!B21/2)-1)),0)</f>
        <v>2381</v>
      </c>
      <c r="D42" s="282"/>
      <c r="E42" s="282"/>
      <c r="F42" s="283"/>
      <c r="G42" s="3148" t="s">
        <v>2396</v>
      </c>
    </row>
    <row r="43" spans="1:7" ht="13.5" customHeight="1">
      <c r="A43" s="951" t="s">
        <v>792</v>
      </c>
      <c r="B43" s="259" t="s">
        <v>2397</v>
      </c>
      <c r="C43" s="282">
        <f ca="1">ROUND(IF('数据-取费表'!B22&lt;=1,C39*F22*'数据-取费表'!B21/2,C39*(POWER((1+F22),'数据-取费表'!B21/2)-1)),0)</f>
        <v>71</v>
      </c>
      <c r="D43" s="282"/>
      <c r="E43" s="282"/>
      <c r="F43" s="283"/>
      <c r="G43" s="3149"/>
    </row>
    <row r="44" spans="1:7" ht="13.5" customHeight="1">
      <c r="A44" s="951" t="s">
        <v>793</v>
      </c>
      <c r="B44" s="259" t="s">
        <v>2398</v>
      </c>
      <c r="C44" s="282">
        <f ca="1">ROUND(IF('数据-取费表'!B22&lt;=1,C40*F22*'数据-取费表'!B21/2,C40*(POWER((1+F22),'数据-取费表'!B21/2)-1)),4)</f>
        <v>1.4E-3</v>
      </c>
      <c r="D44" s="282"/>
      <c r="E44" s="282"/>
      <c r="F44" s="283"/>
      <c r="G44" s="3150"/>
    </row>
    <row r="45" spans="1:7" s="258" customFormat="1" ht="13.5" customHeight="1">
      <c r="A45" s="299" t="s">
        <v>2399</v>
      </c>
      <c r="B45" s="288" t="s">
        <v>2365</v>
      </c>
      <c r="C45" s="289">
        <f ca="1">C46</f>
        <v>15488</v>
      </c>
      <c r="D45" s="279">
        <f ca="1">C47</f>
        <v>8.9999999999999993E-3</v>
      </c>
      <c r="E45" s="280" t="s">
        <v>2391</v>
      </c>
      <c r="F45" s="290"/>
      <c r="G45" s="291" t="s">
        <v>2400</v>
      </c>
    </row>
    <row r="46" spans="1:7" s="258" customFormat="1" ht="13.5" customHeight="1">
      <c r="A46" s="951" t="s">
        <v>791</v>
      </c>
      <c r="B46" s="292" t="s">
        <v>2401</v>
      </c>
      <c r="C46" s="293">
        <f ca="1">ROUND((C33+C39)*F27,0)</f>
        <v>15488</v>
      </c>
      <c r="D46" s="307"/>
      <c r="E46" s="280"/>
      <c r="F46" s="290"/>
      <c r="G46" s="291"/>
    </row>
    <row r="47" spans="1:7" s="258" customFormat="1" ht="13.5" customHeight="1">
      <c r="A47" s="951" t="s">
        <v>792</v>
      </c>
      <c r="B47" s="292" t="s">
        <v>2402</v>
      </c>
      <c r="C47" s="282">
        <f ca="1">ROUND(C40*F27,4)</f>
        <v>8.9999999999999993E-3</v>
      </c>
      <c r="D47" s="307"/>
      <c r="E47" s="280"/>
      <c r="F47" s="290"/>
      <c r="G47" s="291"/>
    </row>
    <row r="48" spans="1:7" s="258" customFormat="1" ht="13.5" customHeight="1">
      <c r="A48" s="299" t="s">
        <v>2364</v>
      </c>
      <c r="B48" s="254" t="s">
        <v>2403</v>
      </c>
      <c r="C48" s="1727">
        <f>ROUND(F30/(1+'数据-取费表'!C42),4)</f>
        <v>5.33E-2</v>
      </c>
      <c r="D48" s="280" t="s">
        <v>2391</v>
      </c>
      <c r="E48" s="276"/>
      <c r="F48" s="281"/>
      <c r="G48" s="278" t="s">
        <v>2404</v>
      </c>
    </row>
    <row r="49" spans="1:7" ht="16.5" customHeight="1">
      <c r="A49" s="299" t="s">
        <v>2370</v>
      </c>
      <c r="B49" s="254" t="s">
        <v>2405</v>
      </c>
      <c r="C49" s="276">
        <f ca="1">ROUND((C33+C39+C41+C45)/(1-C40-D41-D45-C48),0)</f>
        <v>76757</v>
      </c>
      <c r="D49" s="276"/>
      <c r="E49" s="276"/>
      <c r="F49" s="308"/>
      <c r="G49" s="278" t="s">
        <v>2406</v>
      </c>
    </row>
    <row r="50" spans="1:7" s="302" customFormat="1" ht="24">
      <c r="A50" s="299" t="s">
        <v>2407</v>
      </c>
      <c r="B50" s="254" t="s">
        <v>2408</v>
      </c>
      <c r="C50" s="276"/>
      <c r="D50" s="276"/>
      <c r="E50" s="276"/>
      <c r="F50" s="308">
        <f>IF('数据-取费表'!B24=0,'数据-取费表'!N16,1)</f>
        <v>0.82499999999999996</v>
      </c>
      <c r="G50" s="291" t="s">
        <v>2409</v>
      </c>
    </row>
    <row r="51" spans="1:7" ht="16.5" customHeight="1">
      <c r="A51" s="299" t="s">
        <v>2410</v>
      </c>
      <c r="B51" s="254" t="s">
        <v>2411</v>
      </c>
      <c r="C51" s="276">
        <f ca="1">ROUND(C49*F50,0)</f>
        <v>63325</v>
      </c>
      <c r="D51" s="276"/>
      <c r="E51" s="276"/>
      <c r="F51" s="308"/>
      <c r="G51" s="278" t="s">
        <v>2412</v>
      </c>
    </row>
    <row r="52" spans="1:7" s="252" customFormat="1" ht="16.8" thickBot="1">
      <c r="A52" s="309" t="s">
        <v>2413</v>
      </c>
      <c r="B52" s="310"/>
      <c r="C52" s="311">
        <f ca="1">C31+C51</f>
        <v>155109</v>
      </c>
      <c r="D52" s="310"/>
      <c r="E52" s="310"/>
      <c r="F52" s="310"/>
      <c r="G52" s="312"/>
    </row>
    <row r="55" spans="1:7" ht="15">
      <c r="B55" s="314" t="s">
        <v>2414</v>
      </c>
      <c r="C55" s="315"/>
    </row>
    <row r="56" spans="1:7">
      <c r="B56" s="317" t="s">
        <v>1502</v>
      </c>
      <c r="C56" s="319">
        <f ca="1">1-C57</f>
        <v>0.59200000000000008</v>
      </c>
    </row>
    <row r="57" spans="1:7">
      <c r="B57" s="317" t="s">
        <v>1503</v>
      </c>
      <c r="C57" s="318">
        <f ca="1">ROUND(C51/C52,3)</f>
        <v>0.40799999999999997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北京市海南省三亚市亚龙湾滨海路红树林度假酒店房地产市场价值预评估</v>
      </c>
      <c r="C37" s="2962"/>
      <c r="D37" s="2962"/>
      <c r="E37" s="2962"/>
      <c r="F37" s="2962"/>
      <c r="G37" s="2962"/>
      <c r="H37" s="2962"/>
      <c r="I37" s="2962"/>
    </row>
    <row r="38" spans="1:9">
      <c r="A38" s="1016"/>
      <c r="B38" s="1016"/>
    </row>
    <row r="39" spans="1:9">
      <c r="A39" s="1014" t="s">
        <v>818</v>
      </c>
      <c r="B39" s="1014" t="s">
        <v>820</v>
      </c>
    </row>
    <row r="40" spans="1:9">
      <c r="A40" s="1014"/>
      <c r="B40" s="1940" t="str">
        <f>项目基本情况!B5</f>
        <v>三亚红树林旅业有限公司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2313</v>
      </c>
      <c r="B1" s="1935"/>
      <c r="C1" s="2551" t="s">
        <v>2415</v>
      </c>
      <c r="D1" s="242"/>
      <c r="E1" s="242"/>
      <c r="F1" s="242"/>
      <c r="G1" s="1379">
        <f>MATCH(B1,'数据-取费表'!A6:A16,0)+5</f>
        <v>7</v>
      </c>
      <c r="H1" s="1282" t="str">
        <f>IF(ISERROR(FIND("住宅",B1)),"非住宅","住宅")</f>
        <v>非住宅</v>
      </c>
    </row>
    <row r="2" spans="1:8" s="244" customFormat="1" ht="18" customHeight="1">
      <c r="A2" s="245" t="s">
        <v>2314</v>
      </c>
      <c r="B2" s="246">
        <f ca="1">ROUND(IF(D2="——",C52/10000,C52/10000-E2),0)</f>
        <v>67153</v>
      </c>
      <c r="C2" s="243" t="s">
        <v>2315</v>
      </c>
      <c r="D2" s="2545" t="s">
        <v>70</v>
      </c>
      <c r="E2" s="1440" t="e">
        <f ca="1">SUMIF(INDIRECT("'"&amp;G2&amp;"'"&amp;"!A:A"),"承租人权益价值",INDIRECT("'"&amp;G2&amp;"'"&amp;"!c:c"))</f>
        <v>#REF!</v>
      </c>
      <c r="F2" s="2546" t="s">
        <v>2315</v>
      </c>
      <c r="G2" s="2547"/>
    </row>
    <row r="3" spans="1:8" s="244" customFormat="1" ht="18" customHeight="1" thickBot="1">
      <c r="A3" s="247" t="s">
        <v>2316</v>
      </c>
      <c r="B3" s="248">
        <f ca="1">ROUND(B2*10000/(IF(B1="",'数据-汇总表'!E3,INDIRECT("'数据-取费表'!k"&amp;$G$1))),0)</f>
        <v>11683</v>
      </c>
      <c r="C3" s="243" t="s">
        <v>2317</v>
      </c>
      <c r="D3" s="243"/>
      <c r="E3" s="243"/>
      <c r="F3" s="243"/>
      <c r="G3" s="243"/>
    </row>
    <row r="4" spans="1:8" s="252" customFormat="1" ht="16.2">
      <c r="A4" s="249" t="s">
        <v>2318</v>
      </c>
      <c r="B4" s="250"/>
      <c r="C4" s="250"/>
      <c r="D4" s="250"/>
      <c r="E4" s="250"/>
      <c r="F4" s="250"/>
      <c r="G4" s="251"/>
    </row>
    <row r="5" spans="1:8" s="258" customFormat="1" ht="13.5" customHeight="1">
      <c r="A5" s="299" t="s">
        <v>2319</v>
      </c>
      <c r="B5" s="254" t="s">
        <v>2320</v>
      </c>
      <c r="C5" s="255">
        <f ca="1">C6+C7+C8</f>
        <v>12645037</v>
      </c>
      <c r="D5" s="255" t="s">
        <v>2321</v>
      </c>
      <c r="E5" s="256" t="s">
        <v>2322</v>
      </c>
      <c r="F5" s="256" t="s">
        <v>2323</v>
      </c>
      <c r="G5" s="257"/>
    </row>
    <row r="6" spans="1:8" s="258" customFormat="1" ht="13.5" customHeight="1">
      <c r="A6" s="949" t="s">
        <v>2324</v>
      </c>
      <c r="B6" s="259" t="s">
        <v>2325</v>
      </c>
      <c r="C6" s="260"/>
      <c r="D6" s="261"/>
      <c r="E6" s="262"/>
      <c r="F6" s="262"/>
      <c r="G6" s="263"/>
    </row>
    <row r="7" spans="1:8" s="258" customFormat="1" ht="13.5" customHeight="1">
      <c r="A7" s="949" t="s">
        <v>2326</v>
      </c>
      <c r="B7" s="259" t="s">
        <v>2327</v>
      </c>
      <c r="C7" s="264">
        <f>ROUND(C6*F7,0)</f>
        <v>0</v>
      </c>
      <c r="D7" s="264"/>
      <c r="E7" s="262"/>
      <c r="F7" s="265">
        <f>IF(项目基本情况!B8="出让",0,'数据-取费表'!B48+'数据-取费表'!B49)</f>
        <v>3.0499999999999999E-2</v>
      </c>
      <c r="G7" s="263"/>
    </row>
    <row r="8" spans="1:8" s="267" customFormat="1">
      <c r="A8" s="949" t="s">
        <v>2328</v>
      </c>
      <c r="B8" s="259" t="s">
        <v>2329</v>
      </c>
      <c r="C8" s="264">
        <f ca="1">IF(G8="已包含在土地购买价格中",0,C9+C10)</f>
        <v>12645037</v>
      </c>
      <c r="D8" s="266"/>
      <c r="E8" s="264"/>
      <c r="F8" s="265"/>
      <c r="G8" s="2548"/>
    </row>
    <row r="9" spans="1:8" s="258" customFormat="1" ht="13.5" customHeight="1">
      <c r="A9" s="950" t="s">
        <v>800</v>
      </c>
      <c r="B9" s="268" t="s">
        <v>2330</v>
      </c>
      <c r="C9" s="269">
        <f ca="1">ROUND(D9*E9,0)</f>
        <v>0</v>
      </c>
      <c r="D9" s="1032">
        <f ca="1">IF(B1="",'数据-汇总表'!E5,IF(INDIRECT("'数据-取费表'!c"&amp;$G$1)="住宅",INDIRECT("'数据-取费表'!k"&amp;$G$1),0))</f>
        <v>0</v>
      </c>
      <c r="E9" s="269">
        <f>'数据-取费表'!B27</f>
        <v>220</v>
      </c>
      <c r="F9" s="265"/>
      <c r="G9" s="270"/>
    </row>
    <row r="10" spans="1:8" s="258" customFormat="1" ht="13.5" customHeight="1">
      <c r="A10" s="950" t="s">
        <v>801</v>
      </c>
      <c r="B10" s="268" t="s">
        <v>2332</v>
      </c>
      <c r="C10" s="269">
        <f ca="1">ROUND(D10*E10,0)</f>
        <v>12645037</v>
      </c>
      <c r="D10" s="1032">
        <f ca="1">IF(B1="",'数据-汇总表'!E6,IF(INDIRECT("'数据-取费表'!c"&amp;$G$1)="住宅",INDIRECT("'数据-取费表'!s"&amp;$G$1),INDIRECT("'数据-取费表'!k"&amp;$G$1)+INDIRECT("'数据-取费表'!s"&amp;$G$1)))</f>
        <v>57477.440000000002</v>
      </c>
      <c r="E10" s="269">
        <f>'数据-取费表'!B28</f>
        <v>220</v>
      </c>
      <c r="F10" s="265"/>
      <c r="G10" s="270"/>
    </row>
    <row r="11" spans="1:8" s="258" customFormat="1" ht="13.5" hidden="1" customHeight="1">
      <c r="A11" s="271" t="s">
        <v>7</v>
      </c>
      <c r="B11" s="259" t="s">
        <v>2333</v>
      </c>
      <c r="C11" s="255"/>
      <c r="D11" s="1034"/>
      <c r="E11" s="262"/>
      <c r="F11" s="262"/>
      <c r="G11" s="263"/>
    </row>
    <row r="12" spans="1:8" s="258" customFormat="1" ht="13.5" hidden="1" customHeight="1">
      <c r="A12" s="271" t="s">
        <v>8</v>
      </c>
      <c r="B12" s="259" t="s">
        <v>2416</v>
      </c>
      <c r="C12" s="255">
        <v>0</v>
      </c>
      <c r="D12" s="1034"/>
      <c r="E12" s="272"/>
      <c r="F12" s="265">
        <v>3.0499999999999999E-2</v>
      </c>
      <c r="G12" s="263"/>
    </row>
    <row r="13" spans="1:8" s="258" customFormat="1" ht="13.5" hidden="1" customHeight="1">
      <c r="A13" s="271" t="s">
        <v>9</v>
      </c>
      <c r="B13" s="259" t="s">
        <v>2417</v>
      </c>
      <c r="C13" s="255"/>
      <c r="D13" s="1034"/>
      <c r="E13" s="262"/>
      <c r="F13" s="262"/>
      <c r="G13" s="263"/>
    </row>
    <row r="14" spans="1:8" s="258" customFormat="1" ht="13.5" hidden="1" customHeight="1">
      <c r="A14" s="271" t="s">
        <v>10</v>
      </c>
      <c r="B14" s="259" t="s">
        <v>2329</v>
      </c>
      <c r="C14" s="255"/>
      <c r="D14" s="1034"/>
      <c r="E14" s="262"/>
      <c r="F14" s="262"/>
      <c r="G14" s="263" t="s">
        <v>2418</v>
      </c>
    </row>
    <row r="15" spans="1:8" s="258" customFormat="1" ht="13.5" hidden="1" customHeight="1">
      <c r="A15" s="271" t="s">
        <v>11</v>
      </c>
      <c r="B15" s="259" t="s">
        <v>2419</v>
      </c>
      <c r="C15" s="264"/>
      <c r="D15" s="1034"/>
      <c r="E15" s="262"/>
      <c r="F15" s="262"/>
      <c r="G15" s="263" t="s">
        <v>2420</v>
      </c>
    </row>
    <row r="16" spans="1:8" s="258" customFormat="1" ht="13.5" hidden="1" customHeight="1">
      <c r="A16" s="271" t="s">
        <v>12</v>
      </c>
      <c r="B16" s="259" t="s">
        <v>2329</v>
      </c>
      <c r="C16" s="264"/>
      <c r="D16" s="1034"/>
      <c r="E16" s="262"/>
      <c r="F16" s="262"/>
      <c r="G16" s="263"/>
    </row>
    <row r="17" spans="1:7" s="258" customFormat="1" ht="13.5" hidden="1" customHeight="1">
      <c r="A17" s="271" t="s">
        <v>13</v>
      </c>
      <c r="B17" s="259" t="s">
        <v>2421</v>
      </c>
      <c r="C17" s="273"/>
      <c r="D17" s="1035"/>
      <c r="E17" s="273"/>
      <c r="F17" s="273"/>
      <c r="G17" s="263" t="s">
        <v>2420</v>
      </c>
    </row>
    <row r="18" spans="1:7" s="258" customFormat="1" ht="13.5" hidden="1" customHeight="1">
      <c r="A18" s="271" t="s">
        <v>14</v>
      </c>
      <c r="B18" s="259" t="s">
        <v>2422</v>
      </c>
      <c r="C18" s="264">
        <v>0</v>
      </c>
      <c r="D18" s="1034"/>
      <c r="E18" s="262"/>
      <c r="F18" s="265">
        <v>3.0499999999999999E-2</v>
      </c>
      <c r="G18" s="263" t="s">
        <v>2423</v>
      </c>
    </row>
    <row r="19" spans="1:7" s="267" customFormat="1" ht="13.5" customHeight="1">
      <c r="A19" s="299" t="s">
        <v>2424</v>
      </c>
      <c r="B19" s="254" t="s">
        <v>2425</v>
      </c>
      <c r="C19" s="255">
        <f ca="1">IF(G19="已包含在土地取得成本中","0",ROUND(D19*E19,0))</f>
        <v>11495488</v>
      </c>
      <c r="D19" s="1036">
        <f ca="1">D9+D10</f>
        <v>57477.440000000002</v>
      </c>
      <c r="E19" s="255">
        <f>'数据-取费表'!B31</f>
        <v>200</v>
      </c>
      <c r="F19" s="275"/>
      <c r="G19" s="2548"/>
    </row>
    <row r="20" spans="1:7" s="258" customFormat="1" ht="13.5" customHeight="1">
      <c r="A20" s="299" t="s">
        <v>2426</v>
      </c>
      <c r="B20" s="254" t="s">
        <v>2427</v>
      </c>
      <c r="C20" s="276">
        <f ca="1">ROUND((C5+C19)*F20,0)</f>
        <v>724216</v>
      </c>
      <c r="D20" s="276"/>
      <c r="E20" s="276"/>
      <c r="F20" s="277">
        <f>'数据-取费表'!B37</f>
        <v>0.03</v>
      </c>
      <c r="G20" s="278" t="s">
        <v>2428</v>
      </c>
    </row>
    <row r="21" spans="1:7" s="258" customFormat="1" ht="13.5" customHeight="1">
      <c r="A21" s="299" t="s">
        <v>2429</v>
      </c>
      <c r="B21" s="254" t="s">
        <v>2430</v>
      </c>
      <c r="C21" s="279">
        <f>F21</f>
        <v>0.03</v>
      </c>
      <c r="D21" s="280" t="s">
        <v>2431</v>
      </c>
      <c r="E21" s="276"/>
      <c r="F21" s="277">
        <f>'数据-取费表'!B38</f>
        <v>0.03</v>
      </c>
      <c r="G21" s="278" t="s">
        <v>2432</v>
      </c>
    </row>
    <row r="22" spans="1:7" s="258" customFormat="1" ht="13.5" customHeight="1">
      <c r="A22" s="299" t="s">
        <v>2433</v>
      </c>
      <c r="B22" s="254" t="s">
        <v>2434</v>
      </c>
      <c r="C22" s="1380">
        <f ca="1">ROUND(SUM(C23:C25),0)</f>
        <v>2382217</v>
      </c>
      <c r="D22" s="279">
        <f ca="1">C26</f>
        <v>1.4E-3</v>
      </c>
      <c r="E22" s="280" t="s">
        <v>2431</v>
      </c>
      <c r="F22" s="281">
        <f ca="1">'数据-取费表'!B40</f>
        <v>4.7500000000000001E-2</v>
      </c>
      <c r="G22" s="278" t="str">
        <f>IF('数据-取费表'!B22&lt;=1,"单利计息","复利计息")</f>
        <v>复利计息</v>
      </c>
    </row>
    <row r="23" spans="1:7" s="258" customFormat="1" ht="13.5" customHeight="1">
      <c r="A23" s="951" t="s">
        <v>2324</v>
      </c>
      <c r="B23" s="259" t="s">
        <v>2435</v>
      </c>
      <c r="C23" s="1381">
        <f ca="1">ROUND(IF('数据-取费表'!B22&lt;=1,C5*F22*'数据-取费表'!B22,C5*(POWER((1+F22),'数据-取费表'!B22)-1)),0)</f>
        <v>1229809</v>
      </c>
      <c r="D23" s="282"/>
      <c r="E23" s="282"/>
      <c r="F23" s="283"/>
      <c r="G23" s="284" t="s">
        <v>2436</v>
      </c>
    </row>
    <row r="24" spans="1:7" s="258" customFormat="1" ht="13.5" customHeight="1">
      <c r="A24" s="951" t="s">
        <v>2326</v>
      </c>
      <c r="B24" s="259" t="s">
        <v>2437</v>
      </c>
      <c r="C24" s="1381">
        <f ca="1">ROUND(IF('数据-取费表'!B22&lt;=1,C19*F22*('数据-取费表'!B19/2+'数据-取费表'!B20),C19*(POWER((1+F22),('数据-取费表'!B19/2+'数据-取费表'!B20))-1)),0)</f>
        <v>1118008</v>
      </c>
      <c r="D24" s="282"/>
      <c r="E24" s="282"/>
      <c r="F24" s="283"/>
      <c r="G24" s="284" t="s">
        <v>2438</v>
      </c>
    </row>
    <row r="25" spans="1:7" s="258" customFormat="1" ht="24">
      <c r="A25" s="951" t="s">
        <v>2328</v>
      </c>
      <c r="B25" s="259" t="s">
        <v>2439</v>
      </c>
      <c r="C25" s="1381">
        <f ca="1">ROUND(IF('数据-取费表'!B22&lt;=1,C20*F22*'数据-取费表'!B22/2,C20*(POWER((1+F22),'数据-取费表'!B22/2)-1)),0)</f>
        <v>34400</v>
      </c>
      <c r="D25" s="282"/>
      <c r="E25" s="285"/>
      <c r="F25" s="283"/>
      <c r="G25" s="286" t="s">
        <v>2440</v>
      </c>
    </row>
    <row r="26" spans="1:7" s="258" customFormat="1">
      <c r="A26" s="951" t="s">
        <v>795</v>
      </c>
      <c r="B26" s="259" t="s">
        <v>2363</v>
      </c>
      <c r="C26" s="282">
        <f ca="1">ROUND(IF('数据-取费表'!B22&lt;=1,F21*F22*'数据-取费表'!B22/2,F21*(POWER((1+F22),'数据-取费表'!B22/2)-1)),4)</f>
        <v>1.4E-3</v>
      </c>
      <c r="D26" s="282"/>
      <c r="E26" s="285"/>
      <c r="F26" s="283"/>
      <c r="G26" s="287"/>
    </row>
    <row r="27" spans="1:7" s="258" customFormat="1" ht="26.4">
      <c r="A27" s="299" t="s">
        <v>2364</v>
      </c>
      <c r="B27" s="288" t="s">
        <v>2365</v>
      </c>
      <c r="C27" s="289">
        <f ca="1">C28</f>
        <v>7459422</v>
      </c>
      <c r="D27" s="279">
        <f ca="1">C29</f>
        <v>8.9999999999999993E-3</v>
      </c>
      <c r="E27" s="280" t="s">
        <v>2366</v>
      </c>
      <c r="F27" s="290">
        <f ca="1">IF(B1="",'数据-取费表'!Q16,INDIRECT("'数据-取费表'!q"&amp;$G$1))</f>
        <v>0.3</v>
      </c>
      <c r="G27" s="291" t="s">
        <v>2367</v>
      </c>
    </row>
    <row r="28" spans="1:7" s="258" customFormat="1" ht="13.5" customHeight="1">
      <c r="A28" s="951" t="s">
        <v>791</v>
      </c>
      <c r="B28" s="292" t="s">
        <v>2368</v>
      </c>
      <c r="C28" s="293">
        <f ca="1">ROUND((C5+C19+C20)*F27,0)</f>
        <v>7459422</v>
      </c>
      <c r="D28" s="279"/>
      <c r="E28" s="280"/>
      <c r="F28" s="290"/>
      <c r="G28" s="291"/>
    </row>
    <row r="29" spans="1:7" s="258" customFormat="1" ht="13.5" customHeight="1">
      <c r="A29" s="951" t="s">
        <v>792</v>
      </c>
      <c r="B29" s="292" t="s">
        <v>2369</v>
      </c>
      <c r="C29" s="282">
        <f ca="1">ROUND(C21*F27,4)</f>
        <v>8.9999999999999993E-3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38294582</v>
      </c>
      <c r="D31" s="274"/>
      <c r="E31" s="255"/>
      <c r="F31" s="294"/>
      <c r="G31" s="278" t="s">
        <v>2374</v>
      </c>
    </row>
    <row r="32" spans="1:7" s="252" customFormat="1" ht="16.2">
      <c r="A32" s="296" t="s">
        <v>2441</v>
      </c>
      <c r="B32" s="297"/>
      <c r="C32" s="297"/>
      <c r="D32" s="297"/>
      <c r="E32" s="297"/>
      <c r="F32" s="297"/>
      <c r="G32" s="298"/>
    </row>
    <row r="33" spans="1:7" s="258" customFormat="1" ht="13.5" customHeight="1">
      <c r="A33" s="299" t="s">
        <v>782</v>
      </c>
      <c r="B33" s="254" t="s">
        <v>2442</v>
      </c>
      <c r="C33" s="300">
        <f ca="1">SUM(C34:C38)</f>
        <v>501203277</v>
      </c>
      <c r="D33" s="276"/>
      <c r="E33" s="256"/>
      <c r="F33" s="285"/>
      <c r="G33" s="278"/>
    </row>
    <row r="34" spans="1:7" s="302" customFormat="1" ht="13.5" customHeight="1">
      <c r="A34" s="951" t="s">
        <v>791</v>
      </c>
      <c r="B34" s="259" t="s">
        <v>2377</v>
      </c>
      <c r="C34" s="264">
        <f ca="1">ROUND(IF(B1="",SUMPRODUCT('数据-取费表'!K6:K14,'数据-取费表'!L6:L14),INDIRECT("'数据-取费表'!l"&amp;$G$1)*INDIRECT("'数据-取费表'!k"&amp;$G$1)+'数据-取费表'!L14*INDIRECT("'数据-取费表'!S"&amp;$G$1)),0)</f>
        <v>459819520</v>
      </c>
      <c r="D34" s="261"/>
      <c r="E34" s="264"/>
      <c r="F34" s="301"/>
      <c r="G34" s="263"/>
    </row>
    <row r="35" spans="1:7" ht="13.5" customHeight="1">
      <c r="A35" s="951" t="s">
        <v>796</v>
      </c>
      <c r="B35" s="259" t="s">
        <v>2379</v>
      </c>
      <c r="C35" s="264">
        <f ca="1">ROUND(C34*F35,0)</f>
        <v>22990976</v>
      </c>
      <c r="D35" s="264"/>
      <c r="E35" s="264"/>
      <c r="F35" s="303">
        <f>'数据-取费表'!B33</f>
        <v>0.05</v>
      </c>
      <c r="G35" s="263" t="s">
        <v>2380</v>
      </c>
    </row>
    <row r="36" spans="1:7" ht="24">
      <c r="A36" s="951"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1" t="s">
        <v>798</v>
      </c>
      <c r="B37" s="259" t="s">
        <v>2383</v>
      </c>
      <c r="C37" s="293">
        <f ca="1">ROUND(E37*D37,0)</f>
        <v>11495488</v>
      </c>
      <c r="D37" s="261">
        <f ca="1">D19</f>
        <v>57477.440000000002</v>
      </c>
      <c r="E37" s="293">
        <f>'数据-取费表'!B35</f>
        <v>200</v>
      </c>
      <c r="F37" s="303"/>
      <c r="G37" s="305"/>
    </row>
    <row r="38" spans="1:7" ht="13.5" customHeight="1">
      <c r="A38" s="951" t="s">
        <v>799</v>
      </c>
      <c r="B38" s="259" t="s">
        <v>2385</v>
      </c>
      <c r="C38" s="264">
        <f ca="1">ROUND(C34*F38,0)</f>
        <v>6897293</v>
      </c>
      <c r="D38" s="264"/>
      <c r="E38" s="264"/>
      <c r="F38" s="303">
        <f>'数据-取费表'!B36</f>
        <v>1.4999999999999999E-2</v>
      </c>
      <c r="G38" s="263" t="s">
        <v>2380</v>
      </c>
    </row>
    <row r="39" spans="1:7" s="258" customFormat="1" ht="13.5" customHeight="1">
      <c r="A39" s="299" t="s">
        <v>2386</v>
      </c>
      <c r="B39" s="254" t="s">
        <v>2387</v>
      </c>
      <c r="C39" s="276">
        <f ca="1">ROUND(C33*F20,0)</f>
        <v>15036098</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24521371</v>
      </c>
      <c r="D41" s="279">
        <f ca="1">C44</f>
        <v>1.4E-3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ROUND(IF('数据-取费表'!B22&lt;=1,C33*F22*'数据-取费表'!B20/2,C33*(POWER((1+F22),'数据-取费表'!B20/2)-1)),0)</f>
        <v>23807156</v>
      </c>
      <c r="D42" s="282"/>
      <c r="E42" s="282"/>
      <c r="F42" s="283"/>
      <c r="G42" s="3148" t="s">
        <v>2443</v>
      </c>
    </row>
    <row r="43" spans="1:7" ht="13.5" customHeight="1">
      <c r="A43" s="951" t="s">
        <v>792</v>
      </c>
      <c r="B43" s="259" t="s">
        <v>2397</v>
      </c>
      <c r="C43" s="282">
        <f ca="1">ROUND(IF('数据-取费表'!B22&lt;=1,C39*F22*'数据-取费表'!B20/2,C39*(POWER((1+F22),'数据-取费表'!B20/2)-1)),0)</f>
        <v>714215</v>
      </c>
      <c r="D43" s="282"/>
      <c r="E43" s="282"/>
      <c r="F43" s="283"/>
      <c r="G43" s="3149"/>
    </row>
    <row r="44" spans="1:7" ht="13.5" customHeight="1">
      <c r="A44" s="951" t="s">
        <v>793</v>
      </c>
      <c r="B44" s="259" t="s">
        <v>2398</v>
      </c>
      <c r="C44" s="282">
        <f ca="1">ROUND(IF('数据-取费表'!B22&lt;=1,C40*F22*'数据-取费表'!B20/2,C40*(POWER((1+F22),'数据-取费表'!B20/2)-1)),4)</f>
        <v>1.4E-3</v>
      </c>
      <c r="D44" s="282"/>
      <c r="E44" s="282"/>
      <c r="F44" s="283"/>
      <c r="G44" s="3150"/>
    </row>
    <row r="45" spans="1:7" s="258" customFormat="1" ht="13.5" customHeight="1">
      <c r="A45" s="299" t="s">
        <v>2399</v>
      </c>
      <c r="B45" s="288" t="s">
        <v>2365</v>
      </c>
      <c r="C45" s="289">
        <f ca="1">C46</f>
        <v>154871813</v>
      </c>
      <c r="D45" s="279">
        <f ca="1">C47</f>
        <v>8.9999999999999993E-3</v>
      </c>
      <c r="E45" s="280" t="s">
        <v>2391</v>
      </c>
      <c r="F45" s="290"/>
      <c r="G45" s="291" t="s">
        <v>2400</v>
      </c>
    </row>
    <row r="46" spans="1:7" s="258" customFormat="1" ht="13.5" customHeight="1">
      <c r="A46" s="951" t="s">
        <v>791</v>
      </c>
      <c r="B46" s="292" t="s">
        <v>2401</v>
      </c>
      <c r="C46" s="293">
        <f ca="1">ROUND((C33+C39)*F27,0)</f>
        <v>154871813</v>
      </c>
      <c r="D46" s="307"/>
      <c r="E46" s="280"/>
      <c r="F46" s="290"/>
      <c r="G46" s="291"/>
    </row>
    <row r="47" spans="1:7" s="258" customFormat="1" ht="13.5" customHeight="1">
      <c r="A47" s="951" t="s">
        <v>792</v>
      </c>
      <c r="B47" s="292" t="s">
        <v>2402</v>
      </c>
      <c r="C47" s="282">
        <f ca="1">ROUND(C40*F27,4)</f>
        <v>8.9999999999999993E-3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767552200</v>
      </c>
      <c r="D49" s="276"/>
      <c r="E49" s="276"/>
      <c r="F49" s="308"/>
      <c r="G49" s="278" t="s">
        <v>2406</v>
      </c>
    </row>
    <row r="50" spans="1:7" s="302" customFormat="1">
      <c r="A50" s="299" t="s">
        <v>2407</v>
      </c>
      <c r="B50" s="254" t="s">
        <v>2408</v>
      </c>
      <c r="C50" s="276"/>
      <c r="D50" s="276"/>
      <c r="E50" s="276"/>
      <c r="F50" s="308">
        <f>IF('数据-取费表'!B24=0,'数据-取费表'!N16,1)</f>
        <v>0.82499999999999996</v>
      </c>
      <c r="G50" s="291"/>
    </row>
    <row r="51" spans="1:7" ht="16.5" customHeight="1">
      <c r="A51" s="299" t="s">
        <v>2410</v>
      </c>
      <c r="B51" s="254" t="s">
        <v>2445</v>
      </c>
      <c r="C51" s="276">
        <f ca="1">ROUND(C49*F50,0)</f>
        <v>633230565</v>
      </c>
      <c r="D51" s="276"/>
      <c r="E51" s="276"/>
      <c r="F51" s="308"/>
      <c r="G51" s="278" t="s">
        <v>2412</v>
      </c>
    </row>
    <row r="52" spans="1:7" s="252" customFormat="1" ht="16.8" thickBot="1">
      <c r="A52" s="309" t="s">
        <v>2413</v>
      </c>
      <c r="B52" s="310"/>
      <c r="C52" s="311">
        <f ca="1">C31+C51</f>
        <v>671525147</v>
      </c>
      <c r="D52" s="310"/>
      <c r="E52" s="310"/>
      <c r="F52" s="310"/>
      <c r="G52" s="312"/>
    </row>
    <row r="55" spans="1:7" ht="15">
      <c r="B55" s="314" t="s">
        <v>2414</v>
      </c>
      <c r="C55" s="315"/>
    </row>
    <row r="56" spans="1:7">
      <c r="B56" s="317" t="s">
        <v>1502</v>
      </c>
      <c r="C56" s="319">
        <f ca="1">1-C57</f>
        <v>5.7000000000000051E-2</v>
      </c>
    </row>
    <row r="57" spans="1:7">
      <c r="B57" s="317" t="s">
        <v>1503</v>
      </c>
      <c r="C57" s="318">
        <f ca="1">ROUND(C51/C52,3)</f>
        <v>0.94299999999999995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2446</v>
      </c>
      <c r="B1" s="1580"/>
      <c r="C1" s="1581"/>
      <c r="D1" s="1579"/>
      <c r="E1" s="320"/>
      <c r="F1" s="320"/>
      <c r="G1" s="1580"/>
      <c r="H1" s="320"/>
      <c r="I1" s="320"/>
      <c r="J1" s="320"/>
      <c r="K1" s="320">
        <f>MATCH(C1,'数据-取费表'!A6:A16,0)+5</f>
        <v>7</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6" customFormat="1" ht="16.5" customHeight="1">
      <c r="A4" s="953" t="s">
        <v>2449</v>
      </c>
      <c r="B4" s="954"/>
      <c r="C4" s="996">
        <f>SUM(C8:K8)</f>
        <v>0</v>
      </c>
      <c r="D4" s="954"/>
      <c r="E4" s="954"/>
      <c r="F4" s="954"/>
      <c r="G4" s="954"/>
      <c r="H4" s="954"/>
      <c r="I4" s="954"/>
      <c r="J4" s="954"/>
      <c r="K4" s="955"/>
    </row>
    <row r="5" spans="1:33" s="960" customFormat="1" ht="25.2">
      <c r="A5" s="957" t="s">
        <v>2450</v>
      </c>
      <c r="B5" s="958" t="s">
        <v>2451</v>
      </c>
      <c r="C5" s="2552" t="s">
        <v>2452</v>
      </c>
      <c r="D5" s="2552" t="s">
        <v>2453</v>
      </c>
      <c r="E5" s="2552" t="s">
        <v>2454</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2458</v>
      </c>
      <c r="B8" s="177" t="s">
        <v>2459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2461</v>
      </c>
      <c r="B10" s="8" t="s">
        <v>2462</v>
      </c>
      <c r="C10" s="966" t="s">
        <v>2463</v>
      </c>
      <c r="D10" s="967" t="s">
        <v>2464</v>
      </c>
      <c r="E10" s="967" t="s">
        <v>2465</v>
      </c>
      <c r="F10" s="967" t="s">
        <v>2466</v>
      </c>
      <c r="G10" s="8"/>
      <c r="H10" s="968"/>
      <c r="I10" s="968"/>
      <c r="J10" s="968"/>
      <c r="K10" s="969"/>
    </row>
    <row r="11" spans="1:33" s="975" customFormat="1" ht="13.5" customHeight="1">
      <c r="A11" s="971" t="s">
        <v>1324</v>
      </c>
      <c r="B11" s="972" t="s">
        <v>2467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1325</v>
      </c>
      <c r="B12" s="972" t="s">
        <v>2468</v>
      </c>
      <c r="C12" s="24">
        <f ca="1">ROUND(C11*F12,0)</f>
        <v>0</v>
      </c>
      <c r="D12" s="973"/>
      <c r="E12" s="375"/>
      <c r="F12" s="976">
        <f>'数据-取费表'!B33</f>
        <v>0.05</v>
      </c>
      <c r="G12" s="8" t="s">
        <v>2469</v>
      </c>
      <c r="H12" s="968"/>
      <c r="I12" s="968"/>
      <c r="J12" s="968"/>
      <c r="K12" s="969"/>
    </row>
    <row r="13" spans="1:33" s="975" customFormat="1" ht="13.5" customHeight="1">
      <c r="A13" s="971" t="s">
        <v>1326</v>
      </c>
      <c r="B13" s="972" t="s">
        <v>2470</v>
      </c>
      <c r="C13" s="24">
        <f ca="1">ROUND(IF(C1="",SUMIF('数据-取费表'!C:C,"住宅",'数据-取费表'!P:P)*F13,IF(INDIRECT("'数据-取费表'!c"&amp;$K$1)="住宅",INDIRECT("'数据-取费表'!P"&amp;$K$1)*F13,0)),0)</f>
        <v>0</v>
      </c>
      <c r="D13" s="1033"/>
      <c r="E13" s="375"/>
      <c r="F13" s="976">
        <f>'数据-取费表'!B34</f>
        <v>0</v>
      </c>
      <c r="G13" s="8" t="s">
        <v>2471</v>
      </c>
      <c r="H13" s="968"/>
      <c r="I13" s="968"/>
      <c r="J13" s="968"/>
      <c r="K13" s="969"/>
    </row>
    <row r="14" spans="1:33" s="977" customFormat="1" ht="13.5" customHeight="1">
      <c r="A14" s="971" t="s">
        <v>1327</v>
      </c>
      <c r="B14" s="972" t="s">
        <v>2472</v>
      </c>
      <c r="C14" s="24">
        <f ca="1">ROUND(D14*E14*F11/10000,0)</f>
        <v>0</v>
      </c>
      <c r="D14" s="1033">
        <f ca="1">IF(C1="",'数据-汇总表'!E3,INDIRECT("'数据-取费表'!K"&amp;$K$1)+INDIRECT("'数据-取费表'!S"&amp;$K$1))</f>
        <v>57477.440000000002</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1328</v>
      </c>
      <c r="B15" s="972" t="s">
        <v>2474</v>
      </c>
      <c r="C15" s="983">
        <f ca="1">ROUND(C11*F15,0)</f>
        <v>0</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57477.440000000002</v>
      </c>
      <c r="E17" s="24">
        <f>'数据-取费表'!B32</f>
        <v>0</v>
      </c>
      <c r="F17" s="978"/>
      <c r="G17" s="140" t="s">
        <v>2478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1329</v>
      </c>
      <c r="B18" s="972" t="s">
        <v>2479</v>
      </c>
      <c r="C18" s="24">
        <f ca="1">C19+C20-IF(C1="",'数据-取费表'!B29,IF(G18="已全部缴纳",C19+C20,H18))</f>
        <v>0</v>
      </c>
      <c r="D18" s="1033"/>
      <c r="E18" s="24"/>
      <c r="F18" s="976"/>
      <c r="G18" s="2554"/>
      <c r="H18" s="1576"/>
      <c r="I18" s="2555" t="s">
        <v>2480</v>
      </c>
      <c r="J18" s="979"/>
      <c r="K18" s="980"/>
    </row>
    <row r="19" spans="1:33" s="975" customFormat="1" ht="13.5" customHeight="1">
      <c r="A19" s="971" t="s">
        <v>805</v>
      </c>
      <c r="B19" s="972" t="s">
        <v>2481</v>
      </c>
      <c r="C19" s="24">
        <f ca="1">ROUND(D19*E19/10000,0)</f>
        <v>0</v>
      </c>
      <c r="D19" s="1033">
        <f ca="1">IF(C1="",'数据-汇总表'!E5,IF(INDIRECT("'数据-取费表'!c"&amp;$K$1)="住宅",INDIRECT("'数据-取费表'!k"&amp;$K$1),0))</f>
        <v>0</v>
      </c>
      <c r="E19" s="24">
        <f>'数据-取费表'!B27</f>
        <v>220</v>
      </c>
      <c r="F19" s="976"/>
      <c r="G19" s="15"/>
      <c r="H19" s="1578"/>
      <c r="I19" s="981"/>
      <c r="J19" s="981"/>
      <c r="K19" s="982"/>
    </row>
    <row r="20" spans="1:33" s="975" customFormat="1" ht="13.5" customHeight="1">
      <c r="A20" s="971" t="s">
        <v>806</v>
      </c>
      <c r="B20" s="972" t="s">
        <v>2482</v>
      </c>
      <c r="C20" s="24">
        <f ca="1">ROUND(D20*E20/10000,0)</f>
        <v>1265</v>
      </c>
      <c r="D20" s="1033">
        <f ca="1">IF(C1="",'数据-汇总表'!E6,IF(INDIRECT("'数据-取费表'!c"&amp;$K$1)="住宅",INDIRECT("'数据-取费表'!s"&amp;$K$1),INDIRECT("'数据-取费表'!k"&amp;$K$1)+INDIRECT("'数据-取费表'!s"&amp;$K$1)))</f>
        <v>57477.440000000002</v>
      </c>
      <c r="E20" s="24">
        <f>'数据-取费表'!B28</f>
        <v>220</v>
      </c>
      <c r="F20" s="976"/>
      <c r="G20" s="15"/>
      <c r="H20" s="981"/>
      <c r="I20" s="981"/>
      <c r="J20" s="981"/>
      <c r="K20" s="982"/>
    </row>
    <row r="21" spans="1:33" s="975" customFormat="1" ht="13.5" customHeight="1">
      <c r="A21" s="961" t="s">
        <v>802</v>
      </c>
      <c r="B21" s="985" t="s">
        <v>2483</v>
      </c>
      <c r="C21" s="986">
        <f ca="1">C16+C17+C18</f>
        <v>0</v>
      </c>
      <c r="D21" s="987"/>
      <c r="E21" s="325"/>
      <c r="F21" s="325"/>
      <c r="G21" s="140" t="s">
        <v>2484</v>
      </c>
      <c r="H21" s="979"/>
      <c r="I21" s="979"/>
      <c r="J21" s="979"/>
      <c r="K21" s="980"/>
    </row>
    <row r="22" spans="1:33" s="975" customFormat="1" ht="13.5" customHeight="1">
      <c r="A22" s="961" t="s">
        <v>2456</v>
      </c>
      <c r="B22" s="985" t="s">
        <v>2485</v>
      </c>
      <c r="C22" s="986">
        <f ca="1">ROUND(C21*F22,0)</f>
        <v>0</v>
      </c>
      <c r="D22" s="325"/>
      <c r="E22" s="325"/>
      <c r="F22" s="988">
        <f>'数据-取费表'!B37</f>
        <v>0.03</v>
      </c>
      <c r="G22" s="8" t="s">
        <v>2486</v>
      </c>
      <c r="H22" s="968"/>
      <c r="I22" s="968"/>
      <c r="J22" s="968"/>
      <c r="K22" s="969"/>
    </row>
    <row r="23" spans="1:33" s="975" customFormat="1" ht="13.5" customHeight="1">
      <c r="A23" s="961" t="s">
        <v>2458</v>
      </c>
      <c r="B23" s="985" t="s">
        <v>2487</v>
      </c>
      <c r="C23" s="986">
        <f ca="1">ROUND(C4*F23*F11,0)</f>
        <v>0</v>
      </c>
      <c r="D23" s="325"/>
      <c r="E23" s="325"/>
      <c r="F23" s="988">
        <f>'数据-取费表'!B38</f>
        <v>0.03</v>
      </c>
      <c r="G23" s="8" t="s">
        <v>2488</v>
      </c>
      <c r="H23" s="968"/>
      <c r="I23" s="968"/>
      <c r="J23" s="968"/>
      <c r="K23" s="969"/>
    </row>
    <row r="24" spans="1:33" s="975" customFormat="1" ht="13.5" customHeight="1">
      <c r="A24" s="961" t="s">
        <v>2489</v>
      </c>
      <c r="B24" s="985" t="s">
        <v>2490</v>
      </c>
      <c r="C24" s="324">
        <f>ROUND(F24/(1+'数据-取费表'!C42),4)</f>
        <v>2.9000000000000001E-2</v>
      </c>
      <c r="D24" s="325" t="s">
        <v>15</v>
      </c>
      <c r="E24" s="325"/>
      <c r="F24" s="988">
        <f>IF(项目基本情况!B8="出让",0,'数据-取费表'!B48+'数据-取费表'!B49)</f>
        <v>3.0499999999999999E-2</v>
      </c>
      <c r="G24" s="8" t="s">
        <v>2491</v>
      </c>
      <c r="H24" s="990"/>
      <c r="I24" s="990"/>
      <c r="J24" s="990"/>
      <c r="K24" s="991"/>
    </row>
    <row r="25" spans="1:33" s="975" customFormat="1" ht="13.5" customHeight="1">
      <c r="A25" s="961" t="s">
        <v>2492</v>
      </c>
      <c r="B25" s="987" t="s">
        <v>2493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2496</v>
      </c>
      <c r="B28" s="2557" t="s">
        <v>2497</v>
      </c>
      <c r="C28" s="331">
        <f ca="1">C30</f>
        <v>0</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2498</v>
      </c>
      <c r="C29" s="328">
        <f ca="1">ROUND((1+C24)*F28*'数据-取费表'!B24/'数据-取费表'!B20,4)</f>
        <v>0</v>
      </c>
      <c r="D29" s="328"/>
      <c r="E29" s="329"/>
      <c r="F29" s="334"/>
      <c r="G29" s="140" t="s">
        <v>2499</v>
      </c>
      <c r="H29" s="979"/>
      <c r="I29" s="979"/>
      <c r="J29" s="979"/>
      <c r="K29" s="980"/>
    </row>
    <row r="30" spans="1:33" s="335" customFormat="1" ht="13.5" customHeight="1">
      <c r="A30" s="971" t="s">
        <v>804</v>
      </c>
      <c r="B30" s="994" t="s">
        <v>2500</v>
      </c>
      <c r="C30" s="336">
        <f ca="1">ROUND((C21+C22+C23)*F28,0)</f>
        <v>0</v>
      </c>
      <c r="D30" s="328"/>
      <c r="E30" s="329"/>
      <c r="F30" s="334"/>
      <c r="G30" s="140"/>
      <c r="H30" s="979"/>
      <c r="I30" s="979"/>
      <c r="J30" s="979"/>
      <c r="K30" s="980"/>
    </row>
    <row r="31" spans="1:33" s="975" customFormat="1" ht="13.5" customHeight="1" thickBot="1">
      <c r="A31" s="2558" t="s">
        <v>2501</v>
      </c>
      <c r="B31" s="1005" t="s">
        <v>2502</v>
      </c>
      <c r="C31" s="1006">
        <f>ROUND(C4*F31/(1+'数据-取费表'!C42),0)</f>
        <v>0</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0</v>
      </c>
      <c r="D32" s="1001"/>
      <c r="E32" s="1001"/>
      <c r="F32" s="1001"/>
      <c r="G32" s="1003" t="s">
        <v>2505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C6" sqref="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6" width="15.7773437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1578</v>
      </c>
      <c r="B1" s="782"/>
      <c r="C1" s="1836" t="s">
        <v>3054</v>
      </c>
      <c r="D1" s="1819" t="s">
        <v>70</v>
      </c>
      <c r="E1" s="1820" t="s">
        <v>1376</v>
      </c>
      <c r="F1" s="1283">
        <f ca="1">J53</f>
        <v>28.24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1504</v>
      </c>
      <c r="B2" s="1843">
        <f ca="1">C40+J29+L46</f>
        <v>139215</v>
      </c>
      <c r="C2" s="1844" t="s">
        <v>1505</v>
      </c>
      <c r="D2" s="1844"/>
      <c r="E2" s="1845"/>
      <c r="F2" s="1846"/>
      <c r="G2" s="1847"/>
      <c r="H2" s="1839"/>
      <c r="I2" s="1839"/>
      <c r="J2" s="1839"/>
      <c r="K2" s="1840"/>
      <c r="L2" s="1839"/>
      <c r="M2" s="1839"/>
    </row>
    <row r="3" spans="1:37" ht="18" customHeight="1" thickBot="1">
      <c r="A3" s="1848" t="s">
        <v>1506</v>
      </c>
      <c r="B3" s="1849">
        <f ca="1">IF(ISERROR(B2*10000/F43),0,ROUND(B2*10000/F43,0))</f>
        <v>24221</v>
      </c>
      <c r="C3" s="1844" t="s">
        <v>1507</v>
      </c>
      <c r="D3" s="1844"/>
      <c r="E3" s="1845"/>
      <c r="F3" s="1846"/>
      <c r="G3" s="1847"/>
      <c r="H3" s="744" t="s">
        <v>1577</v>
      </c>
      <c r="I3" s="1839"/>
      <c r="J3" s="1839"/>
      <c r="K3" s="1840"/>
      <c r="L3" s="1839"/>
      <c r="M3" s="1839"/>
    </row>
    <row r="4" spans="1:37" ht="18" customHeight="1">
      <c r="A4" s="340" t="s">
        <v>1385</v>
      </c>
      <c r="B4" s="341" t="s">
        <v>1386</v>
      </c>
      <c r="C4" s="341" t="s">
        <v>1387</v>
      </c>
      <c r="D4" s="341" t="s">
        <v>1388</v>
      </c>
      <c r="E4" s="342" t="s">
        <v>1389</v>
      </c>
      <c r="F4" s="343"/>
      <c r="G4" s="1850"/>
      <c r="H4" s="340" t="s">
        <v>1385</v>
      </c>
      <c r="I4" s="341" t="s">
        <v>1386</v>
      </c>
      <c r="J4" s="341" t="s">
        <v>1387</v>
      </c>
      <c r="K4" s="341" t="s">
        <v>1388</v>
      </c>
      <c r="L4" s="342" t="s">
        <v>1389</v>
      </c>
      <c r="M4" s="343"/>
    </row>
    <row r="5" spans="1:37" ht="18" customHeight="1">
      <c r="A5" s="344">
        <v>1</v>
      </c>
      <c r="B5" s="345" t="s">
        <v>1390</v>
      </c>
      <c r="C5" s="1292">
        <f ca="1">C6+C10+C12</f>
        <v>11184</v>
      </c>
      <c r="D5" s="1821" t="s">
        <v>1391</v>
      </c>
      <c r="E5" s="1293"/>
      <c r="F5" s="1294"/>
      <c r="G5" s="1850"/>
      <c r="H5" s="344">
        <v>1</v>
      </c>
      <c r="I5" s="345" t="s">
        <v>1390</v>
      </c>
      <c r="J5" s="1292">
        <f ca="1">J6+J10+J12</f>
        <v>0</v>
      </c>
      <c r="K5" s="1821" t="s">
        <v>1391</v>
      </c>
      <c r="L5" s="1293"/>
      <c r="M5" s="1294"/>
    </row>
    <row r="6" spans="1:37" ht="18" customHeight="1">
      <c r="A6" s="1291" t="s">
        <v>1032</v>
      </c>
      <c r="B6" s="3153" t="s">
        <v>1392</v>
      </c>
      <c r="C6" s="1296">
        <f ca="1">ROUND(F6*F8*F7*(1-F9)/10000,0)</f>
        <v>11184</v>
      </c>
      <c r="D6" s="164" t="s">
        <v>3016</v>
      </c>
      <c r="E6" s="347" t="s">
        <v>1394</v>
      </c>
      <c r="F6" s="348">
        <f ca="1">INDIRECT("'数据-取费表'!u"&amp;$G$1)</f>
        <v>111842500</v>
      </c>
      <c r="G6" s="1850"/>
      <c r="H6" s="1291" t="s">
        <v>1032</v>
      </c>
      <c r="I6" s="3153" t="s">
        <v>1392</v>
      </c>
      <c r="J6" s="346">
        <f ca="1">ROUND(M6*M8*M7*(1-M9)/10000,0)</f>
        <v>0</v>
      </c>
      <c r="K6" s="164" t="s">
        <v>3015</v>
      </c>
      <c r="L6" s="347" t="s">
        <v>1394</v>
      </c>
      <c r="M6" s="348">
        <f ca="1">INDIRECT("'数据-取费表'!z"&amp;$G$1)</f>
        <v>0</v>
      </c>
    </row>
    <row r="7" spans="1:37" ht="18" customHeight="1">
      <c r="A7" s="1295"/>
      <c r="B7" s="3154"/>
      <c r="C7" s="1297"/>
      <c r="D7" s="352"/>
      <c r="E7" s="1298" t="s">
        <v>1395</v>
      </c>
      <c r="F7" s="348">
        <f ca="1">IF(INDIRECT("'数据-取费表'!ah"&amp;$G$1)="",INDIRECT("'数据-取费表'!k"&amp;$G$1),INDIRECT("'数据-取费表'!ah"&amp;$G$1))</f>
        <v>1</v>
      </c>
      <c r="G7" s="1850"/>
      <c r="H7" s="349"/>
      <c r="I7" s="3154"/>
      <c r="J7" s="351"/>
      <c r="K7" s="352"/>
      <c r="L7" s="347" t="s">
        <v>1395</v>
      </c>
      <c r="M7" s="348">
        <f ca="1">F7</f>
        <v>1</v>
      </c>
    </row>
    <row r="8" spans="1:37" ht="18" customHeight="1">
      <c r="A8" s="349"/>
      <c r="B8" s="3154"/>
      <c r="C8" s="351"/>
      <c r="D8" s="352"/>
      <c r="E8" s="347" t="s">
        <v>1396</v>
      </c>
      <c r="F8" s="348">
        <f ca="1">INDIRECT("'数据-取费表'!ai"&amp;$G$1)</f>
        <v>1</v>
      </c>
      <c r="G8" s="1850"/>
      <c r="H8" s="349"/>
      <c r="I8" s="3154"/>
      <c r="J8" s="351"/>
      <c r="K8" s="352"/>
      <c r="L8" s="347" t="s">
        <v>1396</v>
      </c>
      <c r="M8" s="348">
        <f ca="1">INDIRECT("'数据-取费表'!ai"&amp;$G$1)</f>
        <v>1</v>
      </c>
    </row>
    <row r="9" spans="1:37" ht="18" customHeight="1">
      <c r="A9" s="349"/>
      <c r="B9" s="3155"/>
      <c r="C9" s="351"/>
      <c r="D9" s="352"/>
      <c r="E9" s="347" t="s">
        <v>1397</v>
      </c>
      <c r="F9" s="357">
        <f ca="1">INDIRECT("'数据-取费表'!w"&amp;$G$1)</f>
        <v>0</v>
      </c>
      <c r="G9" s="1850"/>
      <c r="H9" s="349"/>
      <c r="I9" s="3155"/>
      <c r="J9" s="351"/>
      <c r="K9" s="352"/>
      <c r="L9" s="358" t="s">
        <v>1397</v>
      </c>
      <c r="M9" s="359">
        <f ca="1">INDIRECT("'数据-取费表'!ab"&amp;$G$1)</f>
        <v>0</v>
      </c>
    </row>
    <row r="10" spans="1:37" ht="18" customHeight="1">
      <c r="A10" s="1291" t="s">
        <v>1036</v>
      </c>
      <c r="B10" s="1822" t="s">
        <v>1398</v>
      </c>
      <c r="C10" s="361">
        <f ca="1">ROUND(IF(F10="押一",C6/12*F11,IF(F10="押二",C6/12*2*F11,IF(F10="押三",C6/12*3*F11,C11*F11))),0)</f>
        <v>0</v>
      </c>
      <c r="D10" s="1823" t="s">
        <v>3025</v>
      </c>
      <c r="E10" s="358" t="s">
        <v>1399</v>
      </c>
      <c r="F10" s="1366" t="s">
        <v>3522</v>
      </c>
      <c r="G10" s="1850"/>
      <c r="H10" s="1291" t="s">
        <v>1036</v>
      </c>
      <c r="I10" s="1822" t="s">
        <v>1398</v>
      </c>
      <c r="J10" s="346">
        <f ca="1">ROUND(IF(M10="押一",J6/12*M11,IF(M10="押二",J6/12*2*M11,IF(M10="押三",J6/12*3*M11,J11*M11))),0)</f>
        <v>0</v>
      </c>
      <c r="K10" s="1823" t="s">
        <v>3024</v>
      </c>
      <c r="L10" s="358" t="s">
        <v>1399</v>
      </c>
      <c r="M10" s="1366" t="s">
        <v>1400</v>
      </c>
    </row>
    <row r="11" spans="1:37" ht="18" customHeight="1">
      <c r="A11" s="353"/>
      <c r="B11" s="1824" t="s">
        <v>1377</v>
      </c>
      <c r="C11" s="1178"/>
      <c r="D11" s="1825"/>
      <c r="E11" s="358" t="s">
        <v>1401</v>
      </c>
      <c r="F11" s="359">
        <f ca="1">'数据-取费表'!B39</f>
        <v>1.4999999999999999E-2</v>
      </c>
      <c r="G11" s="1850"/>
      <c r="H11" s="1299"/>
      <c r="I11" s="1824" t="s">
        <v>1377</v>
      </c>
      <c r="J11" s="1178"/>
      <c r="K11" s="748"/>
      <c r="L11" s="358" t="s">
        <v>1401</v>
      </c>
      <c r="M11" s="1056">
        <f ca="1">'数据-取费表'!B39</f>
        <v>1.4999999999999999E-2</v>
      </c>
    </row>
    <row r="12" spans="1:37" ht="18" customHeight="1" thickBot="1">
      <c r="A12" s="1333" t="s">
        <v>1072</v>
      </c>
      <c r="B12" s="1826" t="s">
        <v>1402</v>
      </c>
      <c r="C12" s="1334"/>
      <c r="D12" s="1335"/>
      <c r="E12" s="1340"/>
      <c r="F12" s="1336"/>
      <c r="G12" s="1850"/>
      <c r="H12" s="1333" t="s">
        <v>1072</v>
      </c>
      <c r="I12" s="1826" t="s">
        <v>1402</v>
      </c>
      <c r="J12" s="1334"/>
      <c r="K12" s="1348"/>
      <c r="L12" s="1340"/>
      <c r="M12" s="1349"/>
    </row>
    <row r="13" spans="1:37" ht="18" customHeight="1" thickTop="1">
      <c r="A13" s="1329">
        <v>2</v>
      </c>
      <c r="B13" s="1330" t="s">
        <v>1403</v>
      </c>
      <c r="C13" s="355">
        <f ca="1">ROUND(C29*F13,0)</f>
        <v>63325</v>
      </c>
      <c r="D13" s="1331" t="s">
        <v>1404</v>
      </c>
      <c r="E13" s="1331" t="s">
        <v>1405</v>
      </c>
      <c r="F13" s="1332">
        <f ca="1">INDIRECT("'数据-取费表'!y"&amp;$G$1)</f>
        <v>0.82499999999999996</v>
      </c>
      <c r="G13" s="1850"/>
      <c r="H13" s="1329">
        <v>2</v>
      </c>
      <c r="I13" s="1330" t="s">
        <v>1403</v>
      </c>
      <c r="J13" s="1290">
        <f ca="1">ROUND(J14*J15,0)</f>
        <v>0</v>
      </c>
      <c r="K13" s="1337" t="s">
        <v>1404</v>
      </c>
      <c r="L13" s="1851"/>
      <c r="M13" s="1852"/>
    </row>
    <row r="14" spans="1:37" ht="18" customHeight="1">
      <c r="A14" s="1201" t="s">
        <v>1031</v>
      </c>
      <c r="B14" s="347" t="s">
        <v>1406</v>
      </c>
      <c r="C14" s="363">
        <f ca="1">INDIRECT("'数据-取费表'!m"&amp;$G$1)+INDIRECT("'数据-取费表'!t"&amp;$G$1)</f>
        <v>45982</v>
      </c>
      <c r="D14" s="1799" t="s">
        <v>1407</v>
      </c>
      <c r="E14" s="1793"/>
      <c r="F14" s="364"/>
      <c r="G14" s="1850"/>
      <c r="H14" s="1201" t="s">
        <v>1032</v>
      </c>
      <c r="I14" s="347" t="s">
        <v>1408</v>
      </c>
      <c r="J14" s="24">
        <f ca="1">C29</f>
        <v>76757</v>
      </c>
      <c r="K14" s="15"/>
      <c r="L14" s="979"/>
      <c r="M14" s="980"/>
    </row>
    <row r="15" spans="1:37" s="1857" customFormat="1" ht="18" customHeight="1" thickBot="1">
      <c r="A15" s="1201" t="s">
        <v>1033</v>
      </c>
      <c r="B15" s="347" t="s">
        <v>1409</v>
      </c>
      <c r="C15" s="24">
        <f ca="1">ROUND(C14*F15,0)</f>
        <v>2299</v>
      </c>
      <c r="D15" s="365" t="s">
        <v>1410</v>
      </c>
      <c r="E15" s="365" t="s">
        <v>1411</v>
      </c>
      <c r="F15" s="366">
        <f>'数据-取费表'!B33</f>
        <v>0.05</v>
      </c>
      <c r="G15" s="1853"/>
      <c r="H15" s="1339" t="s">
        <v>1036</v>
      </c>
      <c r="I15" s="1340" t="s">
        <v>1405</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1378</v>
      </c>
      <c r="B16" s="347" t="s">
        <v>1412</v>
      </c>
      <c r="C16" s="24">
        <f ca="1">ROUND(INDIRECT("'数据-取费表'!m"&amp;$G$1)*F16,0)</f>
        <v>0</v>
      </c>
      <c r="D16" s="347" t="s">
        <v>1410</v>
      </c>
      <c r="E16" s="347" t="s">
        <v>1411</v>
      </c>
      <c r="F16" s="367">
        <f ca="1">IF(INDIRECT("'数据-取费表'!c"&amp;$G$1)="住宅",'数据-取费表'!B34,0)</f>
        <v>0</v>
      </c>
      <c r="G16" s="1850"/>
      <c r="H16" s="1329" t="s">
        <v>1027</v>
      </c>
      <c r="I16" s="1330" t="s">
        <v>1413</v>
      </c>
      <c r="J16" s="355">
        <f ca="1">ROUND(J17+J22+J23+J24,0)</f>
        <v>1976</v>
      </c>
      <c r="K16" s="1337" t="s">
        <v>1414</v>
      </c>
      <c r="L16" s="1338"/>
      <c r="M16" s="1294"/>
    </row>
    <row r="17" spans="1:37" s="1857" customFormat="1" ht="18" customHeight="1">
      <c r="A17" s="1201" t="s">
        <v>1379</v>
      </c>
      <c r="B17" s="347" t="s">
        <v>1415</v>
      </c>
      <c r="C17" s="24">
        <f ca="1">ROUND(F17*(F43+INDIRECT("'数据-取费表'!S"&amp;$G$1))/10000,0)</f>
        <v>1150</v>
      </c>
      <c r="D17" s="347" t="s">
        <v>1416</v>
      </c>
      <c r="E17" s="347" t="s">
        <v>1417</v>
      </c>
      <c r="F17" s="26">
        <f>'数据-取费表'!B35</f>
        <v>200</v>
      </c>
      <c r="G17" s="1853"/>
      <c r="H17" s="1201" t="s">
        <v>1032</v>
      </c>
      <c r="I17" s="347" t="s">
        <v>1418</v>
      </c>
      <c r="J17" s="24">
        <f ca="1">ROUND(IF(项目基本情况!B11="自然人",J6*M17/(1+'数据-取费表'!C42),J18+J19+J20),1)</f>
        <v>824.8</v>
      </c>
      <c r="K17" s="1799" t="s">
        <v>1419</v>
      </c>
      <c r="L17" s="1797" t="s">
        <v>1420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1380</v>
      </c>
      <c r="B18" s="347" t="s">
        <v>1421</v>
      </c>
      <c r="C18" s="24">
        <f ca="1">ROUND(C14*F18,0)</f>
        <v>690</v>
      </c>
      <c r="D18" s="347" t="s">
        <v>1410</v>
      </c>
      <c r="E18" s="347" t="s">
        <v>1411</v>
      </c>
      <c r="F18" s="367">
        <f>'数据-取费表'!B36</f>
        <v>1.4999999999999999E-2</v>
      </c>
      <c r="G18" s="1853"/>
      <c r="H18" s="1201" t="s">
        <v>1031</v>
      </c>
      <c r="I18" s="347" t="s">
        <v>1422</v>
      </c>
      <c r="J18" s="24">
        <f ca="1">ROUND(J6*M18/(1+'数据-取费表'!C42),2)</f>
        <v>0</v>
      </c>
      <c r="K18" s="1797" t="s">
        <v>1423</v>
      </c>
      <c r="L18" s="347" t="s">
        <v>1411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1424</v>
      </c>
      <c r="C19" s="24">
        <f ca="1">SUM(C14:C18)</f>
        <v>50121</v>
      </c>
      <c r="D19" s="140" t="s">
        <v>1425</v>
      </c>
      <c r="E19" s="1817"/>
      <c r="F19" s="26"/>
      <c r="G19" s="1850"/>
      <c r="H19" s="1201" t="s">
        <v>1033</v>
      </c>
      <c r="I19" s="347" t="s">
        <v>1426</v>
      </c>
      <c r="J19" s="24">
        <f ca="1">IF(K19="按租金收入计税",ROUND(J6*M19/(1+'数据-取费表'!C42),2),ROUND(C29*M19*0.7,2))</f>
        <v>644.76</v>
      </c>
      <c r="K19" s="1827" t="s">
        <v>1427</v>
      </c>
      <c r="L19" s="347" t="s">
        <v>1411</v>
      </c>
      <c r="M19" s="367">
        <f>IF(K19="按租金收入计税",'数据-取费表'!B51,'数据-取费表'!B50)</f>
        <v>1.2E-2</v>
      </c>
    </row>
    <row r="20" spans="1:37" s="1857" customFormat="1" ht="18" customHeight="1">
      <c r="A20" s="1201" t="s">
        <v>1036</v>
      </c>
      <c r="B20" s="347" t="s">
        <v>1428</v>
      </c>
      <c r="C20" s="24">
        <f ca="1">ROUND(C19*F20,0)</f>
        <v>1504</v>
      </c>
      <c r="D20" s="369" t="s">
        <v>1429</v>
      </c>
      <c r="E20" s="347" t="s">
        <v>1411</v>
      </c>
      <c r="F20" s="367">
        <f>'数据-取费表'!B37</f>
        <v>0.03</v>
      </c>
      <c r="G20" s="1853"/>
      <c r="H20" s="1201" t="s">
        <v>1378</v>
      </c>
      <c r="I20" s="164" t="s">
        <v>1430</v>
      </c>
      <c r="J20" s="25">
        <f ca="1">ROUND(M20*M21/10000,2)</f>
        <v>180</v>
      </c>
      <c r="K20" s="370" t="s">
        <v>1431</v>
      </c>
      <c r="L20" s="347" t="s">
        <v>1432</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1433</v>
      </c>
      <c r="C21" s="24" t="s">
        <v>18</v>
      </c>
      <c r="D21" s="369" t="s">
        <v>1434</v>
      </c>
      <c r="E21" s="347" t="s">
        <v>1435</v>
      </c>
      <c r="F21" s="367">
        <f>'数据-取费表'!B38</f>
        <v>0.03</v>
      </c>
      <c r="G21" s="1853"/>
      <c r="H21" s="372"/>
      <c r="I21" s="356"/>
      <c r="J21" s="29"/>
      <c r="K21" s="373"/>
      <c r="L21" s="347" t="s">
        <v>1436</v>
      </c>
      <c r="M21" s="348">
        <f ca="1">INDIRECT("'数据-取费表'!r"&amp;$G$1)</f>
        <v>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1381</v>
      </c>
      <c r="B22" s="347" t="s">
        <v>1437</v>
      </c>
      <c r="C22" s="24"/>
      <c r="D22" s="140" t="str">
        <f>IF(F23&lt;=1,"单利计息。","复利计息。")&amp;"建造成本、管理费用、销售费用产生的利息。"</f>
        <v>复利计息。建造成本、管理费用、销售费用产生的利息。</v>
      </c>
      <c r="E22" s="1817"/>
      <c r="F22" s="26"/>
      <c r="G22" s="1850"/>
      <c r="H22" s="1201" t="s">
        <v>1036</v>
      </c>
      <c r="I22" s="347" t="s">
        <v>1438</v>
      </c>
      <c r="J22" s="24">
        <f ca="1">ROUND(J14*M22,1)</f>
        <v>1151.4000000000001</v>
      </c>
      <c r="K22" s="1797" t="s">
        <v>1439</v>
      </c>
      <c r="L22" s="347" t="s">
        <v>1411</v>
      </c>
      <c r="M22" s="374">
        <f ca="1">INDIRECT("'数据-取费表'!Ak"&amp;$G$1)</f>
        <v>1.4999999999999999E-2</v>
      </c>
    </row>
    <row r="23" spans="1:37" s="1857" customFormat="1" ht="18" customHeight="1">
      <c r="A23" s="1201" t="s">
        <v>1031</v>
      </c>
      <c r="B23" s="347" t="s">
        <v>1440</v>
      </c>
      <c r="C23" s="24">
        <f ca="1">IF('数据-取费表'!B22&lt;=1,ROUND(C19*F24*F23/2,0)+ROUND(C20*F24*F23/2,0),ROUND(C19*(POWER((1+F24),F23/2)-1),0)+ROUND(C20*(POWER((1+F24),F23/2)-1),0))</f>
        <v>2452</v>
      </c>
      <c r="D23" s="375" t="str">
        <f>IF(F23&lt;=1,"(建造成本+管理费用)×利率×(建设周期÷2)","(建造成本+管理费用)×((1+利率)^(建设周期÷2)-1)")</f>
        <v>(建造成本+管理费用)×((1+利率)^(建设周期÷2)-1)</v>
      </c>
      <c r="E23" s="347" t="s">
        <v>1441</v>
      </c>
      <c r="F23" s="371">
        <f>'数据-取费表'!B20</f>
        <v>2</v>
      </c>
      <c r="G23" s="1853"/>
      <c r="H23" s="1201" t="s">
        <v>1072</v>
      </c>
      <c r="I23" s="347" t="s">
        <v>1442</v>
      </c>
      <c r="J23" s="24">
        <f ca="1">ROUND(J13*M23,1)</f>
        <v>0</v>
      </c>
      <c r="K23" s="1797" t="s">
        <v>1443</v>
      </c>
      <c r="L23" s="347" t="s">
        <v>1444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1445</v>
      </c>
      <c r="B24" s="347" t="s">
        <v>1446</v>
      </c>
      <c r="C24" s="24">
        <f ca="1">ROUND(IF('数据-取费表'!B22&lt;=1,F21*F24*F23/2,F21*(POWER((1+F24),F23/2)-1)),4)</f>
        <v>1.4E-3</v>
      </c>
      <c r="D24" s="375" t="str">
        <f>IF(F23&lt;=1,"销售费用×利率×(建设周期÷2)","销售费用×((1+利率)^(建设周期÷2)-1)")</f>
        <v>销售费用×((1+利率)^(建设周期÷2)-1)</v>
      </c>
      <c r="E24" s="347" t="s">
        <v>1447</v>
      </c>
      <c r="F24" s="377">
        <f ca="1">'数据-取费表'!B40</f>
        <v>4.7500000000000001E-2</v>
      </c>
      <c r="G24" s="1853"/>
      <c r="H24" s="1339" t="s">
        <v>1382</v>
      </c>
      <c r="I24" s="1340" t="s">
        <v>1428</v>
      </c>
      <c r="J24" s="1341">
        <f ca="1">ROUND(J5*M24,1)</f>
        <v>0</v>
      </c>
      <c r="K24" s="1342" t="s">
        <v>1448</v>
      </c>
      <c r="L24" s="1340" t="s">
        <v>1444</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1449</v>
      </c>
      <c r="B25" s="347" t="s">
        <v>1450</v>
      </c>
      <c r="C25" s="24"/>
      <c r="D25" s="140" t="s">
        <v>1451</v>
      </c>
      <c r="E25" s="1817"/>
      <c r="F25" s="26"/>
      <c r="G25" s="1850"/>
      <c r="H25" s="1329" t="s">
        <v>1028</v>
      </c>
      <c r="I25" s="1344" t="s">
        <v>1452</v>
      </c>
      <c r="J25" s="355">
        <f ca="1">J5-J16</f>
        <v>-1976</v>
      </c>
      <c r="K25" s="1345" t="s">
        <v>1453</v>
      </c>
      <c r="L25" s="1346"/>
      <c r="M25" s="1347"/>
    </row>
    <row r="26" spans="1:37">
      <c r="A26" s="1201" t="s">
        <v>1031</v>
      </c>
      <c r="B26" s="347" t="s">
        <v>1454</v>
      </c>
      <c r="C26" s="24">
        <f ca="1">ROUND((C19+C20)*F26,0)</f>
        <v>15488</v>
      </c>
      <c r="D26" s="369" t="s">
        <v>1455</v>
      </c>
      <c r="E26" s="358" t="s">
        <v>1456</v>
      </c>
      <c r="F26" s="357">
        <f ca="1">INDIRECT("'数据-取费表'!q"&amp;$G$1)</f>
        <v>0.3</v>
      </c>
      <c r="G26" s="1850"/>
      <c r="H26" s="344" t="s">
        <v>1029</v>
      </c>
      <c r="I26" s="345" t="s">
        <v>1457</v>
      </c>
      <c r="J26" s="346">
        <f ca="1">IF(J5&lt;&gt;0,ROUND(J25*(1-((1+M28)/(1+M26))^M27)/(M26-M28),0),0)</f>
        <v>0</v>
      </c>
      <c r="K26" s="370" t="s">
        <v>1458</v>
      </c>
      <c r="L26" s="347" t="s">
        <v>1459</v>
      </c>
      <c r="M26" s="357">
        <f ca="1">INDIRECT("'数据-取费表'!I"&amp;$G$1)</f>
        <v>0.06</v>
      </c>
    </row>
    <row r="27" spans="1:37" ht="18" customHeight="1">
      <c r="A27" s="1201" t="s">
        <v>1033</v>
      </c>
      <c r="B27" s="347" t="s">
        <v>1460</v>
      </c>
      <c r="C27" s="24">
        <f ca="1">ROUND(F21*F26,4)</f>
        <v>8.9999999999999993E-3</v>
      </c>
      <c r="D27" s="369" t="s">
        <v>1461</v>
      </c>
      <c r="E27" s="365"/>
      <c r="F27" s="366"/>
      <c r="G27" s="1850"/>
      <c r="H27" s="349"/>
      <c r="I27" s="350"/>
      <c r="J27" s="351"/>
      <c r="K27" s="378" t="s">
        <v>1462</v>
      </c>
      <c r="L27" s="347" t="s">
        <v>1463</v>
      </c>
      <c r="M27" s="379">
        <f ca="1">INDIRECT("'数据-取费表'!ag"&amp;$G$1)</f>
        <v>0</v>
      </c>
    </row>
    <row r="28" spans="1:37" s="1857" customFormat="1" ht="18" customHeight="1">
      <c r="A28" s="1201" t="s">
        <v>1034</v>
      </c>
      <c r="B28" s="347" t="s">
        <v>1464</v>
      </c>
      <c r="C28" s="24">
        <f>ROUND(F28/(1+'数据-取费表'!C42),4)</f>
        <v>5.33E-2</v>
      </c>
      <c r="D28" s="369" t="s">
        <v>1465</v>
      </c>
      <c r="E28" s="347" t="s">
        <v>1411</v>
      </c>
      <c r="F28" s="367">
        <f>'数据-取费表'!B41</f>
        <v>5.6000000000000001E-2</v>
      </c>
      <c r="G28" s="1853"/>
      <c r="H28" s="353"/>
      <c r="I28" s="354"/>
      <c r="J28" s="355"/>
      <c r="K28" s="373"/>
      <c r="L28" s="347" t="s">
        <v>1466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1467</v>
      </c>
      <c r="C29" s="1341">
        <f ca="1">ROUND((C19+C20+C23+C26)/(1-F21-C24-C27-C28),0)</f>
        <v>76757</v>
      </c>
      <c r="D29" s="1342"/>
      <c r="E29" s="1340"/>
      <c r="F29" s="1343"/>
      <c r="G29" s="1853"/>
      <c r="H29" s="380" t="s">
        <v>1030</v>
      </c>
      <c r="I29" s="381" t="s">
        <v>1468</v>
      </c>
      <c r="J29" s="382">
        <f ca="1">ROUND(J26/(1+F40)^F41,0)</f>
        <v>0</v>
      </c>
      <c r="K29" s="383" t="s">
        <v>1469</v>
      </c>
      <c r="L29" s="384"/>
      <c r="M29" s="385">
        <f ca="1">INDIRECT("'数据-取费表'!k"&amp;$G$1)</f>
        <v>57477.440000000002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1413</v>
      </c>
      <c r="C30" s="355">
        <f ca="1">ROUND(C31+C36+C37+C38,0)</f>
        <v>2779</v>
      </c>
      <c r="D30" s="1337" t="s">
        <v>1414</v>
      </c>
      <c r="E30" s="1338"/>
      <c r="F30" s="1294"/>
      <c r="G30" s="1850"/>
      <c r="H30" s="745"/>
      <c r="I30" s="746"/>
      <c r="J30" s="747"/>
      <c r="K30" s="748"/>
      <c r="L30" s="749"/>
      <c r="M30" s="750"/>
    </row>
    <row r="31" spans="1:37" ht="18" customHeight="1">
      <c r="A31" s="1201" t="s">
        <v>1032</v>
      </c>
      <c r="B31" s="347" t="s">
        <v>1418</v>
      </c>
      <c r="C31" s="24">
        <f ca="1">ROUND(IF(项目基本情况!B11="自然人",C6*F31/(1+'数据-取费表'!C42),C32+C33+C34),1)</f>
        <v>1421.2</v>
      </c>
      <c r="D31" s="1799" t="s">
        <v>1419</v>
      </c>
      <c r="E31" s="1797" t="s">
        <v>1470</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1422</v>
      </c>
      <c r="C32" s="24">
        <f ca="1">IF(项目基本情况!B11="自然人","——",ROUND(C6*F32/(1+'数据-取费表'!C42),2))</f>
        <v>596.48</v>
      </c>
      <c r="D32" s="1797" t="s">
        <v>1423</v>
      </c>
      <c r="E32" s="347" t="s">
        <v>1411</v>
      </c>
      <c r="F32" s="377">
        <f>'数据-取费表'!B41</f>
        <v>5.6000000000000001E-2</v>
      </c>
      <c r="G32" s="1850"/>
      <c r="H32" s="745"/>
      <c r="I32" s="746"/>
      <c r="J32" s="747"/>
      <c r="K32" s="748"/>
      <c r="L32" s="749"/>
      <c r="M32" s="750"/>
    </row>
    <row r="33" spans="1:18" ht="18" customHeight="1">
      <c r="A33" s="1201" t="s">
        <v>1033</v>
      </c>
      <c r="B33" s="347" t="s">
        <v>1426</v>
      </c>
      <c r="C33" s="24">
        <f ca="1">IF(项目基本情况!B11="自然人","——",IF(D33="按租金收入计税",ROUND(C6*F33/(1+'数据-取费表'!C42),2),IF(D33="按房产原值计税",ROUND(C29*F33*0.7,2),INDIRECT("'数据-取费表'!Aj"&amp;$G$1))))</f>
        <v>644.76</v>
      </c>
      <c r="D33" s="1827" t="s">
        <v>1427</v>
      </c>
      <c r="E33" s="347" t="s">
        <v>1411</v>
      </c>
      <c r="F33" s="367">
        <f>IF(D33="按票据","——",IF(D33="按租金收入计税",'数据-取费表'!B51,'数据-取费表'!B50))</f>
        <v>1.2E-2</v>
      </c>
      <c r="G33" s="1850"/>
      <c r="H33" s="1858"/>
      <c r="I33" s="1859"/>
      <c r="J33" s="1860"/>
      <c r="K33" s="1861"/>
      <c r="L33" s="1858"/>
      <c r="M33" s="1858"/>
    </row>
    <row r="34" spans="1:18" ht="18" customHeight="1">
      <c r="A34" s="1291" t="s">
        <v>1378</v>
      </c>
      <c r="B34" s="164" t="s">
        <v>1430</v>
      </c>
      <c r="C34" s="25">
        <f ca="1">IF(项目基本情况!B11="自然人","——",ROUND(F34*F35/10000,2))</f>
        <v>180</v>
      </c>
      <c r="D34" s="370" t="s">
        <v>1431</v>
      </c>
      <c r="E34" s="347" t="s">
        <v>1432</v>
      </c>
      <c r="F34" s="371">
        <f>'数据-取费表'!B52</f>
        <v>18</v>
      </c>
      <c r="G34" s="1850"/>
      <c r="H34" s="745"/>
      <c r="I34" s="1859"/>
      <c r="J34" s="1860"/>
      <c r="K34" s="1862"/>
      <c r="L34" s="1863"/>
      <c r="M34" s="1863"/>
    </row>
    <row r="35" spans="1:18" ht="18" customHeight="1">
      <c r="A35" s="1353"/>
      <c r="B35" s="1351"/>
      <c r="C35" s="29"/>
      <c r="D35" s="373"/>
      <c r="E35" s="347" t="s">
        <v>1436</v>
      </c>
      <c r="F35" s="348">
        <f ca="1">INDIRECT("'数据-取费表'!r"&amp;$G$1)</f>
        <v>99999.9</v>
      </c>
      <c r="G35" s="1850"/>
      <c r="H35" s="745"/>
      <c r="I35" s="1859"/>
      <c r="J35" s="1860"/>
      <c r="K35" s="1861"/>
      <c r="L35" s="1858"/>
      <c r="M35" s="1858"/>
    </row>
    <row r="36" spans="1:18" ht="18" customHeight="1">
      <c r="A36" s="1352" t="s">
        <v>1036</v>
      </c>
      <c r="B36" s="347" t="s">
        <v>1438</v>
      </c>
      <c r="C36" s="24">
        <f ca="1">ROUND(C29*F36,1)</f>
        <v>1151.4000000000001</v>
      </c>
      <c r="D36" s="1797" t="s">
        <v>1471</v>
      </c>
      <c r="E36" s="347" t="s">
        <v>1411</v>
      </c>
      <c r="F36" s="374">
        <f ca="1">INDIRECT("'数据-取费表'!Ak"&amp;$G$1)</f>
        <v>1.4999999999999999E-2</v>
      </c>
      <c r="G36" s="1850"/>
      <c r="H36" s="1858"/>
      <c r="I36" s="1859"/>
      <c r="J36" s="1860"/>
      <c r="K36" s="751"/>
      <c r="L36" s="1858"/>
      <c r="M36" s="1858"/>
    </row>
    <row r="37" spans="1:18" ht="18" customHeight="1">
      <c r="A37" s="1201" t="s">
        <v>1072</v>
      </c>
      <c r="B37" s="347" t="s">
        <v>1442</v>
      </c>
      <c r="C37" s="24">
        <f ca="1">ROUND(C13*F37,1)</f>
        <v>95</v>
      </c>
      <c r="D37" s="1797" t="s">
        <v>1443</v>
      </c>
      <c r="E37" s="347" t="s">
        <v>1444</v>
      </c>
      <c r="F37" s="376">
        <f ca="1">INDIRECT("'数据-取费表'!Al"&amp;$G$1)</f>
        <v>1.5E-3</v>
      </c>
      <c r="G37" s="1850"/>
      <c r="H37" s="1858"/>
      <c r="I37" s="1859"/>
      <c r="J37" s="1860"/>
      <c r="K37" s="751"/>
      <c r="L37" s="1858"/>
      <c r="M37" s="1858"/>
    </row>
    <row r="38" spans="1:18" ht="18" customHeight="1" thickBot="1">
      <c r="A38" s="1339" t="s">
        <v>1382</v>
      </c>
      <c r="B38" s="1340" t="s">
        <v>1428</v>
      </c>
      <c r="C38" s="1341">
        <f ca="1">ROUND(C5*F38,1)</f>
        <v>111.8</v>
      </c>
      <c r="D38" s="1342" t="s">
        <v>1448</v>
      </c>
      <c r="E38" s="1340" t="s">
        <v>1444</v>
      </c>
      <c r="F38" s="1336">
        <f ca="1">INDIRECT("'数据-取费表'!Am"&amp;$G$1)</f>
        <v>0.01</v>
      </c>
      <c r="G38" s="1850"/>
      <c r="H38" s="1858"/>
      <c r="I38" s="1859"/>
      <c r="J38" s="1860"/>
      <c r="K38" s="1864"/>
      <c r="L38" s="1858"/>
      <c r="M38" s="1858"/>
    </row>
    <row r="39" spans="1:18" ht="24.6" customHeight="1" thickTop="1">
      <c r="A39" s="1329" t="s">
        <v>1028</v>
      </c>
      <c r="B39" s="1344" t="s">
        <v>1472</v>
      </c>
      <c r="C39" s="355">
        <f ca="1">C5-C30</f>
        <v>8405</v>
      </c>
      <c r="D39" s="1345" t="s">
        <v>1473</v>
      </c>
      <c r="E39" s="1346"/>
      <c r="F39" s="1347"/>
      <c r="G39" s="1850"/>
      <c r="H39" s="1858"/>
      <c r="I39" s="1859"/>
      <c r="J39" s="1860"/>
      <c r="K39" s="1864"/>
      <c r="L39" s="1858"/>
      <c r="M39" s="1858"/>
    </row>
    <row r="40" spans="1:18" ht="18" customHeight="1">
      <c r="A40" s="344" t="s">
        <v>1029</v>
      </c>
      <c r="B40" s="345" t="s">
        <v>1474</v>
      </c>
      <c r="C40" s="346">
        <f ca="1">ROUND(C39*(1-((1+F42)/(1+F40))^F41)/(F40-F42),0)</f>
        <v>139215</v>
      </c>
      <c r="D40" s="370" t="s">
        <v>1458</v>
      </c>
      <c r="E40" s="347" t="s">
        <v>1459</v>
      </c>
      <c r="F40" s="357">
        <f ca="1">INDIRECT("'数据-取费表'!I"&amp;$G$1)</f>
        <v>0.06</v>
      </c>
      <c r="G40" s="1850"/>
      <c r="H40" s="1838"/>
      <c r="I40" s="1859"/>
      <c r="J40" s="1860"/>
      <c r="K40" s="1864"/>
      <c r="L40" s="1838"/>
      <c r="M40" s="1838"/>
    </row>
    <row r="41" spans="1:18" ht="18" customHeight="1">
      <c r="A41" s="349"/>
      <c r="B41" s="350"/>
      <c r="C41" s="351"/>
      <c r="D41" s="378" t="s">
        <v>1475</v>
      </c>
      <c r="E41" s="347" t="s">
        <v>1463</v>
      </c>
      <c r="F41" s="379">
        <f ca="1">IF(INDIRECT("'数据-取费表'!af"&amp;$G$1)=0,INDIRECT("'数据-取费表'!ae"&amp;$G$1),INDIRECT("'数据-取费表'!af"&amp;$G$1))</f>
        <v>28.24</v>
      </c>
      <c r="G41" s="1850"/>
      <c r="H41" s="732"/>
      <c r="I41" s="1859"/>
      <c r="J41" s="1860"/>
      <c r="K41" s="751"/>
      <c r="L41" s="732"/>
      <c r="M41" s="732"/>
    </row>
    <row r="42" spans="1:18" ht="18" customHeight="1">
      <c r="A42" s="353"/>
      <c r="B42" s="354"/>
      <c r="C42" s="355"/>
      <c r="D42" s="373"/>
      <c r="E42" s="347" t="s">
        <v>1466</v>
      </c>
      <c r="F42" s="357">
        <f ca="1">INDIRECT("'数据-取费表'!v"&amp;$G$1)</f>
        <v>0.02</v>
      </c>
      <c r="G42" s="1850"/>
      <c r="H42" s="732"/>
      <c r="I42" s="1859"/>
      <c r="J42" s="1860"/>
      <c r="K42" s="751"/>
      <c r="L42" s="732"/>
      <c r="M42" s="732"/>
    </row>
    <row r="43" spans="1:18" ht="18" customHeight="1" thickBot="1">
      <c r="A43" s="380" t="s">
        <v>1030</v>
      </c>
      <c r="B43" s="381" t="s">
        <v>1476</v>
      </c>
      <c r="C43" s="382">
        <f ca="1">ROUND(C40*10000/F43,0)</f>
        <v>24221</v>
      </c>
      <c r="D43" s="383" t="s">
        <v>1477</v>
      </c>
      <c r="E43" s="384" t="s">
        <v>1478</v>
      </c>
      <c r="F43" s="385">
        <f ca="1">INDIRECT("'数据-取费表'!k"&amp;$G$1)</f>
        <v>57477.440000000002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1508</v>
      </c>
      <c r="P45" s="1838"/>
      <c r="Q45" s="1838"/>
      <c r="R45" s="1838"/>
    </row>
    <row r="46" spans="1:18" s="1841" customFormat="1" ht="13.8" thickBot="1">
      <c r="A46" s="1869" t="s">
        <v>1509</v>
      </c>
      <c r="C46" s="1870">
        <f ca="1">C68-C40</f>
        <v>-167073</v>
      </c>
      <c r="D46" s="1871" t="str">
        <f>C2</f>
        <v>万元</v>
      </c>
      <c r="E46" s="1865"/>
      <c r="F46" s="1865"/>
      <c r="I46" s="1872" t="s">
        <v>1510</v>
      </c>
      <c r="J46" s="1873"/>
      <c r="K46" s="1874"/>
      <c r="L46" s="1875" t="str">
        <f ca="1">IF(M47="住宅",0,IF(L48&gt;J51,L60,J60))</f>
        <v>0</v>
      </c>
      <c r="O46" s="1876" t="s">
        <v>1511</v>
      </c>
      <c r="P46" s="1877" t="s">
        <v>1512</v>
      </c>
      <c r="Q46" s="1878" t="s">
        <v>1513</v>
      </c>
      <c r="R46" s="1878" t="s">
        <v>1514</v>
      </c>
    </row>
    <row r="47" spans="1:18" s="1841" customFormat="1" ht="13.8" thickBot="1">
      <c r="A47" s="1165" t="s">
        <v>1385</v>
      </c>
      <c r="B47" s="1197" t="s">
        <v>1386</v>
      </c>
      <c r="C47" s="1367" t="s">
        <v>1387</v>
      </c>
      <c r="D47" s="1197" t="s">
        <v>1388</v>
      </c>
      <c r="E47" s="1279" t="s">
        <v>1389</v>
      </c>
      <c r="F47" s="1280"/>
      <c r="G47" s="792"/>
      <c r="I47" s="1879" t="s">
        <v>1515</v>
      </c>
      <c r="J47" s="1880" t="s">
        <v>3523</v>
      </c>
      <c r="K47" s="1881" t="s">
        <v>1516</v>
      </c>
      <c r="L47" s="1882">
        <f ca="1">INDIRECT("'数据-取费表'!d"&amp;$G$1)</f>
        <v>40</v>
      </c>
      <c r="M47" s="1837" t="str">
        <f>IF(ISNUMBER(FIND("住宅",C1)),"住宅","非住宅")</f>
        <v>非住宅</v>
      </c>
      <c r="O47" s="1883" t="s">
        <v>1037</v>
      </c>
      <c r="P47" s="1884" t="s">
        <v>1517</v>
      </c>
      <c r="Q47" s="1885">
        <f ca="1">C40+J29</f>
        <v>139215</v>
      </c>
      <c r="R47" s="1885" t="s">
        <v>1518</v>
      </c>
    </row>
    <row r="48" spans="1:18" s="1841" customFormat="1" ht="40.200000000000003" thickBot="1">
      <c r="A48" s="1360" t="s">
        <v>1126</v>
      </c>
      <c r="B48" s="345" t="s">
        <v>1390</v>
      </c>
      <c r="C48" s="1816">
        <f ca="1">C49+C53+C55</f>
        <v>0</v>
      </c>
      <c r="D48" s="1362"/>
      <c r="E48" s="1363"/>
      <c r="F48" s="1181"/>
      <c r="G48" s="792"/>
      <c r="H48" s="793"/>
      <c r="I48" s="1886" t="s">
        <v>1519</v>
      </c>
      <c r="J48" s="1887" t="s">
        <v>3524</v>
      </c>
      <c r="K48" s="1888" t="s">
        <v>1520</v>
      </c>
      <c r="L48" s="1889">
        <f ca="1">INDIRECT("'数据-取费表'!f"&amp;$G$1)</f>
        <v>28.24</v>
      </c>
      <c r="O48" s="1883" t="s">
        <v>1038</v>
      </c>
      <c r="P48" s="1884" t="s">
        <v>1521</v>
      </c>
      <c r="Q48" s="1885" t="str">
        <f ca="1">J60</f>
        <v>0</v>
      </c>
      <c r="R48" s="1885" t="s">
        <v>1522</v>
      </c>
    </row>
    <row r="49" spans="1:18" s="1841" customFormat="1" ht="13.8" thickBot="1">
      <c r="A49" s="1194" t="s">
        <v>1127</v>
      </c>
      <c r="B49" s="1828" t="s">
        <v>1479</v>
      </c>
      <c r="C49" s="1364">
        <f ca="1">ROUND(F49*F51*F50*(1-F52)/10000,0)</f>
        <v>0</v>
      </c>
      <c r="D49" s="1276" t="s">
        <v>3017</v>
      </c>
      <c r="E49" s="1829" t="s">
        <v>1480</v>
      </c>
      <c r="F49" s="1281"/>
      <c r="G49" s="1890"/>
      <c r="H49" s="793"/>
      <c r="I49" s="1886" t="s">
        <v>1523</v>
      </c>
      <c r="J49" s="1891">
        <v>2004</v>
      </c>
      <c r="K49" s="1888" t="s">
        <v>1524</v>
      </c>
      <c r="L49" s="1892"/>
      <c r="O49" s="1893" t="s">
        <v>1039</v>
      </c>
      <c r="P49" s="1884" t="s">
        <v>1525</v>
      </c>
      <c r="Q49" s="1885">
        <f ca="1">C29</f>
        <v>76757</v>
      </c>
      <c r="R49" s="1885" t="s">
        <v>1518</v>
      </c>
    </row>
    <row r="50" spans="1:18" s="1841" customFormat="1" ht="13.8" thickBot="1">
      <c r="A50" s="1195"/>
      <c r="B50" s="1198"/>
      <c r="C50" s="1368"/>
      <c r="D50" s="1172"/>
      <c r="E50" s="1277" t="s">
        <v>1395</v>
      </c>
      <c r="F50" s="1278">
        <f ca="1">F7</f>
        <v>1</v>
      </c>
      <c r="H50" s="793"/>
      <c r="I50" s="1886" t="s">
        <v>1526</v>
      </c>
      <c r="J50" s="1894">
        <f>SUMPRODUCT((I63:I65=J47)*(J62:L62=J48)*(J63:L65))</f>
        <v>60</v>
      </c>
      <c r="K50" s="1888" t="s">
        <v>1527</v>
      </c>
      <c r="L50" s="1892"/>
      <c r="M50" s="1895"/>
      <c r="O50" s="1893" t="s">
        <v>1040</v>
      </c>
      <c r="P50" s="1884" t="s">
        <v>1528</v>
      </c>
      <c r="Q50" s="1896" t="e">
        <f ca="1">J58</f>
        <v>#VALUE!</v>
      </c>
      <c r="R50" s="1885"/>
    </row>
    <row r="51" spans="1:18" s="1841" customFormat="1" ht="13.8" thickBot="1">
      <c r="A51" s="1196"/>
      <c r="B51" s="1198"/>
      <c r="C51" s="1199"/>
      <c r="D51" s="1172"/>
      <c r="E51" s="1200" t="s">
        <v>1396</v>
      </c>
      <c r="F51" s="348">
        <f ca="1">F8</f>
        <v>1</v>
      </c>
      <c r="I51" s="1897" t="s">
        <v>1529</v>
      </c>
      <c r="J51" s="1898">
        <f>IF(J49="",J50,J49+J50-YEAR('数据-取费表'!B2))</f>
        <v>45</v>
      </c>
      <c r="K51" s="1899" t="s">
        <v>1530</v>
      </c>
      <c r="L51" s="1900">
        <f ca="1">ROUND(-PV(INDIRECT("'数据-取费表'!h"&amp;$G$1),L48,(C39-C13*C76),0),0)</f>
        <v>42837</v>
      </c>
      <c r="M51" s="1901"/>
      <c r="O51" s="1893" t="s">
        <v>1041</v>
      </c>
      <c r="P51" s="1884" t="s">
        <v>1531</v>
      </c>
      <c r="Q51" s="1896">
        <f>J52</f>
        <v>0.09</v>
      </c>
      <c r="R51" s="1885"/>
    </row>
    <row r="52" spans="1:18" s="1841" customFormat="1" ht="13.8" thickBot="1">
      <c r="A52" s="1196"/>
      <c r="B52" s="1198"/>
      <c r="C52" s="1199"/>
      <c r="D52" s="1172"/>
      <c r="E52" s="1200" t="s">
        <v>1397</v>
      </c>
      <c r="F52" s="1275"/>
      <c r="I52" s="1902" t="s">
        <v>1532</v>
      </c>
      <c r="J52" s="1903">
        <v>0.09</v>
      </c>
      <c r="K52" s="1902" t="s">
        <v>1533</v>
      </c>
      <c r="L52" s="1903"/>
      <c r="O52" s="1893" t="s">
        <v>1042</v>
      </c>
      <c r="P52" s="1884" t="s">
        <v>1534</v>
      </c>
      <c r="Q52" s="1885">
        <f ca="1">J53</f>
        <v>28.24</v>
      </c>
      <c r="R52" s="1885" t="s">
        <v>1535</v>
      </c>
    </row>
    <row r="53" spans="1:18" s="1841" customFormat="1" ht="36.6" thickBot="1">
      <c r="A53" s="1405" t="s">
        <v>1128</v>
      </c>
      <c r="B53" s="1830" t="s">
        <v>1398</v>
      </c>
      <c r="C53" s="361">
        <f ca="1">ROUND(IF(F53="押一",C49/12*F11,IF(F53="押二",C49/12*2*F11,IF(F53="押三",C49/12*3*F11,C54*F11))),0)</f>
        <v>0</v>
      </c>
      <c r="D53" s="1823" t="s">
        <v>3024</v>
      </c>
      <c r="E53" s="358" t="s">
        <v>1399</v>
      </c>
      <c r="F53" s="1366"/>
      <c r="I53" s="1904" t="s">
        <v>1536</v>
      </c>
      <c r="J53" s="2948">
        <f ca="1">IF(M47="住宅",IF(D1="——",MAX(J51,L48),MAX(J51,L48-'数据-取费表'!B24)),IF(D1="——",MIN(J51,L48),MIN(J51,L48-'数据-取费表'!B24)))</f>
        <v>28.24</v>
      </c>
      <c r="K53" s="3151" t="s">
        <v>1537</v>
      </c>
      <c r="L53" s="3152"/>
      <c r="O53" s="1883" t="s">
        <v>1043</v>
      </c>
      <c r="P53" s="1884" t="s">
        <v>1538</v>
      </c>
      <c r="Q53" s="1885">
        <f ca="1">Q47+Q48</f>
        <v>139215</v>
      </c>
      <c r="R53" s="1885" t="s">
        <v>1044</v>
      </c>
    </row>
    <row r="54" spans="1:18" s="1841" customFormat="1" ht="24.6" thickBot="1">
      <c r="A54" s="1406"/>
      <c r="B54" s="1824" t="s">
        <v>1377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1539</v>
      </c>
      <c r="P54" s="1838"/>
      <c r="Q54" s="1838"/>
      <c r="R54" s="1838"/>
    </row>
    <row r="55" spans="1:18" s="1841" customFormat="1" ht="13.8" thickBot="1">
      <c r="A55" s="1333" t="s">
        <v>1072</v>
      </c>
      <c r="B55" s="1826" t="s">
        <v>1402</v>
      </c>
      <c r="C55" s="1334"/>
      <c r="D55" s="1823"/>
      <c r="E55" s="1831"/>
      <c r="F55" s="1905"/>
      <c r="I55" s="1908" t="s">
        <v>1540</v>
      </c>
      <c r="J55" s="1909" t="e">
        <f ca="1">ROUND(IF(J47="钢混",J57/J50,1-(1-2%)*(J50-J57)/J50),3)</f>
        <v>#VALUE!</v>
      </c>
      <c r="K55" s="1910" t="s">
        <v>1541</v>
      </c>
      <c r="L55" s="1911" t="s">
        <v>1542</v>
      </c>
      <c r="O55" s="1876" t="s">
        <v>1511</v>
      </c>
      <c r="P55" s="1877" t="s">
        <v>1512</v>
      </c>
      <c r="Q55" s="1878" t="s">
        <v>1513</v>
      </c>
      <c r="R55" s="1878" t="s">
        <v>1514</v>
      </c>
    </row>
    <row r="56" spans="1:18" s="1841" customFormat="1" ht="37.200000000000003" thickTop="1" thickBot="1">
      <c r="A56" s="1176">
        <v>2</v>
      </c>
      <c r="B56" s="1177" t="s">
        <v>1403</v>
      </c>
      <c r="C56" s="276">
        <f ca="1">C13</f>
        <v>63325</v>
      </c>
      <c r="D56" s="1912"/>
      <c r="E56" s="1913"/>
      <c r="F56" s="1905"/>
      <c r="I56" s="1914" t="s">
        <v>1543</v>
      </c>
      <c r="J56" s="1915" t="s">
        <v>3068</v>
      </c>
      <c r="K56" s="1886" t="s">
        <v>1544</v>
      </c>
      <c r="L56" s="1889" t="str">
        <f ca="1">IF(L48&lt;J51,"——",L48-J53)</f>
        <v>——</v>
      </c>
      <c r="O56" s="1883" t="s">
        <v>1037</v>
      </c>
      <c r="P56" s="1884" t="s">
        <v>1517</v>
      </c>
      <c r="Q56" s="1885">
        <f ca="1">C40+J29</f>
        <v>139215</v>
      </c>
      <c r="R56" s="1885" t="s">
        <v>1518</v>
      </c>
    </row>
    <row r="57" spans="1:18" s="1841" customFormat="1" ht="24.6" thickBot="1">
      <c r="A57" s="1916"/>
      <c r="B57" s="1169" t="s">
        <v>1467</v>
      </c>
      <c r="C57" s="282">
        <f ca="1">C29</f>
        <v>76757</v>
      </c>
      <c r="D57" s="1917"/>
      <c r="E57" s="1918"/>
      <c r="F57" s="1919"/>
      <c r="I57" s="1920" t="s">
        <v>1545</v>
      </c>
      <c r="J57" s="1921" t="str">
        <f ca="1">IF(OR(M47="住宅",J51&lt;L48,J56="是"),"——",J51-L48)</f>
        <v>——</v>
      </c>
      <c r="K57" s="1886" t="s">
        <v>1546</v>
      </c>
      <c r="L57" s="1889" t="str">
        <f ca="1">IF(L48&lt;J51,"——",IF(L55="比较法",L49,IF(L55="基准地价",L50,L51)))</f>
        <v>——</v>
      </c>
      <c r="O57" s="1883" t="s">
        <v>1038</v>
      </c>
      <c r="P57" s="1884" t="s">
        <v>1547</v>
      </c>
      <c r="Q57" s="1885">
        <f ca="1">L60</f>
        <v>0</v>
      </c>
      <c r="R57" s="1885" t="s">
        <v>1548</v>
      </c>
    </row>
    <row r="58" spans="1:18" s="1841" customFormat="1" ht="24.6" thickBot="1">
      <c r="A58" s="360" t="s">
        <v>1027</v>
      </c>
      <c r="B58" s="1177" t="s">
        <v>1413</v>
      </c>
      <c r="C58" s="361">
        <f ca="1">ROUND(C59+C64+C65+C66,0)</f>
        <v>2071</v>
      </c>
      <c r="D58" s="1179" t="s">
        <v>1414</v>
      </c>
      <c r="E58" s="1180"/>
      <c r="F58" s="1181"/>
      <c r="I58" s="1920" t="s">
        <v>1549</v>
      </c>
      <c r="J58" s="1922" t="e">
        <f ca="1">IF(J55&lt;0.4,0.4,J55)</f>
        <v>#VALUE!</v>
      </c>
      <c r="K58" s="1899" t="s">
        <v>1550</v>
      </c>
      <c r="L58" s="1889" t="e">
        <f ca="1">ROUND(POWER(1+L52,L47-L48)*(POWER(1+L52,L48)-1)/(POWER(1+L52,L47)-1),4)</f>
        <v>#DIV/0!</v>
      </c>
      <c r="O58" s="1893" t="s">
        <v>1039</v>
      </c>
      <c r="P58" s="1884" t="s">
        <v>1551</v>
      </c>
      <c r="Q58" s="1885">
        <f>IF(L55="比较法",L49,IF(L55="基准地价",L50,0))</f>
        <v>0</v>
      </c>
      <c r="R58" s="1885" t="s">
        <v>1518</v>
      </c>
    </row>
    <row r="59" spans="1:18" s="1841" customFormat="1" ht="24.6" thickBot="1">
      <c r="A59" s="1201" t="s">
        <v>1032</v>
      </c>
      <c r="B59" s="1169" t="s">
        <v>1418</v>
      </c>
      <c r="C59" s="24">
        <f ca="1">ROUND(IF(项目基本情况!B11="自然人",C48*F59,C60+C61+C62),1)</f>
        <v>824.8</v>
      </c>
      <c r="D59" s="1182" t="s">
        <v>1419</v>
      </c>
      <c r="E59" s="1183" t="s">
        <v>1420</v>
      </c>
      <c r="F59" s="368" t="str">
        <f ca="1">IF(项目基本情况!B11="企业","",IF(INDIRECT("'数据-取费表'!c"&amp;$G$1)="住宅",5%,IF(F49*F50*F51/12/(1+'数据-取费表'!C42)&gt;20000,12%,7%)))</f>
        <v/>
      </c>
      <c r="I59" s="1920" t="s">
        <v>1552</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1553</v>
      </c>
      <c r="Q59" s="1896">
        <f>L52</f>
        <v>0</v>
      </c>
      <c r="R59" s="1885"/>
    </row>
    <row r="60" spans="1:18" s="1841" customFormat="1" ht="16.2" thickBot="1">
      <c r="A60" s="1201" t="s">
        <v>1031</v>
      </c>
      <c r="B60" s="1169" t="s">
        <v>1422</v>
      </c>
      <c r="C60" s="24">
        <f ca="1">IF(项目基本情况!B11="自然人","——",ROUND(C48*F60/(1+'数据-取费表'!C42),2))</f>
        <v>0</v>
      </c>
      <c r="D60" s="1183" t="s">
        <v>1423</v>
      </c>
      <c r="E60" s="1169" t="s">
        <v>1411</v>
      </c>
      <c r="F60" s="377">
        <f t="shared" ref="F60:F66" si="0">F32</f>
        <v>5.6000000000000001E-2</v>
      </c>
      <c r="I60" s="1923" t="s">
        <v>1554</v>
      </c>
      <c r="J60" s="1924" t="str">
        <f ca="1">IF(OR(M47="住宅",J51&lt;L48,J56="是"),"0",ROUND(J59/(1+J52)^J53,0))</f>
        <v>0</v>
      </c>
      <c r="K60" s="1925" t="s">
        <v>1555</v>
      </c>
      <c r="L60" s="1924">
        <f ca="1">IF(OR(M47="住宅",L48&lt;J51),0,ROUND(L57*(L58/L59-1),0))</f>
        <v>0</v>
      </c>
      <c r="O60" s="1893" t="s">
        <v>1041</v>
      </c>
      <c r="P60" s="1884" t="s">
        <v>1556</v>
      </c>
      <c r="Q60" s="1885" t="e">
        <f ca="1">L58</f>
        <v>#DIV/0!</v>
      </c>
      <c r="R60" s="1885" t="s">
        <v>1557</v>
      </c>
    </row>
    <row r="61" spans="1:18" s="1841" customFormat="1" ht="13.8" thickBot="1">
      <c r="A61" s="1201" t="s">
        <v>1481</v>
      </c>
      <c r="B61" s="1169" t="s">
        <v>1482</v>
      </c>
      <c r="C61" s="24">
        <f ca="1">IF(项目基本情况!B11="自然人","——",IF(D61="按租金收入计税",ROUND(C48*F61,2),IF(D61="按房产原值计税",ROUND(C57*F61*0.7,2),INDIRECT("'数据-取费表'!Aj"&amp;$G$1))))</f>
        <v>644.76</v>
      </c>
      <c r="D61" s="1827" t="s">
        <v>1427</v>
      </c>
      <c r="E61" s="1169" t="s">
        <v>1483</v>
      </c>
      <c r="F61" s="367">
        <f t="shared" si="0"/>
        <v>1.2E-2</v>
      </c>
      <c r="I61" s="1926"/>
      <c r="J61" s="1926"/>
      <c r="K61" s="1926"/>
      <c r="L61" s="1926"/>
      <c r="O61" s="1893" t="s">
        <v>1042</v>
      </c>
      <c r="P61" s="1884" t="str">
        <f>K59</f>
        <v>建筑物剩余耐用年限下的土地年期修正系数Kn</v>
      </c>
      <c r="Q61" s="1885" t="e">
        <f ca="1">L59</f>
        <v>#DIV/0!</v>
      </c>
      <c r="R61" s="1885" t="s">
        <v>1558</v>
      </c>
    </row>
    <row r="62" spans="1:18" s="1841" customFormat="1" ht="13.8" thickBot="1">
      <c r="A62" s="1201" t="s">
        <v>1484</v>
      </c>
      <c r="B62" s="1168" t="s">
        <v>1485</v>
      </c>
      <c r="C62" s="25">
        <f ca="1">IF(项目基本情况!B11="自然人","——",ROUND(F62*F63/10000,2))</f>
        <v>180</v>
      </c>
      <c r="D62" s="1184" t="s">
        <v>1486</v>
      </c>
      <c r="E62" s="1169" t="s">
        <v>1487</v>
      </c>
      <c r="F62" s="371">
        <f t="shared" si="0"/>
        <v>18</v>
      </c>
      <c r="I62" s="1927" t="s">
        <v>1559</v>
      </c>
      <c r="J62" s="1928" t="s">
        <v>1560</v>
      </c>
      <c r="K62" s="1928" t="s">
        <v>1561</v>
      </c>
      <c r="L62" s="1928" t="s">
        <v>1562</v>
      </c>
      <c r="M62" s="1929" t="s">
        <v>1563</v>
      </c>
      <c r="O62" s="1883" t="s">
        <v>1043</v>
      </c>
      <c r="P62" s="1884" t="s">
        <v>1564</v>
      </c>
      <c r="Q62" s="1885">
        <f ca="1">Q56+Q57</f>
        <v>139215</v>
      </c>
      <c r="R62" s="1885" t="s">
        <v>1044</v>
      </c>
    </row>
    <row r="63" spans="1:18" s="1841" customFormat="1" ht="13.8" thickBot="1">
      <c r="A63" s="372"/>
      <c r="B63" s="1175"/>
      <c r="C63" s="29"/>
      <c r="D63" s="1185"/>
      <c r="E63" s="1169" t="s">
        <v>1488</v>
      </c>
      <c r="F63" s="348">
        <f t="shared" ca="1" si="0"/>
        <v>99999.9</v>
      </c>
      <c r="I63" s="1927" t="s">
        <v>1565</v>
      </c>
      <c r="J63" s="1928">
        <v>70</v>
      </c>
      <c r="K63" s="1928">
        <v>50</v>
      </c>
      <c r="L63" s="1928">
        <v>80</v>
      </c>
      <c r="M63" s="1930">
        <v>0.02</v>
      </c>
      <c r="O63" s="1868" t="s">
        <v>1566</v>
      </c>
      <c r="P63" s="1838"/>
      <c r="Q63" s="1838"/>
      <c r="R63" s="1838"/>
    </row>
    <row r="64" spans="1:18" s="1841" customFormat="1" ht="13.8" thickBot="1">
      <c r="A64" s="1201" t="s">
        <v>1489</v>
      </c>
      <c r="B64" s="1169" t="s">
        <v>1490</v>
      </c>
      <c r="C64" s="24">
        <f ca="1">ROUND(C57*F64,1)</f>
        <v>1151.4000000000001</v>
      </c>
      <c r="D64" s="1183" t="s">
        <v>1491</v>
      </c>
      <c r="E64" s="1169" t="s">
        <v>1483</v>
      </c>
      <c r="F64" s="374">
        <f t="shared" ca="1" si="0"/>
        <v>1.4999999999999999E-2</v>
      </c>
      <c r="I64" s="1927" t="s">
        <v>1567</v>
      </c>
      <c r="J64" s="1928">
        <v>50</v>
      </c>
      <c r="K64" s="1928">
        <v>35</v>
      </c>
      <c r="L64" s="1928">
        <v>60</v>
      </c>
      <c r="M64" s="1929">
        <v>0</v>
      </c>
      <c r="O64" s="1876" t="s">
        <v>1511</v>
      </c>
      <c r="P64" s="1877" t="s">
        <v>1512</v>
      </c>
      <c r="Q64" s="1878" t="s">
        <v>1513</v>
      </c>
      <c r="R64" s="1878" t="s">
        <v>1514</v>
      </c>
    </row>
    <row r="65" spans="1:18" s="1841" customFormat="1" ht="13.8" thickBot="1">
      <c r="A65" s="1201" t="s">
        <v>1492</v>
      </c>
      <c r="B65" s="1169" t="s">
        <v>1442</v>
      </c>
      <c r="C65" s="24">
        <f ca="1">ROUND(C56*F65,1)</f>
        <v>95</v>
      </c>
      <c r="D65" s="1183" t="s">
        <v>1443</v>
      </c>
      <c r="E65" s="1169" t="s">
        <v>1444</v>
      </c>
      <c r="F65" s="376">
        <f t="shared" ca="1" si="0"/>
        <v>1.5E-3</v>
      </c>
      <c r="I65" s="1927" t="s">
        <v>1568</v>
      </c>
      <c r="J65" s="1928">
        <v>40</v>
      </c>
      <c r="K65" s="1928">
        <v>30</v>
      </c>
      <c r="L65" s="1928">
        <v>50</v>
      </c>
      <c r="M65" s="1930">
        <v>0.02</v>
      </c>
      <c r="O65" s="1883" t="s">
        <v>1037</v>
      </c>
      <c r="P65" s="1884" t="s">
        <v>1569</v>
      </c>
      <c r="Q65" s="1885">
        <f ca="1">C40+J29</f>
        <v>139215</v>
      </c>
      <c r="R65" s="1885" t="s">
        <v>1518</v>
      </c>
    </row>
    <row r="66" spans="1:18" s="1841" customFormat="1" ht="16.2" thickBot="1">
      <c r="A66" s="1201" t="s">
        <v>1493</v>
      </c>
      <c r="B66" s="1169" t="s">
        <v>1428</v>
      </c>
      <c r="C66" s="24">
        <f ca="1">ROUND(C48*F66,1)</f>
        <v>0</v>
      </c>
      <c r="D66" s="1183" t="s">
        <v>1494</v>
      </c>
      <c r="E66" s="1169" t="s">
        <v>1411</v>
      </c>
      <c r="F66" s="357">
        <f t="shared" ca="1" si="0"/>
        <v>0.01</v>
      </c>
      <c r="O66" s="1883" t="s">
        <v>1038</v>
      </c>
      <c r="P66" s="1884" t="s">
        <v>1547</v>
      </c>
      <c r="Q66" s="1885">
        <f ca="1">L60</f>
        <v>0</v>
      </c>
      <c r="R66" s="1885" t="s">
        <v>1570</v>
      </c>
    </row>
    <row r="67" spans="1:18" s="1841" customFormat="1" ht="24.6" thickBot="1">
      <c r="A67" s="1176" t="s">
        <v>1028</v>
      </c>
      <c r="B67" s="1186" t="s">
        <v>1452</v>
      </c>
      <c r="C67" s="361">
        <f ca="1">C48-C58</f>
        <v>-2071</v>
      </c>
      <c r="D67" s="1182" t="s">
        <v>1453</v>
      </c>
      <c r="E67" s="1187"/>
      <c r="F67" s="1188"/>
      <c r="O67" s="1893" t="s">
        <v>1039</v>
      </c>
      <c r="P67" s="1884" t="s">
        <v>1551</v>
      </c>
      <c r="Q67" s="1931">
        <f ca="1">L51</f>
        <v>42837</v>
      </c>
      <c r="R67" s="1885" t="s">
        <v>1571</v>
      </c>
    </row>
    <row r="68" spans="1:18" s="1841" customFormat="1" ht="16.2" thickBot="1">
      <c r="A68" s="1166" t="s">
        <v>1029</v>
      </c>
      <c r="B68" s="1167" t="s">
        <v>1474</v>
      </c>
      <c r="C68" s="346">
        <f ca="1">ROUND(C67*(1-((1+F70)/(1+F68))^F69)/(F68-F70),0)</f>
        <v>-27858</v>
      </c>
      <c r="D68" s="1184" t="s">
        <v>1458</v>
      </c>
      <c r="E68" s="1169" t="s">
        <v>1459</v>
      </c>
      <c r="F68" s="357">
        <f ca="1">F40</f>
        <v>0.06</v>
      </c>
      <c r="O68" s="1893" t="s">
        <v>1040</v>
      </c>
      <c r="P68" s="1932" t="s">
        <v>1572</v>
      </c>
      <c r="Q68" s="1885">
        <f ca="1">ROUND(Q69-Q70*Q71,0)</f>
        <v>3022</v>
      </c>
      <c r="R68" s="1885" t="s">
        <v>1048</v>
      </c>
    </row>
    <row r="69" spans="1:18" s="1841" customFormat="1" ht="13.8" thickBot="1">
      <c r="A69" s="1170"/>
      <c r="B69" s="1171"/>
      <c r="C69" s="351"/>
      <c r="D69" s="1189" t="s">
        <v>1462</v>
      </c>
      <c r="E69" s="1169" t="s">
        <v>1463</v>
      </c>
      <c r="F69" s="379">
        <f ca="1">F41</f>
        <v>28.24</v>
      </c>
      <c r="O69" s="1893" t="s">
        <v>1045</v>
      </c>
      <c r="P69" s="1932" t="s">
        <v>1573</v>
      </c>
      <c r="Q69" s="1885">
        <f ca="1">C39</f>
        <v>8405</v>
      </c>
      <c r="R69" s="1885" t="s">
        <v>1518</v>
      </c>
    </row>
    <row r="70" spans="1:18" s="1841" customFormat="1" ht="13.8" thickBot="1">
      <c r="A70" s="1173"/>
      <c r="B70" s="1174"/>
      <c r="C70" s="355"/>
      <c r="D70" s="1185"/>
      <c r="E70" s="1169" t="s">
        <v>1466</v>
      </c>
      <c r="F70" s="1275"/>
      <c r="O70" s="1893" t="s">
        <v>1046</v>
      </c>
      <c r="P70" s="1932" t="s">
        <v>1574</v>
      </c>
      <c r="Q70" s="1885">
        <f ca="1">C13</f>
        <v>63325</v>
      </c>
      <c r="R70" s="1885" t="s">
        <v>1518</v>
      </c>
    </row>
    <row r="71" spans="1:18" s="1841" customFormat="1" ht="13.8" thickBot="1">
      <c r="A71" s="1190" t="s">
        <v>1030</v>
      </c>
      <c r="B71" s="1191" t="s">
        <v>1476</v>
      </c>
      <c r="C71" s="382">
        <f ca="1">ROUND(C68*10000/F71,0)</f>
        <v>-4847</v>
      </c>
      <c r="D71" s="1192" t="s">
        <v>1477</v>
      </c>
      <c r="E71" s="1193" t="s">
        <v>1478</v>
      </c>
      <c r="F71" s="385">
        <f ca="1">F43</f>
        <v>57477.440000000002</v>
      </c>
      <c r="O71" s="1893" t="s">
        <v>1047</v>
      </c>
      <c r="P71" s="1932" t="s">
        <v>1575</v>
      </c>
      <c r="Q71" s="1896">
        <f ca="1">C76</f>
        <v>8.5000000000000006E-2</v>
      </c>
      <c r="R71" s="1885"/>
    </row>
    <row r="72" spans="1:18" s="1841" customFormat="1" ht="13.8" thickBot="1">
      <c r="B72" s="796"/>
      <c r="C72" s="796"/>
      <c r="O72" s="1893" t="s">
        <v>1041</v>
      </c>
      <c r="P72" s="1884" t="s">
        <v>1553</v>
      </c>
      <c r="Q72" s="1896">
        <f>L52</f>
        <v>0</v>
      </c>
      <c r="R72" s="1885"/>
    </row>
    <row r="73" spans="1:18" ht="16.2" thickBot="1">
      <c r="A73" s="1841"/>
      <c r="B73" s="796"/>
      <c r="C73" s="796"/>
      <c r="D73" s="1841"/>
      <c r="E73" s="1841"/>
      <c r="F73" s="1841"/>
      <c r="O73" s="1893" t="s">
        <v>1042</v>
      </c>
      <c r="P73" s="1884" t="s">
        <v>1556</v>
      </c>
      <c r="Q73" s="1885" t="e">
        <f ca="1">L58</f>
        <v>#DIV/0!</v>
      </c>
      <c r="R73" s="1885" t="s">
        <v>1557</v>
      </c>
    </row>
    <row r="74" spans="1:18" ht="13.8" thickBot="1">
      <c r="A74" s="1841"/>
      <c r="B74" s="317" t="s">
        <v>1576</v>
      </c>
      <c r="C74" s="1934"/>
      <c r="D74" s="1841"/>
      <c r="E74" s="1841"/>
      <c r="F74" s="1841"/>
      <c r="O74" s="1893" t="s">
        <v>1049</v>
      </c>
      <c r="P74" s="1884" t="str">
        <f>K59</f>
        <v>建筑物剩余耐用年限下的土地年期修正系数Kn</v>
      </c>
      <c r="Q74" s="1885" t="e">
        <f ca="1">L59</f>
        <v>#DIV/0!</v>
      </c>
      <c r="R74" s="1885" t="s">
        <v>1558</v>
      </c>
    </row>
    <row r="75" spans="1:18" ht="13.8" thickBot="1">
      <c r="A75" s="1841"/>
      <c r="B75" s="386" t="s">
        <v>1495</v>
      </c>
      <c r="C75" s="387">
        <f ca="1">ROUND(C13*C76,0)</f>
        <v>5383</v>
      </c>
      <c r="D75" s="1841"/>
      <c r="E75" s="1841"/>
      <c r="F75" s="1841"/>
      <c r="K75" s="1867"/>
      <c r="L75" s="1841"/>
      <c r="O75" s="1883" t="s">
        <v>1043</v>
      </c>
      <c r="P75" s="1884" t="s">
        <v>1538</v>
      </c>
      <c r="Q75" s="1885">
        <f ca="1">Q65+Q66</f>
        <v>139215</v>
      </c>
      <c r="R75" s="1885" t="s">
        <v>1044</v>
      </c>
    </row>
    <row r="76" spans="1:18">
      <c r="B76" s="388" t="s">
        <v>1496</v>
      </c>
      <c r="C76" s="389">
        <f ca="1">INDIRECT("'数据-取费表'!j"&amp;$G$1)</f>
        <v>8.5000000000000006E-2</v>
      </c>
      <c r="I76" s="1841"/>
      <c r="J76" s="1841"/>
      <c r="K76" s="1867"/>
      <c r="L76" s="1841"/>
    </row>
    <row r="77" spans="1:18">
      <c r="B77" s="390" t="s">
        <v>1497</v>
      </c>
      <c r="C77" s="391"/>
      <c r="I77" s="1841"/>
      <c r="J77" s="1841"/>
      <c r="K77" s="1867"/>
      <c r="L77" s="1841"/>
    </row>
    <row r="78" spans="1:18">
      <c r="B78" s="314" t="s">
        <v>1498</v>
      </c>
      <c r="C78" s="392"/>
    </row>
    <row r="79" spans="1:18">
      <c r="B79" s="386" t="s">
        <v>1499</v>
      </c>
      <c r="C79" s="318">
        <f ca="1">1-C80</f>
        <v>0.36</v>
      </c>
    </row>
    <row r="80" spans="1:18">
      <c r="B80" s="386" t="s">
        <v>1500</v>
      </c>
      <c r="C80" s="318">
        <f ca="1">ROUND(C75/C39,3)</f>
        <v>0.64</v>
      </c>
    </row>
    <row r="81" spans="2:3">
      <c r="B81" s="314" t="s">
        <v>1501</v>
      </c>
      <c r="C81" s="282"/>
    </row>
    <row r="82" spans="2:3">
      <c r="B82" s="317" t="s">
        <v>1502</v>
      </c>
      <c r="C82" s="319">
        <f ca="1">1-C83</f>
        <v>0.54499999999999993</v>
      </c>
    </row>
    <row r="83" spans="2:3">
      <c r="B83" s="317" t="s">
        <v>1503</v>
      </c>
      <c r="C83" s="318">
        <f ca="1">ROUND(C13/C40,3)</f>
        <v>0.45500000000000002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1578</v>
      </c>
      <c r="B1" s="782"/>
      <c r="C1" s="1836"/>
      <c r="D1" s="1819"/>
      <c r="E1" s="1820" t="s">
        <v>1376</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1579</v>
      </c>
      <c r="B2" s="1843" t="e">
        <f ca="1">ROUND(D2/10000,0)</f>
        <v>#DIV/0!</v>
      </c>
      <c r="C2" s="1844" t="s">
        <v>1580</v>
      </c>
      <c r="D2" s="1936" t="e">
        <f ca="1">C40+J29+L46</f>
        <v>#DIV/0!</v>
      </c>
      <c r="E2" s="1845" t="s">
        <v>1581</v>
      </c>
      <c r="F2" s="1846"/>
      <c r="G2" s="1847"/>
      <c r="H2" s="1839"/>
      <c r="I2" s="1839"/>
      <c r="J2" s="1839"/>
      <c r="K2" s="1840"/>
      <c r="L2" s="1839"/>
      <c r="M2" s="1839"/>
    </row>
    <row r="3" spans="1:37" ht="18" customHeight="1" thickBot="1">
      <c r="A3" s="1848" t="s">
        <v>1582</v>
      </c>
      <c r="B3" s="1849">
        <f ca="1">IF(ISERROR(D2/F43),0,ROUND(D2/F43,0))</f>
        <v>0</v>
      </c>
      <c r="C3" s="1844" t="s">
        <v>1583</v>
      </c>
      <c r="D3" s="1844"/>
      <c r="E3" s="1845"/>
      <c r="F3" s="1846"/>
      <c r="G3" s="1847"/>
      <c r="H3" s="744" t="s">
        <v>1577</v>
      </c>
      <c r="I3" s="1839"/>
      <c r="J3" s="1839"/>
      <c r="K3" s="1840"/>
      <c r="L3" s="1839"/>
      <c r="M3" s="1839"/>
    </row>
    <row r="4" spans="1:37" ht="18" customHeight="1">
      <c r="A4" s="340" t="s">
        <v>1584</v>
      </c>
      <c r="B4" s="341" t="s">
        <v>1585</v>
      </c>
      <c r="C4" s="341" t="s">
        <v>1586</v>
      </c>
      <c r="D4" s="341" t="s">
        <v>1587</v>
      </c>
      <c r="E4" s="342" t="s">
        <v>1588</v>
      </c>
      <c r="F4" s="343"/>
      <c r="G4" s="1850"/>
      <c r="H4" s="340" t="s">
        <v>1584</v>
      </c>
      <c r="I4" s="341" t="s">
        <v>1585</v>
      </c>
      <c r="J4" s="341" t="s">
        <v>1586</v>
      </c>
      <c r="K4" s="341" t="s">
        <v>1587</v>
      </c>
      <c r="L4" s="342" t="s">
        <v>1588</v>
      </c>
      <c r="M4" s="343"/>
    </row>
    <row r="5" spans="1:37" ht="18" customHeight="1">
      <c r="A5" s="344">
        <v>1</v>
      </c>
      <c r="B5" s="345" t="s">
        <v>1589</v>
      </c>
      <c r="C5" s="1292">
        <f ca="1">C6+C10+C12</f>
        <v>0</v>
      </c>
      <c r="D5" s="1821" t="s">
        <v>1590</v>
      </c>
      <c r="E5" s="1293"/>
      <c r="F5" s="1294"/>
      <c r="G5" s="1850"/>
      <c r="H5" s="344">
        <v>1</v>
      </c>
      <c r="I5" s="345" t="s">
        <v>1589</v>
      </c>
      <c r="J5" s="1292">
        <f ca="1">J6+J10+J12</f>
        <v>0</v>
      </c>
      <c r="K5" s="1821" t="s">
        <v>1590</v>
      </c>
      <c r="L5" s="1293"/>
      <c r="M5" s="1294"/>
    </row>
    <row r="6" spans="1:37" ht="18" customHeight="1">
      <c r="A6" s="1291" t="s">
        <v>1032</v>
      </c>
      <c r="B6" s="3153" t="s">
        <v>1392</v>
      </c>
      <c r="C6" s="1296">
        <f ca="1">ROUND(F6*F8*F7*(1-F9),0)</f>
        <v>0</v>
      </c>
      <c r="D6" s="164" t="s">
        <v>3013</v>
      </c>
      <c r="E6" s="347" t="s">
        <v>1394</v>
      </c>
      <c r="F6" s="348">
        <f ca="1">INDIRECT("'数据-取费表'!u"&amp;$G$1)</f>
        <v>0</v>
      </c>
      <c r="G6" s="1850"/>
      <c r="H6" s="1291" t="s">
        <v>1032</v>
      </c>
      <c r="I6" s="3153" t="s">
        <v>1392</v>
      </c>
      <c r="J6" s="346">
        <f ca="1">ROUND(M6*M8*M7*(1-M9),0)</f>
        <v>0</v>
      </c>
      <c r="K6" s="1833" t="s">
        <v>3014</v>
      </c>
      <c r="L6" s="347" t="s">
        <v>1394</v>
      </c>
      <c r="M6" s="348">
        <f ca="1">INDIRECT("'数据-取费表'!z"&amp;$G$1)</f>
        <v>0</v>
      </c>
    </row>
    <row r="7" spans="1:37" ht="18" customHeight="1">
      <c r="A7" s="1295"/>
      <c r="B7" s="3154"/>
      <c r="C7" s="1297"/>
      <c r="D7" s="352"/>
      <c r="E7" s="1298" t="s">
        <v>1395</v>
      </c>
      <c r="F7" s="348">
        <f ca="1">IF(INDIRECT("'数据-取费表'!ah"&amp;$G$1)="",INDIRECT("'数据-取费表'!k"&amp;$G$1),INDIRECT("'数据-取费表'!ah"&amp;$G$1))</f>
        <v>0</v>
      </c>
      <c r="G7" s="1850"/>
      <c r="H7" s="349"/>
      <c r="I7" s="3154"/>
      <c r="J7" s="351"/>
      <c r="K7" s="352"/>
      <c r="L7" s="347" t="s">
        <v>1395</v>
      </c>
      <c r="M7" s="348">
        <f ca="1">F7</f>
        <v>0</v>
      </c>
    </row>
    <row r="8" spans="1:37" ht="18" customHeight="1">
      <c r="A8" s="349"/>
      <c r="B8" s="3154"/>
      <c r="C8" s="351"/>
      <c r="D8" s="352"/>
      <c r="E8" s="347" t="s">
        <v>1396</v>
      </c>
      <c r="F8" s="348">
        <f ca="1">INDIRECT("'数据-取费表'!ai"&amp;$G$1)</f>
        <v>0</v>
      </c>
      <c r="G8" s="1850"/>
      <c r="H8" s="349"/>
      <c r="I8" s="3154"/>
      <c r="J8" s="351"/>
      <c r="K8" s="352"/>
      <c r="L8" s="347" t="s">
        <v>1396</v>
      </c>
      <c r="M8" s="348">
        <f ca="1">INDIRECT("'数据-取费表'!ai"&amp;$G$1)</f>
        <v>0</v>
      </c>
    </row>
    <row r="9" spans="1:37" ht="18" customHeight="1">
      <c r="A9" s="349"/>
      <c r="B9" s="3155"/>
      <c r="C9" s="351"/>
      <c r="D9" s="352"/>
      <c r="E9" s="347" t="s">
        <v>1397</v>
      </c>
      <c r="F9" s="357">
        <f ca="1">INDIRECT("'数据-取费表'!w"&amp;$G$1)</f>
        <v>0</v>
      </c>
      <c r="G9" s="1850"/>
      <c r="H9" s="349"/>
      <c r="I9" s="3155"/>
      <c r="J9" s="351"/>
      <c r="K9" s="352"/>
      <c r="L9" s="358" t="s">
        <v>1397</v>
      </c>
      <c r="M9" s="359">
        <f ca="1">INDIRECT("'数据-取费表'!ab"&amp;$G$1)</f>
        <v>0</v>
      </c>
    </row>
    <row r="10" spans="1:37" ht="18" customHeight="1">
      <c r="A10" s="1291" t="s">
        <v>1036</v>
      </c>
      <c r="B10" s="1822" t="s">
        <v>1398</v>
      </c>
      <c r="C10" s="361">
        <f ca="1">ROUND(IF(F10="押一",C6/12*F11,IF(F10="押二",C6/12*2*F11,IF(F10="押三",C6/12*3*F11,C11*F11))),0)</f>
        <v>0</v>
      </c>
      <c r="D10" s="1823" t="s">
        <v>3024</v>
      </c>
      <c r="E10" s="358" t="s">
        <v>1399</v>
      </c>
      <c r="F10" s="1366"/>
      <c r="G10" s="1850"/>
      <c r="H10" s="1291" t="s">
        <v>1036</v>
      </c>
      <c r="I10" s="1822" t="s">
        <v>1398</v>
      </c>
      <c r="J10" s="346">
        <f ca="1">ROUND(IF(M10="押一",J6/12*M11,IF(M10="押二",J6/12*2*M11,IF(M10="押三",J6/12*3*M11,J11*M11))),0)</f>
        <v>0</v>
      </c>
      <c r="K10" s="1834" t="s">
        <v>3026</v>
      </c>
      <c r="L10" s="358" t="s">
        <v>1399</v>
      </c>
      <c r="M10" s="1366"/>
    </row>
    <row r="11" spans="1:37" ht="18" customHeight="1">
      <c r="A11" s="353"/>
      <c r="B11" s="1824" t="s">
        <v>1591</v>
      </c>
      <c r="C11" s="1178"/>
      <c r="D11" s="352"/>
      <c r="E11" s="358" t="s">
        <v>1401</v>
      </c>
      <c r="F11" s="359">
        <f ca="1">'数据-取费表'!B39</f>
        <v>1.4999999999999999E-2</v>
      </c>
      <c r="G11" s="1850"/>
      <c r="H11" s="1299"/>
      <c r="I11" s="1824" t="s">
        <v>1592</v>
      </c>
      <c r="J11" s="1178"/>
      <c r="K11" s="748"/>
      <c r="L11" s="358" t="s">
        <v>1401</v>
      </c>
      <c r="M11" s="1056">
        <f ca="1">'数据-取费表'!B39</f>
        <v>1.4999999999999999E-2</v>
      </c>
    </row>
    <row r="12" spans="1:37" ht="18" customHeight="1" thickBot="1">
      <c r="A12" s="1333" t="s">
        <v>1072</v>
      </c>
      <c r="B12" s="1826" t="s">
        <v>1402</v>
      </c>
      <c r="C12" s="1334"/>
      <c r="D12" s="1335"/>
      <c r="E12" s="1340"/>
      <c r="F12" s="1336"/>
      <c r="G12" s="1850"/>
      <c r="H12" s="1333" t="s">
        <v>1072</v>
      </c>
      <c r="I12" s="1826" t="s">
        <v>1402</v>
      </c>
      <c r="J12" s="1334"/>
      <c r="K12" s="1348"/>
      <c r="L12" s="1340"/>
      <c r="M12" s="1349"/>
    </row>
    <row r="13" spans="1:37" ht="18" customHeight="1" thickTop="1">
      <c r="A13" s="1329">
        <v>2</v>
      </c>
      <c r="B13" s="1330" t="s">
        <v>1403</v>
      </c>
      <c r="C13" s="355">
        <f ca="1">ROUND(C29*F13,0)</f>
        <v>0</v>
      </c>
      <c r="D13" s="1331" t="s">
        <v>1404</v>
      </c>
      <c r="E13" s="1331" t="s">
        <v>1405</v>
      </c>
      <c r="F13" s="1332">
        <f ca="1">INDIRECT("'数据-取费表'!y"&amp;$G$1)</f>
        <v>0</v>
      </c>
      <c r="G13" s="1850"/>
      <c r="H13" s="1329">
        <v>2</v>
      </c>
      <c r="I13" s="1330" t="s">
        <v>1403</v>
      </c>
      <c r="J13" s="1290">
        <f ca="1">ROUND(J14*J15,0)</f>
        <v>0</v>
      </c>
      <c r="K13" s="1337" t="s">
        <v>1404</v>
      </c>
      <c r="L13" s="1851"/>
      <c r="M13" s="1852"/>
    </row>
    <row r="14" spans="1:37" ht="18" customHeight="1">
      <c r="A14" s="1201" t="s">
        <v>1031</v>
      </c>
      <c r="B14" s="347" t="s">
        <v>1406</v>
      </c>
      <c r="C14" s="363">
        <f ca="1">ROUND(INDIRECT("'数据-取费表'!l"&amp;$G$1)*F43+'数据-取费表'!L14*INDIRECT("'数据-取费表'!S"&amp;$G$1),0)</f>
        <v>0</v>
      </c>
      <c r="D14" s="1799" t="s">
        <v>1407</v>
      </c>
      <c r="E14" s="1793"/>
      <c r="F14" s="364"/>
      <c r="G14" s="1850"/>
      <c r="H14" s="1201" t="s">
        <v>1032</v>
      </c>
      <c r="I14" s="347" t="s">
        <v>1408</v>
      </c>
      <c r="J14" s="24">
        <f ca="1">C29</f>
        <v>0</v>
      </c>
      <c r="K14" s="15"/>
      <c r="L14" s="979"/>
      <c r="M14" s="980"/>
    </row>
    <row r="15" spans="1:37" s="1857" customFormat="1" ht="18" customHeight="1" thickBot="1">
      <c r="A15" s="1201" t="s">
        <v>1033</v>
      </c>
      <c r="B15" s="347" t="s">
        <v>1409</v>
      </c>
      <c r="C15" s="24">
        <f ca="1">ROUND(C14*F15,0)</f>
        <v>0</v>
      </c>
      <c r="D15" s="365" t="s">
        <v>1410</v>
      </c>
      <c r="E15" s="365" t="s">
        <v>1411</v>
      </c>
      <c r="F15" s="366">
        <f>'数据-取费表'!B33</f>
        <v>0.05</v>
      </c>
      <c r="G15" s="1853"/>
      <c r="H15" s="1339" t="s">
        <v>1036</v>
      </c>
      <c r="I15" s="1340" t="s">
        <v>1405</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1378</v>
      </c>
      <c r="B16" s="347" t="s">
        <v>1412</v>
      </c>
      <c r="C16" s="24">
        <f ca="1">ROUND(INDIRECT("'数据-取费表'!l"&amp;$G$1)*F43*F16,0)</f>
        <v>0</v>
      </c>
      <c r="D16" s="347" t="s">
        <v>1410</v>
      </c>
      <c r="E16" s="347" t="s">
        <v>1411</v>
      </c>
      <c r="F16" s="367">
        <f ca="1">IF(INDIRECT("'数据-取费表'!c"&amp;$G$1)="住宅",'数据-取费表'!B34,0)</f>
        <v>0</v>
      </c>
      <c r="G16" s="1850"/>
      <c r="H16" s="1329" t="s">
        <v>1027</v>
      </c>
      <c r="I16" s="1330" t="s">
        <v>1413</v>
      </c>
      <c r="J16" s="355">
        <f ca="1">ROUND(J17+J22+J23+J24,0)</f>
        <v>0</v>
      </c>
      <c r="K16" s="1337" t="s">
        <v>1414</v>
      </c>
      <c r="L16" s="1338"/>
      <c r="M16" s="1294"/>
    </row>
    <row r="17" spans="1:37" s="1857" customFormat="1" ht="18" customHeight="1">
      <c r="A17" s="1201" t="s">
        <v>1379</v>
      </c>
      <c r="B17" s="347" t="s">
        <v>1415</v>
      </c>
      <c r="C17" s="24">
        <f ca="1">ROUND(F17*(F43+INDIRECT("'数据-取费表'!S"&amp;$G$1)),0)</f>
        <v>0</v>
      </c>
      <c r="D17" s="347" t="s">
        <v>1416</v>
      </c>
      <c r="E17" s="347" t="s">
        <v>1417</v>
      </c>
      <c r="F17" s="26">
        <f>'数据-取费表'!B35</f>
        <v>200</v>
      </c>
      <c r="G17" s="1853"/>
      <c r="H17" s="1201" t="s">
        <v>1032</v>
      </c>
      <c r="I17" s="347" t="s">
        <v>1418</v>
      </c>
      <c r="J17" s="24">
        <f ca="1">ROUND(IF(项目基本情况!B11="自然人",J6*M17/(1+'数据-取费表'!C42),J18+J19+J20),0)</f>
        <v>0</v>
      </c>
      <c r="K17" s="1799" t="s">
        <v>1419</v>
      </c>
      <c r="L17" s="1797" t="s">
        <v>1420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1380</v>
      </c>
      <c r="B18" s="347" t="s">
        <v>1421</v>
      </c>
      <c r="C18" s="24">
        <f ca="1">ROUND(C14*F18,0)</f>
        <v>0</v>
      </c>
      <c r="D18" s="347" t="s">
        <v>1410</v>
      </c>
      <c r="E18" s="347" t="s">
        <v>1411</v>
      </c>
      <c r="F18" s="367">
        <f>'数据-取费表'!B36</f>
        <v>1.4999999999999999E-2</v>
      </c>
      <c r="G18" s="1853"/>
      <c r="H18" s="1201" t="s">
        <v>1031</v>
      </c>
      <c r="I18" s="347" t="s">
        <v>1422</v>
      </c>
      <c r="J18" s="24">
        <f ca="1">ROUND(J6*M18/(1+'数据-取费表'!C42),0)</f>
        <v>0</v>
      </c>
      <c r="K18" s="1797" t="s">
        <v>1423</v>
      </c>
      <c r="L18" s="347" t="s">
        <v>1411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1424</v>
      </c>
      <c r="C19" s="24">
        <f ca="1">SUM(C14:C18)</f>
        <v>0</v>
      </c>
      <c r="D19" s="140" t="s">
        <v>1425</v>
      </c>
      <c r="E19" s="1817"/>
      <c r="F19" s="26"/>
      <c r="G19" s="1850"/>
      <c r="H19" s="1201" t="s">
        <v>1033</v>
      </c>
      <c r="I19" s="347" t="s">
        <v>1426</v>
      </c>
      <c r="J19" s="24">
        <f ca="1">IF(K19="按租金收入计税",ROUND(J6*M19/(1+'数据-取费表'!C42),0),ROUND(C29*M19*0.7,0))</f>
        <v>0</v>
      </c>
      <c r="K19" s="1827" t="s">
        <v>1427</v>
      </c>
      <c r="L19" s="347" t="s">
        <v>1411</v>
      </c>
      <c r="M19" s="367">
        <f>IF(K19="按租金收入计税",'数据-取费表'!B51,'数据-取费表'!B50)</f>
        <v>1.2E-2</v>
      </c>
    </row>
    <row r="20" spans="1:37" s="1857" customFormat="1" ht="18" customHeight="1">
      <c r="A20" s="1201" t="s">
        <v>1036</v>
      </c>
      <c r="B20" s="347" t="s">
        <v>1428</v>
      </c>
      <c r="C20" s="24">
        <f ca="1">ROUND(C19*F20,0)</f>
        <v>0</v>
      </c>
      <c r="D20" s="369" t="s">
        <v>1429</v>
      </c>
      <c r="E20" s="347" t="s">
        <v>1411</v>
      </c>
      <c r="F20" s="367">
        <f>'数据-取费表'!B37</f>
        <v>0.03</v>
      </c>
      <c r="G20" s="1853"/>
      <c r="H20" s="1201" t="s">
        <v>1378</v>
      </c>
      <c r="I20" s="164" t="s">
        <v>1430</v>
      </c>
      <c r="J20" s="25">
        <f ca="1">ROUND(M20*M21,0)</f>
        <v>0</v>
      </c>
      <c r="K20" s="370" t="s">
        <v>1431</v>
      </c>
      <c r="L20" s="347" t="s">
        <v>1432</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1433</v>
      </c>
      <c r="C21" s="24" t="s">
        <v>1</v>
      </c>
      <c r="D21" s="369" t="s">
        <v>1434</v>
      </c>
      <c r="E21" s="347" t="s">
        <v>1435</v>
      </c>
      <c r="F21" s="367">
        <f>'数据-取费表'!B38</f>
        <v>0.03</v>
      </c>
      <c r="G21" s="1853"/>
      <c r="H21" s="372"/>
      <c r="I21" s="356"/>
      <c r="J21" s="29"/>
      <c r="K21" s="373"/>
      <c r="L21" s="347" t="s">
        <v>1436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1381</v>
      </c>
      <c r="B22" s="347" t="s">
        <v>1437</v>
      </c>
      <c r="C22" s="24"/>
      <c r="D22" s="140" t="str">
        <f>IF(F23&lt;=1,"单利计息。","复利计息。")&amp;"建造成本、管理费用、销售费用产生的利息。"</f>
        <v>复利计息。建造成本、管理费用、销售费用产生的利息。</v>
      </c>
      <c r="E22" s="1817"/>
      <c r="F22" s="26"/>
      <c r="G22" s="1850"/>
      <c r="H22" s="1201" t="s">
        <v>1036</v>
      </c>
      <c r="I22" s="347" t="s">
        <v>1438</v>
      </c>
      <c r="J22" s="24">
        <f ca="1">ROUND(J14*M22,0)</f>
        <v>0</v>
      </c>
      <c r="K22" s="1797" t="s">
        <v>1439</v>
      </c>
      <c r="L22" s="347" t="s">
        <v>1411</v>
      </c>
      <c r="M22" s="374">
        <f ca="1">INDIRECT("'数据-取费表'!Ak"&amp;$G$1)</f>
        <v>0</v>
      </c>
    </row>
    <row r="23" spans="1:37" s="1857" customFormat="1" ht="18" customHeight="1">
      <c r="A23" s="1201" t="s">
        <v>1031</v>
      </c>
      <c r="B23" s="347" t="s">
        <v>1440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1441</v>
      </c>
      <c r="F23" s="371">
        <f>'数据-取费表'!B20</f>
        <v>2</v>
      </c>
      <c r="G23" s="1853"/>
      <c r="H23" s="1201" t="s">
        <v>1072</v>
      </c>
      <c r="I23" s="347" t="s">
        <v>1442</v>
      </c>
      <c r="J23" s="24">
        <f ca="1">ROUND(J13*M23,0)</f>
        <v>0</v>
      </c>
      <c r="K23" s="1797" t="s">
        <v>1443</v>
      </c>
      <c r="L23" s="347" t="s">
        <v>1444</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1445</v>
      </c>
      <c r="B24" s="347" t="s">
        <v>1446</v>
      </c>
      <c r="C24" s="24">
        <f ca="1">ROUND(IF('数据-取费表'!B22&lt;=1,F21*F24*F23/2,F21*(POWER((1+F24),F23/2)-1)),4)</f>
        <v>1.4E-3</v>
      </c>
      <c r="D24" s="375" t="str">
        <f>IF(F23&lt;=1,"销售费用×利率×(建设周期÷2)","销售费用×((1+利率)^(建设周期÷2)-1)")</f>
        <v>销售费用×((1+利率)^(建设周期÷2)-1)</v>
      </c>
      <c r="E24" s="347" t="s">
        <v>1447</v>
      </c>
      <c r="F24" s="377">
        <f ca="1">'数据-取费表'!B40</f>
        <v>4.7500000000000001E-2</v>
      </c>
      <c r="G24" s="1853"/>
      <c r="H24" s="1339" t="s">
        <v>1382</v>
      </c>
      <c r="I24" s="1340" t="s">
        <v>1428</v>
      </c>
      <c r="J24" s="1341">
        <f ca="1">ROUND(J5*M24,0)</f>
        <v>0</v>
      </c>
      <c r="K24" s="1342" t="s">
        <v>1448</v>
      </c>
      <c r="L24" s="1340" t="s">
        <v>1444</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1449</v>
      </c>
      <c r="B25" s="347" t="s">
        <v>1450</v>
      </c>
      <c r="C25" s="24"/>
      <c r="D25" s="140" t="s">
        <v>1451</v>
      </c>
      <c r="E25" s="1817"/>
      <c r="F25" s="26"/>
      <c r="G25" s="1850"/>
      <c r="H25" s="1329" t="s">
        <v>1028</v>
      </c>
      <c r="I25" s="1344" t="s">
        <v>1452</v>
      </c>
      <c r="J25" s="355">
        <f ca="1">J5-J16</f>
        <v>0</v>
      </c>
      <c r="K25" s="1345" t="s">
        <v>1453</v>
      </c>
      <c r="L25" s="1346"/>
      <c r="M25" s="1347"/>
    </row>
    <row r="26" spans="1:37" ht="18" customHeight="1">
      <c r="A26" s="1201" t="s">
        <v>1031</v>
      </c>
      <c r="B26" s="347" t="s">
        <v>1454</v>
      </c>
      <c r="C26" s="24">
        <f ca="1">ROUND((C19+C20)*F26,0)</f>
        <v>0</v>
      </c>
      <c r="D26" s="369" t="s">
        <v>1455</v>
      </c>
      <c r="E26" s="358" t="s">
        <v>1456</v>
      </c>
      <c r="F26" s="357">
        <f ca="1">INDIRECT("'数据-取费表'!q"&amp;$G$1)</f>
        <v>0</v>
      </c>
      <c r="G26" s="1850"/>
      <c r="H26" s="344" t="s">
        <v>1029</v>
      </c>
      <c r="I26" s="345" t="s">
        <v>1457</v>
      </c>
      <c r="J26" s="346">
        <f ca="1">IF(J5&lt;&gt;0,ROUND(J25*(1-((1+M28)/(1+M26))^M27)/(M26-M28),0),0)</f>
        <v>0</v>
      </c>
      <c r="K26" s="370" t="s">
        <v>1458</v>
      </c>
      <c r="L26" s="347" t="s">
        <v>1459</v>
      </c>
      <c r="M26" s="357">
        <f ca="1">INDIRECT("'数据-取费表'!I"&amp;$G$1)</f>
        <v>0</v>
      </c>
    </row>
    <row r="27" spans="1:37" ht="18" customHeight="1">
      <c r="A27" s="1201" t="s">
        <v>1033</v>
      </c>
      <c r="B27" s="347" t="s">
        <v>1460</v>
      </c>
      <c r="C27" s="24">
        <f ca="1">ROUND(F21*F26,4)</f>
        <v>0</v>
      </c>
      <c r="D27" s="369" t="s">
        <v>1461</v>
      </c>
      <c r="E27" s="365"/>
      <c r="F27" s="366"/>
      <c r="G27" s="1850"/>
      <c r="H27" s="349"/>
      <c r="I27" s="350"/>
      <c r="J27" s="351"/>
      <c r="K27" s="378" t="s">
        <v>1462</v>
      </c>
      <c r="L27" s="347" t="s">
        <v>1463</v>
      </c>
      <c r="M27" s="379">
        <f ca="1">INDIRECT("'数据-取费表'!ag"&amp;$G$1)</f>
        <v>0</v>
      </c>
    </row>
    <row r="28" spans="1:37" s="1857" customFormat="1" ht="18" customHeight="1">
      <c r="A28" s="1201" t="s">
        <v>1034</v>
      </c>
      <c r="B28" s="347" t="s">
        <v>1464</v>
      </c>
      <c r="C28" s="24">
        <f>ROUND(F28/(1+'数据-取费表'!C42),4)</f>
        <v>5.33E-2</v>
      </c>
      <c r="D28" s="369" t="s">
        <v>1465</v>
      </c>
      <c r="E28" s="347" t="s">
        <v>1411</v>
      </c>
      <c r="F28" s="367">
        <f>'数据-取费表'!B41</f>
        <v>5.6000000000000001E-2</v>
      </c>
      <c r="G28" s="1853"/>
      <c r="H28" s="353"/>
      <c r="I28" s="354"/>
      <c r="J28" s="355"/>
      <c r="K28" s="373"/>
      <c r="L28" s="347" t="s">
        <v>1466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1467</v>
      </c>
      <c r="C29" s="1341">
        <f ca="1">ROUND((C19+C20+C23+C26)/(1-F21-C24-C27-C28),0)</f>
        <v>0</v>
      </c>
      <c r="D29" s="1342"/>
      <c r="E29" s="1340"/>
      <c r="F29" s="1343"/>
      <c r="G29" s="1853"/>
      <c r="H29" s="380" t="s">
        <v>1030</v>
      </c>
      <c r="I29" s="381" t="s">
        <v>1468</v>
      </c>
      <c r="J29" s="382">
        <f ca="1">ROUND(J26/(1+F40)^F41,0)</f>
        <v>0</v>
      </c>
      <c r="K29" s="383" t="s">
        <v>1469</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1413</v>
      </c>
      <c r="C30" s="355">
        <f ca="1">ROUND(C31+C36+C37+C38,0)</f>
        <v>0</v>
      </c>
      <c r="D30" s="1337" t="s">
        <v>1414</v>
      </c>
      <c r="E30" s="1338"/>
      <c r="F30" s="1294"/>
      <c r="G30" s="1850"/>
      <c r="H30" s="745"/>
      <c r="I30" s="746"/>
      <c r="J30" s="747"/>
      <c r="K30" s="748"/>
      <c r="L30" s="749"/>
      <c r="M30" s="750"/>
    </row>
    <row r="31" spans="1:37" ht="18" customHeight="1">
      <c r="A31" s="1201" t="s">
        <v>1032</v>
      </c>
      <c r="B31" s="347" t="s">
        <v>1418</v>
      </c>
      <c r="C31" s="24">
        <f ca="1">ROUND(IF(项目基本情况!B11="自然人",C6*F31/(1+'数据-取费表'!C42),C32+C33+C34),0)</f>
        <v>0</v>
      </c>
      <c r="D31" s="1799" t="s">
        <v>1419</v>
      </c>
      <c r="E31" s="1797" t="s">
        <v>1470</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1422</v>
      </c>
      <c r="C32" s="24">
        <f ca="1">IF(项目基本情况!B11="自然人","——",ROUND(C6*F32/(1+'数据-取费表'!C42),0))</f>
        <v>0</v>
      </c>
      <c r="D32" s="1797" t="s">
        <v>1423</v>
      </c>
      <c r="E32" s="347" t="s">
        <v>1411</v>
      </c>
      <c r="F32" s="377">
        <f>'数据-取费表'!B41</f>
        <v>5.6000000000000001E-2</v>
      </c>
      <c r="G32" s="1850"/>
      <c r="H32" s="745"/>
      <c r="I32" s="746"/>
      <c r="J32" s="747"/>
      <c r="K32" s="748"/>
      <c r="L32" s="749"/>
      <c r="M32" s="750"/>
    </row>
    <row r="33" spans="1:18" ht="18" customHeight="1">
      <c r="A33" s="1201" t="s">
        <v>1033</v>
      </c>
      <c r="B33" s="347" t="s">
        <v>1426</v>
      </c>
      <c r="C33" s="24">
        <f ca="1">IF(项目基本情况!B11="自然人","——",IF(D33="按租金收入计税",ROUND(C6*F33/(1+'数据-取费表'!C42),0),IF(D33="按房产原值计税",ROUND(C29*F33*0.7,0),INDIRECT("'数据-取费表'!Aj"&amp;$G$1))))</f>
        <v>0</v>
      </c>
      <c r="D33" s="1827" t="s">
        <v>1427</v>
      </c>
      <c r="E33" s="347" t="s">
        <v>1411</v>
      </c>
      <c r="F33" s="367">
        <f>IF(D33="按票据","——",IF(D33="按租金收入计税",'数据-取费表'!B51,'数据-取费表'!B50))</f>
        <v>1.2E-2</v>
      </c>
      <c r="G33" s="1850"/>
      <c r="H33" s="1858"/>
      <c r="I33" s="1859"/>
      <c r="J33" s="1860"/>
      <c r="K33" s="1861"/>
      <c r="L33" s="1858"/>
      <c r="M33" s="1858"/>
    </row>
    <row r="34" spans="1:18" ht="18" customHeight="1">
      <c r="A34" s="1291" t="s">
        <v>1378</v>
      </c>
      <c r="B34" s="164" t="s">
        <v>1430</v>
      </c>
      <c r="C34" s="25">
        <f ca="1">IF(项目基本情况!B11="自然人","——",ROUND(F34*F35,))</f>
        <v>0</v>
      </c>
      <c r="D34" s="370" t="s">
        <v>1431</v>
      </c>
      <c r="E34" s="347" t="s">
        <v>1432</v>
      </c>
      <c r="F34" s="371">
        <f>'数据-取费表'!B52</f>
        <v>18</v>
      </c>
      <c r="G34" s="1850"/>
      <c r="H34" s="745"/>
      <c r="I34" s="1859"/>
      <c r="J34" s="1860"/>
      <c r="K34" s="1862"/>
      <c r="L34" s="1863"/>
      <c r="M34" s="1863"/>
    </row>
    <row r="35" spans="1:18" ht="18" customHeight="1">
      <c r="A35" s="1353"/>
      <c r="B35" s="1351"/>
      <c r="C35" s="29"/>
      <c r="D35" s="373"/>
      <c r="E35" s="347" t="s">
        <v>1436</v>
      </c>
      <c r="F35" s="348">
        <f ca="1">INDIRECT("'数据-取费表'!r"&amp;$G$1)</f>
        <v>0</v>
      </c>
      <c r="G35" s="1850"/>
      <c r="H35" s="745"/>
      <c r="I35" s="1859"/>
      <c r="J35" s="1860"/>
      <c r="K35" s="1861"/>
      <c r="L35" s="1858"/>
      <c r="M35" s="1858"/>
    </row>
    <row r="36" spans="1:18" ht="18" customHeight="1">
      <c r="A36" s="1352" t="s">
        <v>1036</v>
      </c>
      <c r="B36" s="347" t="s">
        <v>1438</v>
      </c>
      <c r="C36" s="24">
        <f ca="1">ROUND(C29*F36,0)</f>
        <v>0</v>
      </c>
      <c r="D36" s="1797" t="s">
        <v>1471</v>
      </c>
      <c r="E36" s="347" t="s">
        <v>1411</v>
      </c>
      <c r="F36" s="374">
        <f ca="1">INDIRECT("'数据-取费表'!Ak"&amp;$G$1)</f>
        <v>0</v>
      </c>
      <c r="G36" s="1850"/>
      <c r="H36" s="1858"/>
      <c r="I36" s="1859"/>
      <c r="J36" s="1860"/>
      <c r="K36" s="751"/>
      <c r="L36" s="1858"/>
      <c r="M36" s="1858"/>
    </row>
    <row r="37" spans="1:18" ht="18" customHeight="1">
      <c r="A37" s="1201" t="s">
        <v>1072</v>
      </c>
      <c r="B37" s="347" t="s">
        <v>1442</v>
      </c>
      <c r="C37" s="24">
        <f ca="1">ROUND(C13*F37,0)</f>
        <v>0</v>
      </c>
      <c r="D37" s="1797" t="s">
        <v>1443</v>
      </c>
      <c r="E37" s="347" t="s">
        <v>1444</v>
      </c>
      <c r="F37" s="376">
        <f ca="1">INDIRECT("'数据-取费表'!Al"&amp;$G$1)</f>
        <v>0</v>
      </c>
      <c r="G37" s="1850"/>
      <c r="H37" s="1858"/>
      <c r="I37" s="1859"/>
      <c r="J37" s="1860"/>
      <c r="K37" s="751"/>
      <c r="L37" s="1858"/>
      <c r="M37" s="1858"/>
    </row>
    <row r="38" spans="1:18" ht="18" customHeight="1" thickBot="1">
      <c r="A38" s="1339" t="s">
        <v>1382</v>
      </c>
      <c r="B38" s="1340" t="s">
        <v>1428</v>
      </c>
      <c r="C38" s="1341">
        <f ca="1">ROUND(C5*F38,1)</f>
        <v>0</v>
      </c>
      <c r="D38" s="1342" t="s">
        <v>1448</v>
      </c>
      <c r="E38" s="1340" t="s">
        <v>1444</v>
      </c>
      <c r="F38" s="1336">
        <f ca="1">INDIRECT("'数据-取费表'!Am"&amp;$G$1)</f>
        <v>0</v>
      </c>
      <c r="G38" s="1850"/>
      <c r="H38" s="1858"/>
      <c r="I38" s="1859"/>
      <c r="J38" s="1860"/>
      <c r="K38" s="1864"/>
      <c r="L38" s="1858"/>
      <c r="M38" s="1858"/>
    </row>
    <row r="39" spans="1:18" ht="24.6" customHeight="1" thickTop="1">
      <c r="A39" s="1329" t="s">
        <v>1028</v>
      </c>
      <c r="B39" s="1344" t="s">
        <v>1472</v>
      </c>
      <c r="C39" s="355">
        <f ca="1">C5-C30</f>
        <v>0</v>
      </c>
      <c r="D39" s="1345" t="s">
        <v>1473</v>
      </c>
      <c r="E39" s="1346"/>
      <c r="F39" s="1347"/>
      <c r="G39" s="1850"/>
      <c r="H39" s="1858"/>
      <c r="I39" s="1859"/>
      <c r="J39" s="1860"/>
      <c r="K39" s="1864"/>
      <c r="L39" s="1858"/>
      <c r="M39" s="1858"/>
    </row>
    <row r="40" spans="1:18" ht="18" customHeight="1">
      <c r="A40" s="344" t="s">
        <v>1029</v>
      </c>
      <c r="B40" s="345" t="s">
        <v>1474</v>
      </c>
      <c r="C40" s="346" t="e">
        <f ca="1">ROUND(C39*(1-((1+F42)/(1+F40))^F41)/(F40-F42),0)</f>
        <v>#DIV/0!</v>
      </c>
      <c r="D40" s="370" t="s">
        <v>1458</v>
      </c>
      <c r="E40" s="347" t="s">
        <v>1459</v>
      </c>
      <c r="F40" s="357">
        <f ca="1">INDIRECT("'数据-取费表'!I"&amp;$G$1)</f>
        <v>0</v>
      </c>
      <c r="G40" s="1850"/>
      <c r="H40" s="1838"/>
      <c r="I40" s="1859"/>
      <c r="J40" s="1860"/>
      <c r="K40" s="1864"/>
      <c r="L40" s="1838"/>
      <c r="M40" s="1838"/>
    </row>
    <row r="41" spans="1:18" ht="18" customHeight="1">
      <c r="A41" s="349"/>
      <c r="B41" s="350"/>
      <c r="C41" s="351"/>
      <c r="D41" s="378" t="s">
        <v>1475</v>
      </c>
      <c r="E41" s="347" t="s">
        <v>1463</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1466</v>
      </c>
      <c r="F42" s="357">
        <f ca="1">INDIRECT("'数据-取费表'!v"&amp;$G$1)</f>
        <v>0</v>
      </c>
      <c r="G42" s="1850"/>
      <c r="H42" s="732"/>
      <c r="I42" s="1859"/>
      <c r="J42" s="1860"/>
      <c r="K42" s="751"/>
      <c r="L42" s="732"/>
      <c r="M42" s="732"/>
    </row>
    <row r="43" spans="1:18" ht="18" customHeight="1" thickBot="1">
      <c r="A43" s="380" t="s">
        <v>1030</v>
      </c>
      <c r="B43" s="381" t="s">
        <v>1476</v>
      </c>
      <c r="C43" s="382" t="e">
        <f ca="1">ROUND(C40/F43,0)</f>
        <v>#DIV/0!</v>
      </c>
      <c r="D43" s="383" t="s">
        <v>1477</v>
      </c>
      <c r="E43" s="384" t="s">
        <v>1478</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1593</v>
      </c>
      <c r="E45" s="1865"/>
      <c r="F45" s="1865"/>
      <c r="O45" s="1868" t="s">
        <v>1508</v>
      </c>
      <c r="P45" s="1838"/>
      <c r="Q45" s="1838"/>
      <c r="R45" s="1838"/>
    </row>
    <row r="46" spans="1:18" s="1841" customFormat="1" ht="13.8" thickBot="1">
      <c r="A46" s="1869" t="s">
        <v>1509</v>
      </c>
      <c r="C46" s="1870" t="e">
        <f ca="1">ROUND(C45/10000,0)</f>
        <v>#DIV/0!</v>
      </c>
      <c r="D46" s="1871" t="str">
        <f>C2</f>
        <v>万元</v>
      </c>
      <c r="I46" s="1872" t="s">
        <v>1510</v>
      </c>
      <c r="J46" s="1873"/>
      <c r="K46" s="1874"/>
      <c r="L46" s="1875" t="e">
        <f ca="1">IF(M47="住宅",0,IF(L48&gt;J51,L60,J60))</f>
        <v>#DIV/0!</v>
      </c>
      <c r="O46" s="1876" t="s">
        <v>1511</v>
      </c>
      <c r="P46" s="1877" t="s">
        <v>1512</v>
      </c>
      <c r="Q46" s="1878" t="s">
        <v>1513</v>
      </c>
      <c r="R46" s="1878" t="s">
        <v>1514</v>
      </c>
    </row>
    <row r="47" spans="1:18" s="1841" customFormat="1" ht="13.8" thickBot="1">
      <c r="A47" s="1165" t="s">
        <v>1385</v>
      </c>
      <c r="B47" s="1197" t="s">
        <v>1386</v>
      </c>
      <c r="C47" s="1197" t="s">
        <v>1387</v>
      </c>
      <c r="D47" s="1197" t="s">
        <v>1388</v>
      </c>
      <c r="E47" s="1279" t="s">
        <v>1389</v>
      </c>
      <c r="F47" s="1280"/>
      <c r="G47" s="792"/>
      <c r="I47" s="1879" t="s">
        <v>1515</v>
      </c>
      <c r="J47" s="1880"/>
      <c r="K47" s="1881" t="s">
        <v>1516</v>
      </c>
      <c r="L47" s="1882">
        <f ca="1">INDIRECT("'数据-取费表'!d"&amp;$G$1)</f>
        <v>0</v>
      </c>
      <c r="M47" s="1837" t="str">
        <f>IF(ISNUMBER(FIND("住宅",C1)),"住宅","非住宅")</f>
        <v>非住宅</v>
      </c>
      <c r="O47" s="1883" t="s">
        <v>1037</v>
      </c>
      <c r="P47" s="1884" t="s">
        <v>1517</v>
      </c>
      <c r="Q47" s="1885" t="e">
        <f ca="1">C40+J29</f>
        <v>#DIV/0!</v>
      </c>
      <c r="R47" s="1885" t="s">
        <v>1518</v>
      </c>
    </row>
    <row r="48" spans="1:18" s="1841" customFormat="1" ht="40.200000000000003" thickBot="1">
      <c r="A48" s="1360" t="s">
        <v>1126</v>
      </c>
      <c r="B48" s="345" t="s">
        <v>1390</v>
      </c>
      <c r="C48" s="1816">
        <f ca="1">C49+C53+C55</f>
        <v>0</v>
      </c>
      <c r="D48" s="1362"/>
      <c r="E48" s="1363"/>
      <c r="F48" s="1181"/>
      <c r="G48" s="792"/>
      <c r="H48" s="793"/>
      <c r="I48" s="1886" t="s">
        <v>1519</v>
      </c>
      <c r="J48" s="1887"/>
      <c r="K48" s="1888" t="s">
        <v>1520</v>
      </c>
      <c r="L48" s="1889">
        <f ca="1">INDIRECT("'数据-取费表'!f"&amp;$G$1)</f>
        <v>0</v>
      </c>
      <c r="O48" s="1883" t="s">
        <v>1038</v>
      </c>
      <c r="P48" s="1884" t="s">
        <v>1521</v>
      </c>
      <c r="Q48" s="1885" t="e">
        <f ca="1">J60</f>
        <v>#DIV/0!</v>
      </c>
      <c r="R48" s="1885" t="s">
        <v>1522</v>
      </c>
    </row>
    <row r="49" spans="1:18" s="1841" customFormat="1" ht="13.8" thickBot="1">
      <c r="A49" s="1194" t="s">
        <v>1127</v>
      </c>
      <c r="B49" s="1828" t="s">
        <v>1479</v>
      </c>
      <c r="C49" s="1364">
        <f ca="1">ROUND(F49*F51*F50*(1-F52),0)</f>
        <v>0</v>
      </c>
      <c r="D49" s="1276" t="s">
        <v>1393</v>
      </c>
      <c r="E49" s="1829" t="s">
        <v>1480</v>
      </c>
      <c r="F49" s="1281"/>
      <c r="G49" s="1890"/>
      <c r="H49" s="793"/>
      <c r="I49" s="1886" t="s">
        <v>1523</v>
      </c>
      <c r="J49" s="1891"/>
      <c r="K49" s="1888" t="s">
        <v>1524</v>
      </c>
      <c r="L49" s="1892"/>
      <c r="O49" s="1893" t="s">
        <v>1039</v>
      </c>
      <c r="P49" s="1884" t="s">
        <v>1525</v>
      </c>
      <c r="Q49" s="1885">
        <f ca="1">C29</f>
        <v>0</v>
      </c>
      <c r="R49" s="1885" t="s">
        <v>1518</v>
      </c>
    </row>
    <row r="50" spans="1:18" s="1841" customFormat="1" ht="13.8" thickBot="1">
      <c r="A50" s="1195"/>
      <c r="B50" s="1198"/>
      <c r="C50" s="1199"/>
      <c r="D50" s="1172"/>
      <c r="E50" s="1277" t="s">
        <v>1395</v>
      </c>
      <c r="F50" s="1278">
        <f ca="1">F7</f>
        <v>0</v>
      </c>
      <c r="H50" s="793"/>
      <c r="I50" s="1886" t="s">
        <v>1526</v>
      </c>
      <c r="J50" s="1894">
        <f>SUMPRODUCT((I63:I65=J47)*(J62:L62=J48)*(J63:L65))</f>
        <v>0</v>
      </c>
      <c r="K50" s="1888" t="s">
        <v>1527</v>
      </c>
      <c r="L50" s="1892"/>
      <c r="M50" s="1895"/>
      <c r="O50" s="1893" t="s">
        <v>1040</v>
      </c>
      <c r="P50" s="1884" t="s">
        <v>1528</v>
      </c>
      <c r="Q50" s="1896" t="e">
        <f ca="1">J58</f>
        <v>#DIV/0!</v>
      </c>
      <c r="R50" s="1885"/>
    </row>
    <row r="51" spans="1:18" s="1841" customFormat="1" ht="13.8" thickBot="1">
      <c r="A51" s="1196"/>
      <c r="B51" s="1198"/>
      <c r="C51" s="1199"/>
      <c r="D51" s="1172"/>
      <c r="E51" s="1200" t="s">
        <v>1396</v>
      </c>
      <c r="F51" s="348">
        <f ca="1">F8</f>
        <v>0</v>
      </c>
      <c r="I51" s="1897" t="s">
        <v>1529</v>
      </c>
      <c r="J51" s="1898">
        <f>IF(J49="",J50,J49+J50-YEAR('数据-取费表'!B2))</f>
        <v>0</v>
      </c>
      <c r="K51" s="1899" t="s">
        <v>1530</v>
      </c>
      <c r="L51" s="1900">
        <f ca="1">ROUND(-PV(INDIRECT("'数据-取费表'!h"&amp;$G$1),L48,(C39-C13*C76),0),0)</f>
        <v>0</v>
      </c>
      <c r="M51" s="1901"/>
      <c r="O51" s="1893" t="s">
        <v>1041</v>
      </c>
      <c r="P51" s="1884" t="s">
        <v>1531</v>
      </c>
      <c r="Q51" s="1896">
        <f>J52</f>
        <v>0</v>
      </c>
      <c r="R51" s="1885"/>
    </row>
    <row r="52" spans="1:18" s="1841" customFormat="1" ht="13.8" thickBot="1">
      <c r="A52" s="1196"/>
      <c r="B52" s="1198"/>
      <c r="C52" s="1199"/>
      <c r="D52" s="1172"/>
      <c r="E52" s="1200" t="s">
        <v>1397</v>
      </c>
      <c r="F52" s="1275"/>
      <c r="I52" s="1902" t="s">
        <v>1532</v>
      </c>
      <c r="J52" s="1903"/>
      <c r="K52" s="1902" t="s">
        <v>1533</v>
      </c>
      <c r="L52" s="1903"/>
      <c r="O52" s="1893" t="s">
        <v>1042</v>
      </c>
      <c r="P52" s="1884" t="s">
        <v>1534</v>
      </c>
      <c r="Q52" s="1885">
        <f ca="1">J53</f>
        <v>0</v>
      </c>
      <c r="R52" s="1885" t="s">
        <v>1535</v>
      </c>
    </row>
    <row r="53" spans="1:18" s="1841" customFormat="1" ht="30.75" customHeight="1" thickBot="1">
      <c r="A53" s="1361" t="s">
        <v>1128</v>
      </c>
      <c r="B53" s="369" t="s">
        <v>1398</v>
      </c>
      <c r="C53" s="361">
        <f ca="1">ROUND(IF(F53="押一",C49/12*F11,IF(F53="押二",C49/12*2*F11,IF(F53="押三",C49/12*3*F11,C54*F11))),0)</f>
        <v>0</v>
      </c>
      <c r="D53" s="1823" t="s">
        <v>3027</v>
      </c>
      <c r="E53" s="358" t="s">
        <v>1399</v>
      </c>
      <c r="F53" s="1366"/>
      <c r="I53" s="1904" t="s">
        <v>1536</v>
      </c>
      <c r="J53" s="2948">
        <f ca="1">IF(M47="住宅",IF(D1="——",MAX(J51,L48),MAX(J51,L48-'数据-取费表'!B24)),IF(D1="——",MIN(J51,L48),MIN(J51,L48-'数据-取费表'!B24)))</f>
        <v>0</v>
      </c>
      <c r="K53" s="3151" t="s">
        <v>1537</v>
      </c>
      <c r="L53" s="3152"/>
      <c r="O53" s="1883" t="s">
        <v>1043</v>
      </c>
      <c r="P53" s="1884" t="s">
        <v>1538</v>
      </c>
      <c r="Q53" s="1885" t="e">
        <f ca="1">Q47+Q48</f>
        <v>#DIV/0!</v>
      </c>
      <c r="R53" s="1885" t="s">
        <v>1044</v>
      </c>
    </row>
    <row r="54" spans="1:18" s="1841" customFormat="1" ht="13.8" thickBot="1">
      <c r="A54" s="1194"/>
      <c r="B54" s="1939" t="s">
        <v>1592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1539</v>
      </c>
      <c r="P54" s="1838"/>
      <c r="Q54" s="1838"/>
      <c r="R54" s="1838"/>
    </row>
    <row r="55" spans="1:18" s="1841" customFormat="1" ht="13.8" thickBot="1">
      <c r="A55" s="1333" t="s">
        <v>1072</v>
      </c>
      <c r="B55" s="1826" t="s">
        <v>1402</v>
      </c>
      <c r="C55" s="1334"/>
      <c r="D55" s="1823"/>
      <c r="E55" s="1831"/>
      <c r="F55" s="1905"/>
      <c r="I55" s="1908" t="s">
        <v>1540</v>
      </c>
      <c r="J55" s="1909" t="e">
        <f ca="1">ROUND(IF(J47="钢混",J57/J50,1-(1-2%)*(J50-J57)/J50),3)</f>
        <v>#DIV/0!</v>
      </c>
      <c r="K55" s="1910" t="s">
        <v>1541</v>
      </c>
      <c r="L55" s="1911"/>
      <c r="O55" s="1876" t="s">
        <v>1511</v>
      </c>
      <c r="P55" s="1877" t="s">
        <v>1512</v>
      </c>
      <c r="Q55" s="1878" t="s">
        <v>1513</v>
      </c>
      <c r="R55" s="1878" t="s">
        <v>1514</v>
      </c>
    </row>
    <row r="56" spans="1:18" s="1841" customFormat="1" ht="36" customHeight="1" thickTop="1" thickBot="1">
      <c r="A56" s="1176">
        <v>2</v>
      </c>
      <c r="B56" s="1177" t="s">
        <v>1403</v>
      </c>
      <c r="C56" s="276">
        <f ca="1">C13</f>
        <v>0</v>
      </c>
      <c r="D56" s="1912"/>
      <c r="E56" s="1913"/>
      <c r="F56" s="1905"/>
      <c r="I56" s="1914" t="s">
        <v>1543</v>
      </c>
      <c r="J56" s="1915"/>
      <c r="K56" s="1886" t="s">
        <v>1544</v>
      </c>
      <c r="L56" s="1889">
        <f ca="1">IF(L48&lt;J51,"——",L48-J51)</f>
        <v>0</v>
      </c>
      <c r="O56" s="1883" t="s">
        <v>1037</v>
      </c>
      <c r="P56" s="1884" t="s">
        <v>1517</v>
      </c>
      <c r="Q56" s="1885" t="e">
        <f ca="1">C40+J29</f>
        <v>#DIV/0!</v>
      </c>
      <c r="R56" s="1885" t="s">
        <v>1518</v>
      </c>
    </row>
    <row r="57" spans="1:18" s="1841" customFormat="1" ht="24.6" thickBot="1">
      <c r="A57" s="1916"/>
      <c r="B57" s="1169" t="s">
        <v>1467</v>
      </c>
      <c r="C57" s="282">
        <f ca="1">C29</f>
        <v>0</v>
      </c>
      <c r="D57" s="1917"/>
      <c r="E57" s="1918"/>
      <c r="F57" s="1919"/>
      <c r="I57" s="1920" t="s">
        <v>1545</v>
      </c>
      <c r="J57" s="1921">
        <f ca="1">IF(OR(M47="住宅",J51&lt;L48,J56="是"),"——",J51-L48)</f>
        <v>0</v>
      </c>
      <c r="K57" s="1886" t="s">
        <v>1594</v>
      </c>
      <c r="L57" s="1889">
        <f ca="1">IF(L48&lt;J51,"——",IF(L55="比较法",L49,IF(L55="基准地价",L50,L51)))</f>
        <v>0</v>
      </c>
      <c r="O57" s="1883" t="s">
        <v>1038</v>
      </c>
      <c r="P57" s="1884" t="s">
        <v>1595</v>
      </c>
      <c r="Q57" s="1885" t="e">
        <f ca="1">L60</f>
        <v>#DIV/0!</v>
      </c>
      <c r="R57" s="1885" t="s">
        <v>1596</v>
      </c>
    </row>
    <row r="58" spans="1:18" s="1841" customFormat="1" ht="24.6" thickBot="1">
      <c r="A58" s="360" t="s">
        <v>1027</v>
      </c>
      <c r="B58" s="1177" t="s">
        <v>1413</v>
      </c>
      <c r="C58" s="361">
        <f ca="1">ROUND(C59+C64+C65+C66,0)</f>
        <v>0</v>
      </c>
      <c r="D58" s="1179" t="s">
        <v>1414</v>
      </c>
      <c r="E58" s="1180"/>
      <c r="F58" s="1181"/>
      <c r="I58" s="1920" t="s">
        <v>1549</v>
      </c>
      <c r="J58" s="1922" t="e">
        <f ca="1">IF(J55&lt;0.4,0.4,J55)</f>
        <v>#DIV/0!</v>
      </c>
      <c r="K58" s="1899" t="s">
        <v>1597</v>
      </c>
      <c r="L58" s="1889" t="e">
        <f ca="1">ROUND(POWER(1+L52,L47-L48)*(POWER(1+L52,L48)-1)/(POWER(1+L52,L47)-1),4)</f>
        <v>#DIV/0!</v>
      </c>
      <c r="O58" s="1893" t="s">
        <v>1039</v>
      </c>
      <c r="P58" s="1884" t="s">
        <v>1551</v>
      </c>
      <c r="Q58" s="1885">
        <f>IF(L55="比较法",L49,IF(L55="基准地价",L50,0))</f>
        <v>0</v>
      </c>
      <c r="R58" s="1885" t="s">
        <v>1518</v>
      </c>
    </row>
    <row r="59" spans="1:18" s="1841" customFormat="1" ht="24.6" thickBot="1">
      <c r="A59" s="1201" t="s">
        <v>1032</v>
      </c>
      <c r="B59" s="1169" t="s">
        <v>1418</v>
      </c>
      <c r="C59" s="24">
        <f ca="1">ROUND(IF(项目基本情况!B11="自然人",C48*F59,C60+C61+C62),0)</f>
        <v>0</v>
      </c>
      <c r="D59" s="1182" t="s">
        <v>1419</v>
      </c>
      <c r="E59" s="1183" t="s">
        <v>1420</v>
      </c>
      <c r="F59" s="368" t="str">
        <f ca="1">IF(项目基本情况!B11="企业","",IF(INDIRECT("'数据-取费表'!c"&amp;$G$1)="住宅",5%,IF(F49*F50*F51/12/(1+'数据-取费表'!C42)&gt;20000,12%,7%)))</f>
        <v/>
      </c>
      <c r="I59" s="1920" t="s">
        <v>1552</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1553</v>
      </c>
      <c r="Q59" s="1896">
        <f>L52</f>
        <v>0</v>
      </c>
      <c r="R59" s="1885"/>
    </row>
    <row r="60" spans="1:18" s="1841" customFormat="1" ht="16.2" thickBot="1">
      <c r="A60" s="1201" t="s">
        <v>1031</v>
      </c>
      <c r="B60" s="1169" t="s">
        <v>1422</v>
      </c>
      <c r="C60" s="24">
        <f ca="1">IF(项目基本情况!B11="自然人","——",ROUND(C48*F60/(1+'数据-取费表'!C42),0))</f>
        <v>0</v>
      </c>
      <c r="D60" s="1183" t="s">
        <v>1423</v>
      </c>
      <c r="E60" s="1169" t="s">
        <v>1411</v>
      </c>
      <c r="F60" s="377">
        <f t="shared" ref="F60:F66" si="0">F32</f>
        <v>5.6000000000000001E-2</v>
      </c>
      <c r="I60" s="1923" t="s">
        <v>1554</v>
      </c>
      <c r="J60" s="1924" t="e">
        <f ca="1">IF(OR(M47="住宅",J51&lt;L48,J56="是"),"0",ROUND(J59/(1+J52)^J53,0))</f>
        <v>#DIV/0!</v>
      </c>
      <c r="K60" s="1925" t="s">
        <v>1555</v>
      </c>
      <c r="L60" s="1924" t="e">
        <f ca="1">IF(OR(M47="住宅",L48&lt;J51),0,ROUND(L57*(L58/L59-1),0))</f>
        <v>#DIV/0!</v>
      </c>
      <c r="O60" s="1893" t="s">
        <v>1041</v>
      </c>
      <c r="P60" s="1884" t="s">
        <v>1556</v>
      </c>
      <c r="Q60" s="1885" t="e">
        <f ca="1">L58</f>
        <v>#DIV/0!</v>
      </c>
      <c r="R60" s="1885" t="s">
        <v>1557</v>
      </c>
    </row>
    <row r="61" spans="1:18" s="1841" customFormat="1" ht="13.8" thickBot="1">
      <c r="A61" s="1201" t="s">
        <v>1481</v>
      </c>
      <c r="B61" s="1169" t="s">
        <v>1482</v>
      </c>
      <c r="C61" s="24">
        <f ca="1">IF(项目基本情况!B11="自然人","——",IF(D61="按租金收入计税",ROUND(C48*F61,0),IF(D61="按房产原值计税",ROUND(C57*F61*0.7,0),INDIRECT("'数据-取费表'!Aj"&amp;$G$1))))</f>
        <v>0</v>
      </c>
      <c r="D61" s="1827" t="s">
        <v>1427</v>
      </c>
      <c r="E61" s="1169" t="s">
        <v>1483</v>
      </c>
      <c r="F61" s="367">
        <f t="shared" si="0"/>
        <v>1.2E-2</v>
      </c>
      <c r="I61" s="1926"/>
      <c r="J61" s="1926"/>
      <c r="K61" s="1926"/>
      <c r="L61" s="1926"/>
      <c r="O61" s="1893" t="s">
        <v>1042</v>
      </c>
      <c r="P61" s="1884" t="str">
        <f>K59</f>
        <v>建设期及建筑物耐用年限下的土地年期修正系数Kn</v>
      </c>
      <c r="Q61" s="1885" t="e">
        <f ca="1">L59</f>
        <v>#DIV/0!</v>
      </c>
      <c r="R61" s="1885" t="s">
        <v>1558</v>
      </c>
    </row>
    <row r="62" spans="1:18" s="1841" customFormat="1" ht="13.8" thickBot="1">
      <c r="A62" s="1201" t="s">
        <v>1484</v>
      </c>
      <c r="B62" s="1168" t="s">
        <v>1485</v>
      </c>
      <c r="C62" s="25">
        <f ca="1">IF(项目基本情况!B11="自然人","——",ROUND(F62*F63,0))</f>
        <v>0</v>
      </c>
      <c r="D62" s="1184" t="s">
        <v>1486</v>
      </c>
      <c r="E62" s="1169" t="s">
        <v>1487</v>
      </c>
      <c r="F62" s="371">
        <f t="shared" si="0"/>
        <v>18</v>
      </c>
      <c r="I62" s="1927" t="s">
        <v>1559</v>
      </c>
      <c r="J62" s="1928" t="s">
        <v>1560</v>
      </c>
      <c r="K62" s="1928" t="s">
        <v>1561</v>
      </c>
      <c r="L62" s="1928" t="s">
        <v>1562</v>
      </c>
      <c r="M62" s="1929" t="s">
        <v>1563</v>
      </c>
      <c r="O62" s="1883" t="s">
        <v>1043</v>
      </c>
      <c r="P62" s="1884" t="s">
        <v>1564</v>
      </c>
      <c r="Q62" s="1885" t="e">
        <f ca="1">Q56+Q57</f>
        <v>#DIV/0!</v>
      </c>
      <c r="R62" s="1885" t="s">
        <v>1044</v>
      </c>
    </row>
    <row r="63" spans="1:18" s="1841" customFormat="1" ht="13.8" thickBot="1">
      <c r="A63" s="372"/>
      <c r="B63" s="1175"/>
      <c r="C63" s="29"/>
      <c r="D63" s="1185"/>
      <c r="E63" s="1169" t="s">
        <v>1488</v>
      </c>
      <c r="F63" s="348">
        <f t="shared" ca="1" si="0"/>
        <v>0</v>
      </c>
      <c r="I63" s="1927" t="s">
        <v>1565</v>
      </c>
      <c r="J63" s="1928">
        <v>70</v>
      </c>
      <c r="K63" s="1928">
        <v>50</v>
      </c>
      <c r="L63" s="1928">
        <v>80</v>
      </c>
      <c r="M63" s="1930">
        <v>0.02</v>
      </c>
      <c r="O63" s="1868" t="s">
        <v>1566</v>
      </c>
      <c r="P63" s="1838"/>
      <c r="Q63" s="1838"/>
      <c r="R63" s="1838"/>
    </row>
    <row r="64" spans="1:18" s="1841" customFormat="1" ht="13.8" thickBot="1">
      <c r="A64" s="1201" t="s">
        <v>1489</v>
      </c>
      <c r="B64" s="1169" t="s">
        <v>1490</v>
      </c>
      <c r="C64" s="24">
        <f ca="1">ROUND(C57*F64,0)</f>
        <v>0</v>
      </c>
      <c r="D64" s="1183" t="s">
        <v>1491</v>
      </c>
      <c r="E64" s="1169" t="s">
        <v>1483</v>
      </c>
      <c r="F64" s="374">
        <f t="shared" ca="1" si="0"/>
        <v>0</v>
      </c>
      <c r="I64" s="1927" t="s">
        <v>1567</v>
      </c>
      <c r="J64" s="1928">
        <v>50</v>
      </c>
      <c r="K64" s="1928">
        <v>35</v>
      </c>
      <c r="L64" s="1928">
        <v>60</v>
      </c>
      <c r="M64" s="1929">
        <v>0</v>
      </c>
      <c r="O64" s="1876" t="s">
        <v>1511</v>
      </c>
      <c r="P64" s="1877" t="s">
        <v>1512</v>
      </c>
      <c r="Q64" s="1878" t="s">
        <v>1513</v>
      </c>
      <c r="R64" s="1878" t="s">
        <v>1514</v>
      </c>
    </row>
    <row r="65" spans="1:18" s="1841" customFormat="1" ht="13.8" thickBot="1">
      <c r="A65" s="1201" t="s">
        <v>1492</v>
      </c>
      <c r="B65" s="1169" t="s">
        <v>1442</v>
      </c>
      <c r="C65" s="24">
        <f ca="1">ROUND(C56*F65,0)</f>
        <v>0</v>
      </c>
      <c r="D65" s="1183" t="s">
        <v>1443</v>
      </c>
      <c r="E65" s="1169" t="s">
        <v>1444</v>
      </c>
      <c r="F65" s="376">
        <f t="shared" ca="1" si="0"/>
        <v>0</v>
      </c>
      <c r="I65" s="1927" t="s">
        <v>1568</v>
      </c>
      <c r="J65" s="1928">
        <v>40</v>
      </c>
      <c r="K65" s="1928">
        <v>30</v>
      </c>
      <c r="L65" s="1928">
        <v>50</v>
      </c>
      <c r="M65" s="1930">
        <v>0.02</v>
      </c>
      <c r="O65" s="1883" t="s">
        <v>1037</v>
      </c>
      <c r="P65" s="1884" t="s">
        <v>1569</v>
      </c>
      <c r="Q65" s="1885" t="e">
        <f ca="1">C40+J29</f>
        <v>#DIV/0!</v>
      </c>
      <c r="R65" s="1885" t="s">
        <v>1518</v>
      </c>
    </row>
    <row r="66" spans="1:18" s="1841" customFormat="1" ht="16.2" thickBot="1">
      <c r="A66" s="1201" t="s">
        <v>1493</v>
      </c>
      <c r="B66" s="1169" t="s">
        <v>1428</v>
      </c>
      <c r="C66" s="24">
        <f ca="1">ROUND(C48*F66,0)</f>
        <v>0</v>
      </c>
      <c r="D66" s="1183" t="s">
        <v>1494</v>
      </c>
      <c r="E66" s="1169" t="s">
        <v>1411</v>
      </c>
      <c r="F66" s="357">
        <f t="shared" ca="1" si="0"/>
        <v>0</v>
      </c>
      <c r="O66" s="1883" t="s">
        <v>1038</v>
      </c>
      <c r="P66" s="1884" t="s">
        <v>1547</v>
      </c>
      <c r="Q66" s="1885" t="e">
        <f ca="1">L60</f>
        <v>#DIV/0!</v>
      </c>
      <c r="R66" s="1885" t="s">
        <v>1570</v>
      </c>
    </row>
    <row r="67" spans="1:18" s="1841" customFormat="1" ht="24.6" thickBot="1">
      <c r="A67" s="1176" t="s">
        <v>1028</v>
      </c>
      <c r="B67" s="1186" t="s">
        <v>1452</v>
      </c>
      <c r="C67" s="361">
        <f ca="1">C48-C58</f>
        <v>0</v>
      </c>
      <c r="D67" s="1182" t="s">
        <v>1453</v>
      </c>
      <c r="E67" s="1187"/>
      <c r="F67" s="1188"/>
      <c r="O67" s="1893" t="s">
        <v>1039</v>
      </c>
      <c r="P67" s="1884" t="s">
        <v>1551</v>
      </c>
      <c r="Q67" s="1931">
        <f ca="1">L51</f>
        <v>0</v>
      </c>
      <c r="R67" s="1885" t="s">
        <v>1571</v>
      </c>
    </row>
    <row r="68" spans="1:18" s="1841" customFormat="1" ht="16.2" thickBot="1">
      <c r="A68" s="1166" t="s">
        <v>1029</v>
      </c>
      <c r="B68" s="1167" t="s">
        <v>1474</v>
      </c>
      <c r="C68" s="346" t="e">
        <f ca="1">ROUND(C67*(1-((1+F70)/(1+F68))^F69)/(F68-F70),0)</f>
        <v>#DIV/0!</v>
      </c>
      <c r="D68" s="1184" t="s">
        <v>1458</v>
      </c>
      <c r="E68" s="1169" t="s">
        <v>1459</v>
      </c>
      <c r="F68" s="357">
        <f ca="1">F40</f>
        <v>0</v>
      </c>
      <c r="O68" s="1893" t="s">
        <v>1040</v>
      </c>
      <c r="P68" s="1932" t="s">
        <v>1572</v>
      </c>
      <c r="Q68" s="1885">
        <f ca="1">ROUND(Q69-Q70*Q71,0)</f>
        <v>0</v>
      </c>
      <c r="R68" s="1885" t="s">
        <v>1048</v>
      </c>
    </row>
    <row r="69" spans="1:18" s="1841" customFormat="1" ht="13.8" thickBot="1">
      <c r="A69" s="1170"/>
      <c r="B69" s="1171"/>
      <c r="C69" s="351"/>
      <c r="D69" s="1189" t="s">
        <v>1462</v>
      </c>
      <c r="E69" s="1169" t="s">
        <v>1463</v>
      </c>
      <c r="F69" s="379">
        <f ca="1">F41</f>
        <v>0</v>
      </c>
      <c r="O69" s="1893" t="s">
        <v>1045</v>
      </c>
      <c r="P69" s="1932" t="s">
        <v>1573</v>
      </c>
      <c r="Q69" s="1885">
        <f ca="1">C39</f>
        <v>0</v>
      </c>
      <c r="R69" s="1885" t="s">
        <v>1518</v>
      </c>
    </row>
    <row r="70" spans="1:18" s="1841" customFormat="1" ht="13.8" thickBot="1">
      <c r="A70" s="1173"/>
      <c r="B70" s="1174"/>
      <c r="C70" s="355"/>
      <c r="D70" s="1185"/>
      <c r="E70" s="1169" t="s">
        <v>1466</v>
      </c>
      <c r="F70" s="1275">
        <f ca="1">F42</f>
        <v>0</v>
      </c>
      <c r="O70" s="1893" t="s">
        <v>1046</v>
      </c>
      <c r="P70" s="1932" t="s">
        <v>1574</v>
      </c>
      <c r="Q70" s="1885">
        <f ca="1">C13</f>
        <v>0</v>
      </c>
      <c r="R70" s="1885" t="s">
        <v>1518</v>
      </c>
    </row>
    <row r="71" spans="1:18" s="1841" customFormat="1" ht="13.8" thickBot="1">
      <c r="A71" s="1190" t="s">
        <v>1030</v>
      </c>
      <c r="B71" s="1191" t="s">
        <v>1476</v>
      </c>
      <c r="C71" s="382" t="e">
        <f ca="1">ROUND(C68/F71,0)</f>
        <v>#DIV/0!</v>
      </c>
      <c r="D71" s="1192" t="s">
        <v>1477</v>
      </c>
      <c r="E71" s="1193" t="s">
        <v>1478</v>
      </c>
      <c r="F71" s="385">
        <f ca="1">F43</f>
        <v>0</v>
      </c>
      <c r="O71" s="1893" t="s">
        <v>1047</v>
      </c>
      <c r="P71" s="1932" t="s">
        <v>1575</v>
      </c>
      <c r="Q71" s="1896">
        <f ca="1">C76</f>
        <v>0</v>
      </c>
      <c r="R71" s="1885"/>
    </row>
    <row r="72" spans="1:18" s="1841" customFormat="1" ht="13.8" thickBot="1">
      <c r="B72" s="796"/>
      <c r="C72" s="796"/>
      <c r="O72" s="1893" t="s">
        <v>1041</v>
      </c>
      <c r="P72" s="1884" t="s">
        <v>1553</v>
      </c>
      <c r="Q72" s="1896">
        <f>L52</f>
        <v>0</v>
      </c>
      <c r="R72" s="1885"/>
    </row>
    <row r="73" spans="1:18" ht="16.2" thickBot="1">
      <c r="A73" s="1841"/>
      <c r="B73" s="796"/>
      <c r="C73" s="796"/>
      <c r="D73" s="1841"/>
      <c r="E73" s="1841"/>
      <c r="F73" s="1841"/>
      <c r="O73" s="1893" t="s">
        <v>1042</v>
      </c>
      <c r="P73" s="1884" t="s">
        <v>1556</v>
      </c>
      <c r="Q73" s="1885" t="e">
        <f ca="1">L58</f>
        <v>#DIV/0!</v>
      </c>
      <c r="R73" s="1885" t="s">
        <v>1557</v>
      </c>
    </row>
    <row r="74" spans="1:18" ht="13.8" thickBot="1">
      <c r="A74" s="1841"/>
      <c r="B74" s="317" t="s">
        <v>1576</v>
      </c>
      <c r="C74" s="1934"/>
      <c r="D74" s="1841"/>
      <c r="E74" s="1841"/>
      <c r="F74" s="1841"/>
      <c r="O74" s="1893" t="s">
        <v>1049</v>
      </c>
      <c r="P74" s="1884" t="str">
        <f>K59</f>
        <v>建设期及建筑物耐用年限下的土地年期修正系数Kn</v>
      </c>
      <c r="Q74" s="1885" t="e">
        <f ca="1">L59</f>
        <v>#DIV/0!</v>
      </c>
      <c r="R74" s="1885" t="s">
        <v>1558</v>
      </c>
    </row>
    <row r="75" spans="1:18" ht="13.8" thickBot="1">
      <c r="A75" s="1841"/>
      <c r="B75" s="386" t="s">
        <v>1495</v>
      </c>
      <c r="C75" s="387">
        <f ca="1">ROUND(C13*C76,0)</f>
        <v>0</v>
      </c>
      <c r="D75" s="1841"/>
      <c r="E75" s="1841"/>
      <c r="F75" s="1841"/>
      <c r="K75" s="1867"/>
      <c r="L75" s="1841"/>
      <c r="O75" s="1883" t="s">
        <v>1043</v>
      </c>
      <c r="P75" s="1884" t="s">
        <v>1538</v>
      </c>
      <c r="Q75" s="1885" t="e">
        <f ca="1">Q65+Q66</f>
        <v>#DIV/0!</v>
      </c>
      <c r="R75" s="1885" t="s">
        <v>1044</v>
      </c>
    </row>
    <row r="76" spans="1:18">
      <c r="B76" s="388" t="s">
        <v>1496</v>
      </c>
      <c r="C76" s="389">
        <f ca="1">INDIRECT("'数据-取费表'!j"&amp;$G$1)</f>
        <v>0</v>
      </c>
      <c r="I76" s="1841"/>
      <c r="J76" s="1841"/>
      <c r="K76" s="1867"/>
      <c r="L76" s="1841"/>
    </row>
    <row r="77" spans="1:18">
      <c r="B77" s="390" t="s">
        <v>1497</v>
      </c>
      <c r="C77" s="391"/>
      <c r="I77" s="1841"/>
      <c r="J77" s="1841"/>
      <c r="K77" s="1867"/>
      <c r="L77" s="1841"/>
    </row>
    <row r="78" spans="1:18">
      <c r="B78" s="314" t="s">
        <v>1498</v>
      </c>
      <c r="C78" s="392"/>
    </row>
    <row r="79" spans="1:18">
      <c r="B79" s="386" t="s">
        <v>1499</v>
      </c>
      <c r="C79" s="318" t="e">
        <f ca="1">1-C80</f>
        <v>#DIV/0!</v>
      </c>
    </row>
    <row r="80" spans="1:18">
      <c r="B80" s="386" t="s">
        <v>1500</v>
      </c>
      <c r="C80" s="318" t="e">
        <f ca="1">ROUND(C75/C39,3)</f>
        <v>#DIV/0!</v>
      </c>
    </row>
    <row r="81" spans="2:3">
      <c r="B81" s="314" t="s">
        <v>1501</v>
      </c>
      <c r="C81" s="282"/>
    </row>
    <row r="82" spans="2:3">
      <c r="B82" s="317" t="s">
        <v>1502</v>
      </c>
      <c r="C82" s="319" t="e">
        <f ca="1">1-C83</f>
        <v>#DIV/0!</v>
      </c>
    </row>
    <row r="83" spans="2:3">
      <c r="B83" s="317" t="s">
        <v>1503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9" t="s">
        <v>2513</v>
      </c>
      <c r="B1" s="2560"/>
      <c r="C1" s="2560"/>
      <c r="D1" s="2560"/>
      <c r="E1" s="2561"/>
    </row>
    <row r="2" spans="1:6" ht="15.6">
      <c r="A2" s="2562" t="s">
        <v>2314</v>
      </c>
      <c r="B2" s="2563">
        <f ca="1">SUMIF(B6:B13,"&lt;&gt;#ref!",B6:B13)</f>
        <v>139215</v>
      </c>
      <c r="C2" s="2564" t="s">
        <v>2506</v>
      </c>
      <c r="D2" s="2565" t="s">
        <v>2507</v>
      </c>
      <c r="E2" s="2566">
        <f>SUM(E6:E13)</f>
        <v>57477.440000000002</v>
      </c>
    </row>
    <row r="3" spans="1:6" ht="15.6">
      <c r="A3" s="2562" t="s">
        <v>1384</v>
      </c>
      <c r="B3" s="2563">
        <f ca="1">ROUND(B2*10000/E2,0)</f>
        <v>24221</v>
      </c>
      <c r="C3" s="2564" t="s">
        <v>2514</v>
      </c>
      <c r="D3" s="2567"/>
      <c r="E3" s="2568"/>
    </row>
    <row r="4" spans="1:6" ht="15.6">
      <c r="A4" s="2569"/>
      <c r="B4" s="2567"/>
      <c r="C4" s="2567"/>
      <c r="D4" s="2567"/>
      <c r="E4" s="2568"/>
    </row>
    <row r="5" spans="1:6" ht="14.4">
      <c r="A5" s="2570" t="s">
        <v>2508</v>
      </c>
      <c r="B5" s="3156" t="s">
        <v>2509</v>
      </c>
      <c r="C5" s="3156"/>
      <c r="D5" s="2571"/>
      <c r="E5" s="2572" t="s">
        <v>2510</v>
      </c>
      <c r="F5" s="2573" t="s">
        <v>2511</v>
      </c>
    </row>
    <row r="6" spans="1:6" ht="14.4">
      <c r="A6" s="2574" t="str">
        <f>'数据-取费表'!AN6</f>
        <v>收益法</v>
      </c>
      <c r="B6" s="2573">
        <f ca="1">IF(F6="是",'数据-取费表'!AO6,0)</f>
        <v>139215</v>
      </c>
      <c r="C6" s="2564" t="s">
        <v>2506</v>
      </c>
      <c r="D6" s="2567"/>
      <c r="E6" s="2575">
        <f>IF(OR(A6=0,F6="否"),0,'数据-取费表'!K6+'数据-取费表'!S6)</f>
        <v>57477.440000000002</v>
      </c>
      <c r="F6" s="2576" t="s">
        <v>2512</v>
      </c>
    </row>
    <row r="7" spans="1:6" ht="14.4">
      <c r="A7" s="2574">
        <f>'数据-取费表'!AN7</f>
        <v>0</v>
      </c>
      <c r="B7" s="2573" t="e">
        <f ca="1">IF(F7="是",'数据-取费表'!AO7,0)</f>
        <v>#REF!</v>
      </c>
      <c r="C7" s="2564" t="s">
        <v>2506</v>
      </c>
      <c r="D7" s="2567"/>
      <c r="E7" s="2575">
        <f>IF(OR(A7=0,F7="否"),0,'数据-取费表'!K7+'数据-取费表'!S7)</f>
        <v>0</v>
      </c>
      <c r="F7" s="2576" t="s">
        <v>2512</v>
      </c>
    </row>
    <row r="8" spans="1:6" ht="14.4">
      <c r="A8" s="2574">
        <f>'数据-取费表'!AN8</f>
        <v>0</v>
      </c>
      <c r="B8" s="2573" t="e">
        <f ca="1">IF(F8="是",'数据-取费表'!AO8,0)</f>
        <v>#REF!</v>
      </c>
      <c r="C8" s="2564" t="s">
        <v>2506</v>
      </c>
      <c r="D8" s="2567"/>
      <c r="E8" s="2575">
        <f>IF(OR(A8=0,F8="否"),0,'数据-取费表'!K8+'数据-取费表'!S8)</f>
        <v>0</v>
      </c>
      <c r="F8" s="2576" t="s">
        <v>2512</v>
      </c>
    </row>
    <row r="9" spans="1:6" ht="14.4">
      <c r="A9" s="2574">
        <f>'数据-取费表'!AN9</f>
        <v>0</v>
      </c>
      <c r="B9" s="2573" t="e">
        <f ca="1">IF(F9="是",'数据-取费表'!AO9,0)</f>
        <v>#REF!</v>
      </c>
      <c r="C9" s="2564" t="s">
        <v>2506</v>
      </c>
      <c r="D9" s="2567"/>
      <c r="E9" s="2575">
        <f>IF(OR(A9=0,F9="否"),0,'数据-取费表'!K9+'数据-取费表'!S9)</f>
        <v>0</v>
      </c>
      <c r="F9" s="2576" t="s">
        <v>2512</v>
      </c>
    </row>
    <row r="10" spans="1:6" ht="14.4">
      <c r="A10" s="2574">
        <f>'数据-取费表'!AN10</f>
        <v>0</v>
      </c>
      <c r="B10" s="2573" t="e">
        <f ca="1">IF(F10="是",'数据-取费表'!AO10,0)</f>
        <v>#REF!</v>
      </c>
      <c r="C10" s="2564" t="s">
        <v>2506</v>
      </c>
      <c r="D10" s="2567"/>
      <c r="E10" s="2575">
        <f>IF(OR(A10=0,F10="否"),0,'数据-取费表'!K10+'数据-取费表'!S10)</f>
        <v>0</v>
      </c>
      <c r="F10" s="2576" t="s">
        <v>2512</v>
      </c>
    </row>
    <row r="11" spans="1:6" ht="14.4">
      <c r="A11" s="2574">
        <f>'数据-取费表'!AN11</f>
        <v>0</v>
      </c>
      <c r="B11" s="2573" t="e">
        <f ca="1">IF(F11="是",'数据-取费表'!AO11,0)</f>
        <v>#REF!</v>
      </c>
      <c r="C11" s="2564" t="s">
        <v>2506</v>
      </c>
      <c r="D11" s="2567"/>
      <c r="E11" s="2575">
        <f>IF(OR(A11=0,F11="否"),0,'数据-取费表'!K11+'数据-取费表'!S11)</f>
        <v>0</v>
      </c>
      <c r="F11" s="2576" t="s">
        <v>2512</v>
      </c>
    </row>
    <row r="12" spans="1:6" ht="14.4">
      <c r="A12" s="2574">
        <f>'数据-取费表'!AN12</f>
        <v>0</v>
      </c>
      <c r="B12" s="2573" t="e">
        <f ca="1">IF(F12="是",'数据-取费表'!AO12,0)</f>
        <v>#REF!</v>
      </c>
      <c r="C12" s="2564" t="s">
        <v>2506</v>
      </c>
      <c r="D12" s="2567"/>
      <c r="E12" s="2575">
        <f>IF(OR(A12=0,F12="否"),0,'数据-取费表'!K12+'数据-取费表'!S12)</f>
        <v>0</v>
      </c>
      <c r="F12" s="2576" t="s">
        <v>2512</v>
      </c>
    </row>
    <row r="13" spans="1:6" ht="15" thickBot="1">
      <c r="A13" s="2577">
        <f>'数据-取费表'!AN13</f>
        <v>0</v>
      </c>
      <c r="B13" s="2573" t="e">
        <f ca="1">IF(F13="是",'数据-取费表'!AO13,0)</f>
        <v>#REF!</v>
      </c>
      <c r="C13" s="2578" t="s">
        <v>2506</v>
      </c>
      <c r="D13" s="2579"/>
      <c r="E13" s="2575">
        <f>IF(OR(A13=0,F13="否"),0,'数据-取费表'!K13+'数据-取费表'!S13)</f>
        <v>0</v>
      </c>
      <c r="F13" s="2576"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7"/>
  <sheetViews>
    <sheetView zoomScale="70" zoomScaleNormal="70" workbookViewId="0">
      <selection activeCell="B3" sqref="B3:C18"/>
    </sheetView>
  </sheetViews>
  <sheetFormatPr defaultRowHeight="14.4"/>
  <cols>
    <col min="1" max="1" width="10.44140625" customWidth="1"/>
    <col min="2" max="2" width="12.88671875" customWidth="1"/>
    <col min="3" max="3" width="16.5546875" customWidth="1"/>
  </cols>
  <sheetData>
    <row r="1" spans="1:9" ht="15.6">
      <c r="A1" s="3158" t="s">
        <v>1073</v>
      </c>
      <c r="B1" s="3159"/>
      <c r="C1" s="3160"/>
      <c r="D1" s="3161">
        <f>SUM(I19,I24,I29,I30,I32)</f>
        <v>20456</v>
      </c>
      <c r="E1" s="3161"/>
      <c r="F1" s="3161"/>
      <c r="G1" s="3161"/>
      <c r="H1" s="3161"/>
      <c r="I1" s="3162"/>
    </row>
    <row r="2" spans="1:9">
      <c r="A2" s="3163" t="s">
        <v>1074</v>
      </c>
      <c r="B2" s="3157" t="s">
        <v>1075</v>
      </c>
      <c r="C2" s="3157"/>
      <c r="D2" s="1301" t="s">
        <v>1076</v>
      </c>
      <c r="E2" s="1301" t="s">
        <v>1077</v>
      </c>
      <c r="F2" s="1301" t="s">
        <v>1078</v>
      </c>
      <c r="G2" s="1301" t="s">
        <v>1079</v>
      </c>
      <c r="H2" s="1301" t="s">
        <v>1080</v>
      </c>
      <c r="I2" s="1302" t="s">
        <v>1081</v>
      </c>
    </row>
    <row r="3" spans="1:9">
      <c r="A3" s="3163"/>
      <c r="B3" s="3157" t="s">
        <v>1082</v>
      </c>
      <c r="C3" s="3157"/>
      <c r="D3" s="1303">
        <v>1</v>
      </c>
      <c r="E3" s="1301">
        <v>28888</v>
      </c>
      <c r="F3" s="1304">
        <v>0.5</v>
      </c>
      <c r="G3" s="1304">
        <v>0.3</v>
      </c>
      <c r="H3" s="1305">
        <v>365</v>
      </c>
      <c r="I3" s="1306">
        <f>ROUND(D3*E3*F3*G3*H3/10000,0)</f>
        <v>158</v>
      </c>
    </row>
    <row r="4" spans="1:9">
      <c r="A4" s="3163"/>
      <c r="B4" s="3157" t="s">
        <v>3566</v>
      </c>
      <c r="C4" s="3157"/>
      <c r="D4" s="1303">
        <v>2</v>
      </c>
      <c r="E4" s="1301">
        <v>3238</v>
      </c>
      <c r="F4" s="1304">
        <v>0.6</v>
      </c>
      <c r="G4" s="1304">
        <v>0.7</v>
      </c>
      <c r="H4" s="1305">
        <v>365</v>
      </c>
      <c r="I4" s="1306">
        <f t="shared" ref="I4:I18" si="0">ROUND(D4*E4*F4*G4*H4/10000,0)</f>
        <v>99</v>
      </c>
    </row>
    <row r="5" spans="1:9">
      <c r="A5" s="3163"/>
      <c r="B5" s="3157" t="s">
        <v>3567</v>
      </c>
      <c r="C5" s="3157"/>
      <c r="D5" s="1303">
        <v>5</v>
      </c>
      <c r="E5" s="1301">
        <v>2738</v>
      </c>
      <c r="F5" s="1304">
        <v>0.6</v>
      </c>
      <c r="G5" s="1304">
        <v>0.7</v>
      </c>
      <c r="H5" s="1305">
        <v>365</v>
      </c>
      <c r="I5" s="1306">
        <f t="shared" si="0"/>
        <v>210</v>
      </c>
    </row>
    <row r="6" spans="1:9">
      <c r="A6" s="3163"/>
      <c r="B6" s="3157" t="s">
        <v>3568</v>
      </c>
      <c r="C6" s="3157"/>
      <c r="D6" s="1303">
        <v>3</v>
      </c>
      <c r="E6" s="2950">
        <v>3488</v>
      </c>
      <c r="F6" s="1304">
        <v>0.6</v>
      </c>
      <c r="G6" s="1304">
        <v>0.7</v>
      </c>
      <c r="H6" s="1305">
        <v>365</v>
      </c>
      <c r="I6" s="1306">
        <f t="shared" si="0"/>
        <v>160</v>
      </c>
    </row>
    <row r="7" spans="1:9">
      <c r="A7" s="3163"/>
      <c r="B7" s="3157" t="s">
        <v>3569</v>
      </c>
      <c r="C7" s="3157"/>
      <c r="D7" s="1303">
        <v>1</v>
      </c>
      <c r="E7" s="2950">
        <v>3238</v>
      </c>
      <c r="F7" s="1304">
        <v>0.6</v>
      </c>
      <c r="G7" s="1304">
        <v>0.7</v>
      </c>
      <c r="H7" s="1305">
        <v>365</v>
      </c>
      <c r="I7" s="1306">
        <f t="shared" si="0"/>
        <v>50</v>
      </c>
    </row>
    <row r="8" spans="1:9">
      <c r="A8" s="3163"/>
      <c r="B8" s="3157" t="s">
        <v>3570</v>
      </c>
      <c r="C8" s="3157"/>
      <c r="D8" s="1303">
        <v>5</v>
      </c>
      <c r="E8" s="2950">
        <v>2738</v>
      </c>
      <c r="F8" s="1304">
        <v>0.6</v>
      </c>
      <c r="G8" s="1304">
        <v>0.7</v>
      </c>
      <c r="H8" s="1305">
        <v>365</v>
      </c>
      <c r="I8" s="1306">
        <f t="shared" si="0"/>
        <v>210</v>
      </c>
    </row>
    <row r="9" spans="1:9">
      <c r="A9" s="3163"/>
      <c r="B9" s="3157" t="s">
        <v>3571</v>
      </c>
      <c r="C9" s="3157"/>
      <c r="D9" s="1303">
        <v>8</v>
      </c>
      <c r="E9" s="2950">
        <v>2338</v>
      </c>
      <c r="F9" s="1304">
        <v>0.6</v>
      </c>
      <c r="G9" s="1304">
        <v>0.7</v>
      </c>
      <c r="H9" s="1305">
        <v>365</v>
      </c>
      <c r="I9" s="1306">
        <f t="shared" si="0"/>
        <v>287</v>
      </c>
    </row>
    <row r="10" spans="1:9">
      <c r="A10" s="3163"/>
      <c r="B10" s="3157" t="s">
        <v>3572</v>
      </c>
      <c r="C10" s="3157"/>
      <c r="D10" s="1303">
        <v>2</v>
      </c>
      <c r="E10" s="2950">
        <v>2738</v>
      </c>
      <c r="F10" s="1304">
        <v>0.6</v>
      </c>
      <c r="G10" s="1304">
        <v>0.7</v>
      </c>
      <c r="H10" s="1305">
        <v>365</v>
      </c>
      <c r="I10" s="1306">
        <f t="shared" si="0"/>
        <v>84</v>
      </c>
    </row>
    <row r="11" spans="1:9">
      <c r="A11" s="3163"/>
      <c r="B11" s="3157" t="s">
        <v>3573</v>
      </c>
      <c r="C11" s="3157"/>
      <c r="D11" s="1303">
        <v>4</v>
      </c>
      <c r="E11" s="2950">
        <v>2488</v>
      </c>
      <c r="F11" s="1304">
        <v>0.6</v>
      </c>
      <c r="G11" s="1304">
        <v>0.7</v>
      </c>
      <c r="H11" s="1305">
        <v>365</v>
      </c>
      <c r="I11" s="1306">
        <f t="shared" si="0"/>
        <v>153</v>
      </c>
    </row>
    <row r="12" spans="1:9">
      <c r="A12" s="3163"/>
      <c r="B12" s="3157" t="s">
        <v>3578</v>
      </c>
      <c r="C12" s="3157"/>
      <c r="D12" s="1303">
        <v>131</v>
      </c>
      <c r="E12" s="2950">
        <v>1688</v>
      </c>
      <c r="F12" s="1304">
        <v>0.6</v>
      </c>
      <c r="G12" s="1304">
        <v>0.7</v>
      </c>
      <c r="H12" s="1305">
        <v>365</v>
      </c>
      <c r="I12" s="1306">
        <f t="shared" si="0"/>
        <v>3390</v>
      </c>
    </row>
    <row r="13" spans="1:9">
      <c r="A13" s="3163"/>
      <c r="B13" s="3157" t="s">
        <v>3577</v>
      </c>
      <c r="C13" s="3157"/>
      <c r="D13" s="1303">
        <v>11</v>
      </c>
      <c r="E13" s="2950">
        <v>1688</v>
      </c>
      <c r="F13" s="1304">
        <v>0.6</v>
      </c>
      <c r="G13" s="1304">
        <v>0.7</v>
      </c>
      <c r="H13" s="1305">
        <v>365</v>
      </c>
      <c r="I13" s="1306">
        <f t="shared" si="0"/>
        <v>285</v>
      </c>
    </row>
    <row r="14" spans="1:9">
      <c r="A14" s="3163"/>
      <c r="B14" s="3157" t="s">
        <v>3576</v>
      </c>
      <c r="C14" s="3157"/>
      <c r="D14" s="1303">
        <v>5</v>
      </c>
      <c r="E14" s="2950">
        <v>1488</v>
      </c>
      <c r="F14" s="1304">
        <v>0.6</v>
      </c>
      <c r="G14" s="1304">
        <v>0.7</v>
      </c>
      <c r="H14" s="1305">
        <v>365</v>
      </c>
      <c r="I14" s="1306">
        <f t="shared" si="0"/>
        <v>114</v>
      </c>
    </row>
    <row r="15" spans="1:9">
      <c r="A15" s="3163"/>
      <c r="B15" s="3157" t="s">
        <v>3575</v>
      </c>
      <c r="C15" s="3157"/>
      <c r="D15" s="1303">
        <v>133</v>
      </c>
      <c r="E15" s="1301">
        <v>1488</v>
      </c>
      <c r="F15" s="1304">
        <v>0.6</v>
      </c>
      <c r="G15" s="1304">
        <v>0.7</v>
      </c>
      <c r="H15" s="1305">
        <v>365</v>
      </c>
      <c r="I15" s="1306">
        <f t="shared" si="0"/>
        <v>3034</v>
      </c>
    </row>
    <row r="16" spans="1:9">
      <c r="A16" s="3163"/>
      <c r="B16" s="3157" t="s">
        <v>3574</v>
      </c>
      <c r="C16" s="3157"/>
      <c r="D16" s="1303">
        <v>38</v>
      </c>
      <c r="E16" s="1301">
        <v>1288</v>
      </c>
      <c r="F16" s="1304">
        <v>0.6</v>
      </c>
      <c r="G16" s="1304">
        <v>0.7</v>
      </c>
      <c r="H16" s="1305">
        <v>365</v>
      </c>
      <c r="I16" s="1306">
        <f t="shared" si="0"/>
        <v>750</v>
      </c>
    </row>
    <row r="17" spans="1:10">
      <c r="A17" s="3163"/>
      <c r="B17" s="3157" t="s">
        <v>3565</v>
      </c>
      <c r="C17" s="3157"/>
      <c r="D17" s="1303">
        <v>132</v>
      </c>
      <c r="E17" s="1301">
        <v>1188</v>
      </c>
      <c r="F17" s="1304">
        <v>0.6</v>
      </c>
      <c r="G17" s="1304">
        <v>0.7</v>
      </c>
      <c r="H17" s="1305">
        <v>365</v>
      </c>
      <c r="I17" s="1306">
        <f t="shared" si="0"/>
        <v>2404</v>
      </c>
    </row>
    <row r="18" spans="1:10">
      <c r="A18" s="3163"/>
      <c r="B18" s="3157" t="s">
        <v>3564</v>
      </c>
      <c r="C18" s="3157"/>
      <c r="D18" s="1303">
        <v>37</v>
      </c>
      <c r="E18" s="1301">
        <v>1088</v>
      </c>
      <c r="F18" s="1304">
        <v>0.6</v>
      </c>
      <c r="G18" s="1304">
        <v>0.7</v>
      </c>
      <c r="H18" s="1305">
        <v>365</v>
      </c>
      <c r="I18" s="1306">
        <f t="shared" si="0"/>
        <v>617</v>
      </c>
    </row>
    <row r="19" spans="1:10">
      <c r="A19" s="3163"/>
      <c r="B19" s="3164" t="s">
        <v>1083</v>
      </c>
      <c r="C19" s="3164"/>
      <c r="D19" s="1307"/>
      <c r="E19" s="1307" t="e">
        <f>ROUND(D1*10000/D19/H18,0)</f>
        <v>#DIV/0!</v>
      </c>
      <c r="F19" s="1308"/>
      <c r="G19" s="1308"/>
      <c r="H19" s="1309"/>
      <c r="I19" s="1310">
        <f>SUM(I3:I18)</f>
        <v>12005</v>
      </c>
    </row>
    <row r="20" spans="1:10" ht="15.6">
      <c r="A20" s="3163" t="s">
        <v>1084</v>
      </c>
      <c r="B20" s="3157" t="s">
        <v>1085</v>
      </c>
      <c r="C20" s="3157"/>
      <c r="D20" s="1303" t="s">
        <v>1086</v>
      </c>
      <c r="E20" s="1303" t="s">
        <v>1087</v>
      </c>
      <c r="F20" s="1304" t="s">
        <v>1088</v>
      </c>
      <c r="G20" s="1304" t="s">
        <v>1080</v>
      </c>
      <c r="H20" s="1311" t="s">
        <v>1089</v>
      </c>
      <c r="I20" s="1302" t="s">
        <v>1081</v>
      </c>
    </row>
    <row r="21" spans="1:10">
      <c r="A21" s="3163"/>
      <c r="B21" s="3157" t="s">
        <v>1090</v>
      </c>
      <c r="C21" s="3157"/>
      <c r="D21" s="1303">
        <v>250</v>
      </c>
      <c r="E21" s="1303">
        <v>1083</v>
      </c>
      <c r="F21" s="1304">
        <v>0.6</v>
      </c>
      <c r="G21" s="1305">
        <v>365</v>
      </c>
      <c r="H21" s="1312"/>
      <c r="I21" s="1302">
        <f>ROUND(D21*E21*F21*G21/10000,0)</f>
        <v>5929</v>
      </c>
    </row>
    <row r="22" spans="1:10">
      <c r="A22" s="3163"/>
      <c r="B22" s="3157" t="s">
        <v>1091</v>
      </c>
      <c r="C22" s="3157"/>
      <c r="D22" s="1303"/>
      <c r="E22" s="1303"/>
      <c r="F22" s="1304"/>
      <c r="G22" s="1305"/>
      <c r="H22" s="1312"/>
      <c r="I22" s="1302">
        <f>ROUND(D22*E22*F22*G22/10000,0)</f>
        <v>0</v>
      </c>
    </row>
    <row r="23" spans="1:10">
      <c r="A23" s="3163"/>
      <c r="B23" s="3157" t="s">
        <v>1092</v>
      </c>
      <c r="C23" s="3157"/>
      <c r="D23" s="1303"/>
      <c r="E23" s="1303"/>
      <c r="F23" s="1304"/>
      <c r="G23" s="1305"/>
      <c r="H23" s="1312"/>
      <c r="I23" s="1302">
        <f>ROUND(D23*E23*F23*G23/10000,0)</f>
        <v>0</v>
      </c>
    </row>
    <row r="24" spans="1:10">
      <c r="A24" s="3163"/>
      <c r="B24" s="3164" t="s">
        <v>1083</v>
      </c>
      <c r="C24" s="3164"/>
      <c r="D24" s="1307"/>
      <c r="E24" s="1307">
        <f>SUM(E21:E23)</f>
        <v>1083</v>
      </c>
      <c r="F24" s="1308"/>
      <c r="G24" s="1305"/>
      <c r="H24" s="1312"/>
      <c r="I24" s="1313">
        <f>SUM(I21:I23)</f>
        <v>5929</v>
      </c>
    </row>
    <row r="25" spans="1:10" ht="24">
      <c r="A25" s="3163" t="s">
        <v>1093</v>
      </c>
      <c r="B25" s="3157" t="s">
        <v>1094</v>
      </c>
      <c r="C25" s="3157"/>
      <c r="D25" s="1303" t="s">
        <v>1076</v>
      </c>
      <c r="E25" s="1314" t="s">
        <v>1095</v>
      </c>
      <c r="F25" s="1304" t="s">
        <v>1096</v>
      </c>
      <c r="G25" s="1305" t="s">
        <v>1080</v>
      </c>
      <c r="H25" s="1311" t="s">
        <v>1089</v>
      </c>
      <c r="I25" s="1302" t="s">
        <v>1081</v>
      </c>
    </row>
    <row r="26" spans="1:10" ht="15.6">
      <c r="A26" s="3163"/>
      <c r="B26" s="3157" t="s">
        <v>1097</v>
      </c>
      <c r="C26" s="3157"/>
      <c r="D26" s="1303">
        <v>1</v>
      </c>
      <c r="E26" s="1303">
        <v>6000</v>
      </c>
      <c r="F26" s="1304">
        <v>0.3</v>
      </c>
      <c r="G26" s="1305">
        <v>365</v>
      </c>
      <c r="H26" s="1315"/>
      <c r="I26" s="1316">
        <f>ROUND(D26*E26*F26*G26/10000,0)</f>
        <v>66</v>
      </c>
    </row>
    <row r="27" spans="1:10" ht="15.6">
      <c r="A27" s="3163"/>
      <c r="B27" s="3157" t="s">
        <v>1098</v>
      </c>
      <c r="C27" s="3157"/>
      <c r="D27" s="1303">
        <v>2</v>
      </c>
      <c r="E27" s="1303">
        <v>2000</v>
      </c>
      <c r="F27" s="1304">
        <v>0.3</v>
      </c>
      <c r="G27" s="1305">
        <v>365</v>
      </c>
      <c r="H27" s="1315"/>
      <c r="I27" s="1316">
        <f>ROUND(D27*E27*F27*G27/10000,0)</f>
        <v>44</v>
      </c>
    </row>
    <row r="28" spans="1:10" ht="15.6">
      <c r="A28" s="3163"/>
      <c r="B28" s="3157" t="s">
        <v>1099</v>
      </c>
      <c r="C28" s="3157"/>
      <c r="D28" s="1303">
        <v>1</v>
      </c>
      <c r="E28" s="1303">
        <v>1000</v>
      </c>
      <c r="F28" s="1304">
        <v>0.3</v>
      </c>
      <c r="G28" s="1305">
        <v>365</v>
      </c>
      <c r="H28" s="1315"/>
      <c r="I28" s="1316">
        <f>ROUND(D28*E28*F28*G28/10000,0)</f>
        <v>11</v>
      </c>
    </row>
    <row r="29" spans="1:10">
      <c r="A29" s="3163"/>
      <c r="B29" s="3164" t="s">
        <v>1083</v>
      </c>
      <c r="C29" s="3164"/>
      <c r="D29" s="1307">
        <f>SUM(D26:D28)</f>
        <v>4</v>
      </c>
      <c r="E29" s="1307"/>
      <c r="F29" s="1308"/>
      <c r="G29" s="1305"/>
      <c r="H29" s="1312"/>
      <c r="I29" s="1313">
        <f>SUM(I26:I28)</f>
        <v>121</v>
      </c>
    </row>
    <row r="30" spans="1:10">
      <c r="A30" s="3163" t="s">
        <v>1100</v>
      </c>
      <c r="B30" s="3166"/>
      <c r="C30" s="3166"/>
      <c r="D30" s="3166"/>
      <c r="E30" s="3166"/>
      <c r="F30" s="3166"/>
      <c r="G30" s="3166"/>
      <c r="H30" s="1764">
        <v>0.2</v>
      </c>
      <c r="I30" s="1310">
        <f>ROUND(I19*H30,0)</f>
        <v>2401</v>
      </c>
    </row>
    <row r="31" spans="1:10" ht="15.6">
      <c r="A31" s="3167" t="s">
        <v>1101</v>
      </c>
      <c r="B31" s="3168"/>
      <c r="C31" s="3169"/>
      <c r="D31" s="1317" t="s">
        <v>1102</v>
      </c>
      <c r="E31" s="1317" t="s">
        <v>1103</v>
      </c>
      <c r="F31" s="1318" t="s">
        <v>1104</v>
      </c>
      <c r="G31" s="1318" t="s">
        <v>1105</v>
      </c>
      <c r="H31" s="1311" t="s">
        <v>1106</v>
      </c>
      <c r="I31" s="1302" t="s">
        <v>1107</v>
      </c>
    </row>
    <row r="32" spans="1:10" ht="15" thickBot="1">
      <c r="A32" s="3170"/>
      <c r="B32" s="3171"/>
      <c r="C32" s="3172"/>
      <c r="D32" s="1319"/>
      <c r="E32" s="1319"/>
      <c r="F32" s="1319"/>
      <c r="G32" s="1320"/>
      <c r="H32" s="1321"/>
      <c r="I32" s="1322">
        <f>ROUND(E32*D32*F32*(1-G32)/10000,0)</f>
        <v>0</v>
      </c>
      <c r="J32">
        <v>420</v>
      </c>
    </row>
    <row r="35" spans="1:8">
      <c r="A35" s="1323" t="s">
        <v>1108</v>
      </c>
      <c r="B35" s="1323"/>
      <c r="C35" s="1323"/>
      <c r="D35" s="1323"/>
      <c r="E35" s="3173">
        <f>C36-C39-C40-C41</f>
        <v>11184.25</v>
      </c>
      <c r="F35" s="3173"/>
      <c r="G35" s="3173"/>
      <c r="H35" s="1736" t="s">
        <v>1330</v>
      </c>
    </row>
    <row r="36" spans="1:8">
      <c r="A36" s="1324">
        <v>1</v>
      </c>
      <c r="B36" s="1325" t="s">
        <v>1109</v>
      </c>
      <c r="C36" s="1325">
        <f>I19+I24+I30+I32</f>
        <v>20335</v>
      </c>
      <c r="D36" s="1325"/>
      <c r="E36" s="3174"/>
      <c r="F36" s="3174"/>
      <c r="G36" s="3174"/>
    </row>
    <row r="37" spans="1:8">
      <c r="A37" s="1326" t="s">
        <v>1110</v>
      </c>
      <c r="B37" s="1325" t="s">
        <v>1111</v>
      </c>
      <c r="C37" s="1325"/>
      <c r="D37" s="1325"/>
      <c r="E37" s="3174"/>
      <c r="F37" s="3174"/>
      <c r="G37" s="3174"/>
    </row>
    <row r="38" spans="1:8">
      <c r="A38" s="1326" t="s">
        <v>1112</v>
      </c>
      <c r="B38" s="1325" t="s">
        <v>1113</v>
      </c>
      <c r="C38" s="1325"/>
      <c r="D38" s="1325"/>
      <c r="E38" s="1325" t="s">
        <v>1114</v>
      </c>
      <c r="F38" s="1325"/>
      <c r="G38" s="1325"/>
    </row>
    <row r="39" spans="1:8">
      <c r="A39" s="1324">
        <v>2</v>
      </c>
      <c r="B39" s="1325" t="s">
        <v>1115</v>
      </c>
      <c r="C39" s="1325">
        <f>C36*D39</f>
        <v>5083.75</v>
      </c>
      <c r="D39" s="1327">
        <v>0.25</v>
      </c>
      <c r="E39" s="1325" t="s">
        <v>1116</v>
      </c>
      <c r="F39" s="1325"/>
      <c r="G39" s="1325"/>
    </row>
    <row r="40" spans="1:8">
      <c r="A40" s="1324">
        <v>3</v>
      </c>
      <c r="B40" s="1325" t="s">
        <v>1117</v>
      </c>
      <c r="C40" s="1325">
        <f>C36*D40</f>
        <v>3050.25</v>
      </c>
      <c r="D40" s="1327">
        <v>0.15</v>
      </c>
      <c r="E40" s="1325" t="s">
        <v>1118</v>
      </c>
      <c r="F40" s="1325"/>
      <c r="G40" s="1325"/>
    </row>
    <row r="41" spans="1:8">
      <c r="A41" s="1324">
        <v>4</v>
      </c>
      <c r="B41" s="1325" t="s">
        <v>1119</v>
      </c>
      <c r="C41" s="1325">
        <f>C36*D41</f>
        <v>1016.75</v>
      </c>
      <c r="D41" s="1327">
        <v>0.05</v>
      </c>
      <c r="E41" s="3165"/>
      <c r="F41" s="3165"/>
      <c r="G41" s="3165"/>
    </row>
    <row r="42" spans="1:8" hidden="1">
      <c r="A42" s="3175" t="s">
        <v>1120</v>
      </c>
      <c r="B42" s="3176"/>
      <c r="C42" s="3176"/>
      <c r="D42" s="3177"/>
      <c r="E42" s="3173"/>
      <c r="F42" s="3173"/>
      <c r="G42" s="3173"/>
    </row>
    <row r="43" spans="1:8" hidden="1">
      <c r="A43" s="1328">
        <v>1</v>
      </c>
      <c r="B43" s="1325" t="s">
        <v>1121</v>
      </c>
      <c r="C43" s="1325"/>
      <c r="D43" s="1325"/>
      <c r="E43" s="3174"/>
      <c r="F43" s="3174"/>
      <c r="G43" s="3174"/>
    </row>
    <row r="44" spans="1:8" hidden="1">
      <c r="A44" s="1328">
        <v>2</v>
      </c>
      <c r="B44" s="1325" t="s">
        <v>1122</v>
      </c>
      <c r="C44" s="1325"/>
      <c r="D44" s="1325"/>
      <c r="E44" s="3174"/>
      <c r="F44" s="3174"/>
      <c r="G44" s="3174"/>
    </row>
    <row r="45" spans="1:8" hidden="1">
      <c r="A45" s="1328">
        <v>3</v>
      </c>
      <c r="B45" s="1325" t="s">
        <v>1123</v>
      </c>
      <c r="C45" s="1325"/>
      <c r="D45" s="1325"/>
      <c r="E45" s="3174"/>
      <c r="F45" s="3174"/>
      <c r="G45" s="3174"/>
    </row>
    <row r="46" spans="1:8" hidden="1">
      <c r="A46" s="1328">
        <v>4</v>
      </c>
      <c r="B46" s="1325" t="s">
        <v>1124</v>
      </c>
      <c r="C46" s="1325"/>
      <c r="D46" s="1325"/>
      <c r="E46" s="3174"/>
      <c r="F46" s="3174"/>
      <c r="G46" s="3174"/>
    </row>
    <row r="47" spans="1:8" hidden="1">
      <c r="A47" s="3175" t="s">
        <v>1125</v>
      </c>
      <c r="B47" s="3176"/>
      <c r="C47" s="3176"/>
      <c r="D47" s="3177"/>
      <c r="E47" s="3173"/>
      <c r="F47" s="3173"/>
      <c r="G47" s="3173"/>
    </row>
  </sheetData>
  <mergeCells count="47">
    <mergeCell ref="A47:D47"/>
    <mergeCell ref="E47:G47"/>
    <mergeCell ref="A42:D42"/>
    <mergeCell ref="E42:G42"/>
    <mergeCell ref="E43:G43"/>
    <mergeCell ref="E44:G44"/>
    <mergeCell ref="E45:G45"/>
    <mergeCell ref="E46:G46"/>
    <mergeCell ref="E41:G41"/>
    <mergeCell ref="A25:A29"/>
    <mergeCell ref="B25:C25"/>
    <mergeCell ref="B26:C26"/>
    <mergeCell ref="B27:C27"/>
    <mergeCell ref="B28:C28"/>
    <mergeCell ref="B29:C29"/>
    <mergeCell ref="A30:G30"/>
    <mergeCell ref="A31:C32"/>
    <mergeCell ref="E35:G35"/>
    <mergeCell ref="E36:G36"/>
    <mergeCell ref="E37:G37"/>
    <mergeCell ref="A20:A24"/>
    <mergeCell ref="B20:C20"/>
    <mergeCell ref="B21:C21"/>
    <mergeCell ref="B22:C22"/>
    <mergeCell ref="B23:C23"/>
    <mergeCell ref="B24:C24"/>
    <mergeCell ref="A1:C1"/>
    <mergeCell ref="D1:I1"/>
    <mergeCell ref="A2:A19"/>
    <mergeCell ref="B2:C2"/>
    <mergeCell ref="B3:C3"/>
    <mergeCell ref="B4:C4"/>
    <mergeCell ref="B5:C5"/>
    <mergeCell ref="B15:C15"/>
    <mergeCell ref="B16:C16"/>
    <mergeCell ref="B17:C17"/>
    <mergeCell ref="B18:C18"/>
    <mergeCell ref="B19:C19"/>
    <mergeCell ref="B6:C6"/>
    <mergeCell ref="B7:C7"/>
    <mergeCell ref="B8:C8"/>
    <mergeCell ref="B9:C9"/>
    <mergeCell ref="B10:C10"/>
    <mergeCell ref="B11:C11"/>
    <mergeCell ref="B12:C12"/>
    <mergeCell ref="B13:C13"/>
    <mergeCell ref="B14:C14"/>
  </mergeCells>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zoomScale="85" zoomScaleNormal="85" workbookViewId="0">
      <selection activeCell="O21" sqref="O21"/>
    </sheetView>
  </sheetViews>
  <sheetFormatPr defaultRowHeight="14.4"/>
  <cols>
    <col min="1" max="1" width="50.88671875" style="1634" customWidth="1"/>
    <col min="2" max="2" width="7.109375" style="1634" hidden="1" customWidth="1"/>
    <col min="3" max="3" width="13.33203125" style="1634" hidden="1" customWidth="1"/>
    <col min="4" max="4" width="7.109375" style="1634" customWidth="1"/>
    <col min="5" max="5" width="5.21875" style="1634" hidden="1" customWidth="1"/>
    <col min="6" max="6" width="82.44140625" style="1634" hidden="1" customWidth="1"/>
    <col min="7" max="7" width="9" style="1634" hidden="1" customWidth="1"/>
    <col min="8" max="8" width="10.109375" style="1634" hidden="1" customWidth="1"/>
    <col min="9" max="9" width="12" style="1634" customWidth="1"/>
    <col min="10" max="10" width="11.44140625" style="1634" customWidth="1"/>
    <col min="11" max="11" width="10.6640625" style="1634" customWidth="1"/>
    <col min="12" max="12" width="14" style="1634" customWidth="1"/>
    <col min="13" max="13" width="9" style="1634" hidden="1" customWidth="1"/>
    <col min="14" max="14" width="20.33203125" style="1634" hidden="1" customWidth="1"/>
    <col min="15" max="15" width="14" style="1634" customWidth="1"/>
    <col min="16" max="16" width="11" style="1634" hidden="1" customWidth="1"/>
    <col min="17" max="18" width="17.77734375" style="1634" hidden="1" customWidth="1"/>
    <col min="19" max="19" width="14.77734375" style="1634" hidden="1" customWidth="1"/>
    <col min="20" max="21" width="12.88671875" style="1634" hidden="1" customWidth="1"/>
    <col min="22" max="22" width="20.33203125" style="1634" hidden="1" customWidth="1"/>
    <col min="23" max="23" width="9" style="1634" hidden="1" customWidth="1"/>
    <col min="24" max="26" width="10.21875" style="1634" hidden="1" customWidth="1"/>
    <col min="27" max="27" width="10.21875" style="1634" customWidth="1"/>
    <col min="28" max="28" width="67.88671875" style="1634" hidden="1" customWidth="1"/>
    <col min="29" max="29" width="9" style="1634" hidden="1" customWidth="1"/>
    <col min="30" max="30" width="31.21875" style="1634" customWidth="1"/>
    <col min="31" max="32" width="12.109375" style="1634" hidden="1" customWidth="1"/>
    <col min="33" max="33" width="12.109375" style="1634" customWidth="1"/>
    <col min="34" max="35" width="18.21875" style="1634" hidden="1" customWidth="1"/>
    <col min="36" max="36" width="16.33203125" style="1634" hidden="1" customWidth="1"/>
    <col min="37" max="37" width="16.33203125" style="1634" customWidth="1"/>
    <col min="38" max="39" width="25" style="1634" hidden="1" customWidth="1"/>
    <col min="40" max="40" width="7.109375" style="1634" customWidth="1"/>
    <col min="41" max="41" width="8.88671875" style="1634" customWidth="1"/>
    <col min="42" max="42" width="19.21875" style="1634" hidden="1" customWidth="1"/>
    <col min="43" max="44" width="23" style="1634" hidden="1" customWidth="1"/>
    <col min="45" max="45" width="9" style="1634" customWidth="1"/>
    <col min="46" max="256" width="8.88671875" style="1634"/>
    <col min="257" max="257" width="82.44140625" style="1634" customWidth="1"/>
    <col min="258" max="258" width="7.109375" style="1634" customWidth="1"/>
    <col min="259" max="259" width="13.33203125" style="1634" customWidth="1"/>
    <col min="260" max="260" width="7.109375" style="1634" customWidth="1"/>
    <col min="261" max="261" width="5.21875" style="1634" customWidth="1"/>
    <col min="262" max="262" width="82.44140625" style="1634" customWidth="1"/>
    <col min="263" max="263" width="9" style="1634" customWidth="1"/>
    <col min="264" max="264" width="10.109375" style="1634" customWidth="1"/>
    <col min="265" max="265" width="48.6640625" style="1634" customWidth="1"/>
    <col min="266" max="267" width="15.88671875" style="1634" customWidth="1"/>
    <col min="268" max="268" width="18.109375" style="1634" customWidth="1"/>
    <col min="269" max="269" width="9" style="1634" customWidth="1"/>
    <col min="270" max="270" width="20.33203125" style="1634" customWidth="1"/>
    <col min="271" max="271" width="20.109375" style="1634" customWidth="1"/>
    <col min="272" max="282" width="0" style="1634" hidden="1" customWidth="1"/>
    <col min="283" max="283" width="10.21875" style="1634" customWidth="1"/>
    <col min="284" max="285" width="0" style="1634" hidden="1" customWidth="1"/>
    <col min="286" max="286" width="31.21875" style="1634" customWidth="1"/>
    <col min="287" max="288" width="0" style="1634" hidden="1" customWidth="1"/>
    <col min="289" max="289" width="12.109375" style="1634" customWidth="1"/>
    <col min="290" max="292" width="0" style="1634" hidden="1" customWidth="1"/>
    <col min="293" max="293" width="16.33203125" style="1634" customWidth="1"/>
    <col min="294" max="295" width="0" style="1634" hidden="1" customWidth="1"/>
    <col min="296" max="296" width="7.109375" style="1634" customWidth="1"/>
    <col min="297" max="297" width="8.88671875" style="1634" customWidth="1"/>
    <col min="298" max="300" width="0" style="1634" hidden="1" customWidth="1"/>
    <col min="301" max="301" width="9" style="1634" customWidth="1"/>
    <col min="302" max="512" width="8.88671875" style="1634"/>
    <col min="513" max="513" width="82.44140625" style="1634" customWidth="1"/>
    <col min="514" max="514" width="7.109375" style="1634" customWidth="1"/>
    <col min="515" max="515" width="13.33203125" style="1634" customWidth="1"/>
    <col min="516" max="516" width="7.109375" style="1634" customWidth="1"/>
    <col min="517" max="517" width="5.21875" style="1634" customWidth="1"/>
    <col min="518" max="518" width="82.44140625" style="1634" customWidth="1"/>
    <col min="519" max="519" width="9" style="1634" customWidth="1"/>
    <col min="520" max="520" width="10.109375" style="1634" customWidth="1"/>
    <col min="521" max="521" width="48.6640625" style="1634" customWidth="1"/>
    <col min="522" max="523" width="15.88671875" style="1634" customWidth="1"/>
    <col min="524" max="524" width="18.109375" style="1634" customWidth="1"/>
    <col min="525" max="525" width="9" style="1634" customWidth="1"/>
    <col min="526" max="526" width="20.33203125" style="1634" customWidth="1"/>
    <col min="527" max="527" width="20.109375" style="1634" customWidth="1"/>
    <col min="528" max="538" width="0" style="1634" hidden="1" customWidth="1"/>
    <col min="539" max="539" width="10.21875" style="1634" customWidth="1"/>
    <col min="540" max="541" width="0" style="1634" hidden="1" customWidth="1"/>
    <col min="542" max="542" width="31.21875" style="1634" customWidth="1"/>
    <col min="543" max="544" width="0" style="1634" hidden="1" customWidth="1"/>
    <col min="545" max="545" width="12.109375" style="1634" customWidth="1"/>
    <col min="546" max="548" width="0" style="1634" hidden="1" customWidth="1"/>
    <col min="549" max="549" width="16.33203125" style="1634" customWidth="1"/>
    <col min="550" max="551" width="0" style="1634" hidden="1" customWidth="1"/>
    <col min="552" max="552" width="7.109375" style="1634" customWidth="1"/>
    <col min="553" max="553" width="8.88671875" style="1634" customWidth="1"/>
    <col min="554" max="556" width="0" style="1634" hidden="1" customWidth="1"/>
    <col min="557" max="557" width="9" style="1634" customWidth="1"/>
    <col min="558" max="768" width="8.88671875" style="1634"/>
    <col min="769" max="769" width="82.44140625" style="1634" customWidth="1"/>
    <col min="770" max="770" width="7.109375" style="1634" customWidth="1"/>
    <col min="771" max="771" width="13.33203125" style="1634" customWidth="1"/>
    <col min="772" max="772" width="7.109375" style="1634" customWidth="1"/>
    <col min="773" max="773" width="5.21875" style="1634" customWidth="1"/>
    <col min="774" max="774" width="82.44140625" style="1634" customWidth="1"/>
    <col min="775" max="775" width="9" style="1634" customWidth="1"/>
    <col min="776" max="776" width="10.109375" style="1634" customWidth="1"/>
    <col min="777" max="777" width="48.6640625" style="1634" customWidth="1"/>
    <col min="778" max="779" width="15.88671875" style="1634" customWidth="1"/>
    <col min="780" max="780" width="18.109375" style="1634" customWidth="1"/>
    <col min="781" max="781" width="9" style="1634" customWidth="1"/>
    <col min="782" max="782" width="20.33203125" style="1634" customWidth="1"/>
    <col min="783" max="783" width="20.109375" style="1634" customWidth="1"/>
    <col min="784" max="794" width="0" style="1634" hidden="1" customWidth="1"/>
    <col min="795" max="795" width="10.21875" style="1634" customWidth="1"/>
    <col min="796" max="797" width="0" style="1634" hidden="1" customWidth="1"/>
    <col min="798" max="798" width="31.21875" style="1634" customWidth="1"/>
    <col min="799" max="800" width="0" style="1634" hidden="1" customWidth="1"/>
    <col min="801" max="801" width="12.109375" style="1634" customWidth="1"/>
    <col min="802" max="804" width="0" style="1634" hidden="1" customWidth="1"/>
    <col min="805" max="805" width="16.33203125" style="1634" customWidth="1"/>
    <col min="806" max="807" width="0" style="1634" hidden="1" customWidth="1"/>
    <col min="808" max="808" width="7.109375" style="1634" customWidth="1"/>
    <col min="809" max="809" width="8.88671875" style="1634" customWidth="1"/>
    <col min="810" max="812" width="0" style="1634" hidden="1" customWidth="1"/>
    <col min="813" max="813" width="9" style="1634" customWidth="1"/>
    <col min="814" max="1024" width="8.88671875" style="1634"/>
    <col min="1025" max="1025" width="82.44140625" style="1634" customWidth="1"/>
    <col min="1026" max="1026" width="7.109375" style="1634" customWidth="1"/>
    <col min="1027" max="1027" width="13.33203125" style="1634" customWidth="1"/>
    <col min="1028" max="1028" width="7.109375" style="1634" customWidth="1"/>
    <col min="1029" max="1029" width="5.21875" style="1634" customWidth="1"/>
    <col min="1030" max="1030" width="82.44140625" style="1634" customWidth="1"/>
    <col min="1031" max="1031" width="9" style="1634" customWidth="1"/>
    <col min="1032" max="1032" width="10.109375" style="1634" customWidth="1"/>
    <col min="1033" max="1033" width="48.6640625" style="1634" customWidth="1"/>
    <col min="1034" max="1035" width="15.88671875" style="1634" customWidth="1"/>
    <col min="1036" max="1036" width="18.109375" style="1634" customWidth="1"/>
    <col min="1037" max="1037" width="9" style="1634" customWidth="1"/>
    <col min="1038" max="1038" width="20.33203125" style="1634" customWidth="1"/>
    <col min="1039" max="1039" width="20.109375" style="1634" customWidth="1"/>
    <col min="1040" max="1050" width="0" style="1634" hidden="1" customWidth="1"/>
    <col min="1051" max="1051" width="10.21875" style="1634" customWidth="1"/>
    <col min="1052" max="1053" width="0" style="1634" hidden="1" customWidth="1"/>
    <col min="1054" max="1054" width="31.21875" style="1634" customWidth="1"/>
    <col min="1055" max="1056" width="0" style="1634" hidden="1" customWidth="1"/>
    <col min="1057" max="1057" width="12.109375" style="1634" customWidth="1"/>
    <col min="1058" max="1060" width="0" style="1634" hidden="1" customWidth="1"/>
    <col min="1061" max="1061" width="16.33203125" style="1634" customWidth="1"/>
    <col min="1062" max="1063" width="0" style="1634" hidden="1" customWidth="1"/>
    <col min="1064" max="1064" width="7.109375" style="1634" customWidth="1"/>
    <col min="1065" max="1065" width="8.88671875" style="1634" customWidth="1"/>
    <col min="1066" max="1068" width="0" style="1634" hidden="1" customWidth="1"/>
    <col min="1069" max="1069" width="9" style="1634" customWidth="1"/>
    <col min="1070" max="1280" width="8.88671875" style="1634"/>
    <col min="1281" max="1281" width="82.44140625" style="1634" customWidth="1"/>
    <col min="1282" max="1282" width="7.109375" style="1634" customWidth="1"/>
    <col min="1283" max="1283" width="13.33203125" style="1634" customWidth="1"/>
    <col min="1284" max="1284" width="7.109375" style="1634" customWidth="1"/>
    <col min="1285" max="1285" width="5.21875" style="1634" customWidth="1"/>
    <col min="1286" max="1286" width="82.44140625" style="1634" customWidth="1"/>
    <col min="1287" max="1287" width="9" style="1634" customWidth="1"/>
    <col min="1288" max="1288" width="10.109375" style="1634" customWidth="1"/>
    <col min="1289" max="1289" width="48.6640625" style="1634" customWidth="1"/>
    <col min="1290" max="1291" width="15.88671875" style="1634" customWidth="1"/>
    <col min="1292" max="1292" width="18.109375" style="1634" customWidth="1"/>
    <col min="1293" max="1293" width="9" style="1634" customWidth="1"/>
    <col min="1294" max="1294" width="20.33203125" style="1634" customWidth="1"/>
    <col min="1295" max="1295" width="20.109375" style="1634" customWidth="1"/>
    <col min="1296" max="1306" width="0" style="1634" hidden="1" customWidth="1"/>
    <col min="1307" max="1307" width="10.21875" style="1634" customWidth="1"/>
    <col min="1308" max="1309" width="0" style="1634" hidden="1" customWidth="1"/>
    <col min="1310" max="1310" width="31.21875" style="1634" customWidth="1"/>
    <col min="1311" max="1312" width="0" style="1634" hidden="1" customWidth="1"/>
    <col min="1313" max="1313" width="12.109375" style="1634" customWidth="1"/>
    <col min="1314" max="1316" width="0" style="1634" hidden="1" customWidth="1"/>
    <col min="1317" max="1317" width="16.33203125" style="1634" customWidth="1"/>
    <col min="1318" max="1319" width="0" style="1634" hidden="1" customWidth="1"/>
    <col min="1320" max="1320" width="7.109375" style="1634" customWidth="1"/>
    <col min="1321" max="1321" width="8.88671875" style="1634" customWidth="1"/>
    <col min="1322" max="1324" width="0" style="1634" hidden="1" customWidth="1"/>
    <col min="1325" max="1325" width="9" style="1634" customWidth="1"/>
    <col min="1326" max="1536" width="8.88671875" style="1634"/>
    <col min="1537" max="1537" width="82.44140625" style="1634" customWidth="1"/>
    <col min="1538" max="1538" width="7.109375" style="1634" customWidth="1"/>
    <col min="1539" max="1539" width="13.33203125" style="1634" customWidth="1"/>
    <col min="1540" max="1540" width="7.109375" style="1634" customWidth="1"/>
    <col min="1541" max="1541" width="5.21875" style="1634" customWidth="1"/>
    <col min="1542" max="1542" width="82.44140625" style="1634" customWidth="1"/>
    <col min="1543" max="1543" width="9" style="1634" customWidth="1"/>
    <col min="1544" max="1544" width="10.109375" style="1634" customWidth="1"/>
    <col min="1545" max="1545" width="48.6640625" style="1634" customWidth="1"/>
    <col min="1546" max="1547" width="15.88671875" style="1634" customWidth="1"/>
    <col min="1548" max="1548" width="18.109375" style="1634" customWidth="1"/>
    <col min="1549" max="1549" width="9" style="1634" customWidth="1"/>
    <col min="1550" max="1550" width="20.33203125" style="1634" customWidth="1"/>
    <col min="1551" max="1551" width="20.109375" style="1634" customWidth="1"/>
    <col min="1552" max="1562" width="0" style="1634" hidden="1" customWidth="1"/>
    <col min="1563" max="1563" width="10.21875" style="1634" customWidth="1"/>
    <col min="1564" max="1565" width="0" style="1634" hidden="1" customWidth="1"/>
    <col min="1566" max="1566" width="31.21875" style="1634" customWidth="1"/>
    <col min="1567" max="1568" width="0" style="1634" hidden="1" customWidth="1"/>
    <col min="1569" max="1569" width="12.109375" style="1634" customWidth="1"/>
    <col min="1570" max="1572" width="0" style="1634" hidden="1" customWidth="1"/>
    <col min="1573" max="1573" width="16.33203125" style="1634" customWidth="1"/>
    <col min="1574" max="1575" width="0" style="1634" hidden="1" customWidth="1"/>
    <col min="1576" max="1576" width="7.109375" style="1634" customWidth="1"/>
    <col min="1577" max="1577" width="8.88671875" style="1634" customWidth="1"/>
    <col min="1578" max="1580" width="0" style="1634" hidden="1" customWidth="1"/>
    <col min="1581" max="1581" width="9" style="1634" customWidth="1"/>
    <col min="1582" max="1792" width="8.88671875" style="1634"/>
    <col min="1793" max="1793" width="82.44140625" style="1634" customWidth="1"/>
    <col min="1794" max="1794" width="7.109375" style="1634" customWidth="1"/>
    <col min="1795" max="1795" width="13.33203125" style="1634" customWidth="1"/>
    <col min="1796" max="1796" width="7.109375" style="1634" customWidth="1"/>
    <col min="1797" max="1797" width="5.21875" style="1634" customWidth="1"/>
    <col min="1798" max="1798" width="82.44140625" style="1634" customWidth="1"/>
    <col min="1799" max="1799" width="9" style="1634" customWidth="1"/>
    <col min="1800" max="1800" width="10.109375" style="1634" customWidth="1"/>
    <col min="1801" max="1801" width="48.6640625" style="1634" customWidth="1"/>
    <col min="1802" max="1803" width="15.88671875" style="1634" customWidth="1"/>
    <col min="1804" max="1804" width="18.109375" style="1634" customWidth="1"/>
    <col min="1805" max="1805" width="9" style="1634" customWidth="1"/>
    <col min="1806" max="1806" width="20.33203125" style="1634" customWidth="1"/>
    <col min="1807" max="1807" width="20.109375" style="1634" customWidth="1"/>
    <col min="1808" max="1818" width="0" style="1634" hidden="1" customWidth="1"/>
    <col min="1819" max="1819" width="10.21875" style="1634" customWidth="1"/>
    <col min="1820" max="1821" width="0" style="1634" hidden="1" customWidth="1"/>
    <col min="1822" max="1822" width="31.21875" style="1634" customWidth="1"/>
    <col min="1823" max="1824" width="0" style="1634" hidden="1" customWidth="1"/>
    <col min="1825" max="1825" width="12.109375" style="1634" customWidth="1"/>
    <col min="1826" max="1828" width="0" style="1634" hidden="1" customWidth="1"/>
    <col min="1829" max="1829" width="16.33203125" style="1634" customWidth="1"/>
    <col min="1830" max="1831" width="0" style="1634" hidden="1" customWidth="1"/>
    <col min="1832" max="1832" width="7.109375" style="1634" customWidth="1"/>
    <col min="1833" max="1833" width="8.88671875" style="1634" customWidth="1"/>
    <col min="1834" max="1836" width="0" style="1634" hidden="1" customWidth="1"/>
    <col min="1837" max="1837" width="9" style="1634" customWidth="1"/>
    <col min="1838" max="2048" width="8.88671875" style="1634"/>
    <col min="2049" max="2049" width="82.44140625" style="1634" customWidth="1"/>
    <col min="2050" max="2050" width="7.109375" style="1634" customWidth="1"/>
    <col min="2051" max="2051" width="13.33203125" style="1634" customWidth="1"/>
    <col min="2052" max="2052" width="7.109375" style="1634" customWidth="1"/>
    <col min="2053" max="2053" width="5.21875" style="1634" customWidth="1"/>
    <col min="2054" max="2054" width="82.44140625" style="1634" customWidth="1"/>
    <col min="2055" max="2055" width="9" style="1634" customWidth="1"/>
    <col min="2056" max="2056" width="10.109375" style="1634" customWidth="1"/>
    <col min="2057" max="2057" width="48.6640625" style="1634" customWidth="1"/>
    <col min="2058" max="2059" width="15.88671875" style="1634" customWidth="1"/>
    <col min="2060" max="2060" width="18.109375" style="1634" customWidth="1"/>
    <col min="2061" max="2061" width="9" style="1634" customWidth="1"/>
    <col min="2062" max="2062" width="20.33203125" style="1634" customWidth="1"/>
    <col min="2063" max="2063" width="20.109375" style="1634" customWidth="1"/>
    <col min="2064" max="2074" width="0" style="1634" hidden="1" customWidth="1"/>
    <col min="2075" max="2075" width="10.21875" style="1634" customWidth="1"/>
    <col min="2076" max="2077" width="0" style="1634" hidden="1" customWidth="1"/>
    <col min="2078" max="2078" width="31.21875" style="1634" customWidth="1"/>
    <col min="2079" max="2080" width="0" style="1634" hidden="1" customWidth="1"/>
    <col min="2081" max="2081" width="12.109375" style="1634" customWidth="1"/>
    <col min="2082" max="2084" width="0" style="1634" hidden="1" customWidth="1"/>
    <col min="2085" max="2085" width="16.33203125" style="1634" customWidth="1"/>
    <col min="2086" max="2087" width="0" style="1634" hidden="1" customWidth="1"/>
    <col min="2088" max="2088" width="7.109375" style="1634" customWidth="1"/>
    <col min="2089" max="2089" width="8.88671875" style="1634" customWidth="1"/>
    <col min="2090" max="2092" width="0" style="1634" hidden="1" customWidth="1"/>
    <col min="2093" max="2093" width="9" style="1634" customWidth="1"/>
    <col min="2094" max="2304" width="8.88671875" style="1634"/>
    <col min="2305" max="2305" width="82.44140625" style="1634" customWidth="1"/>
    <col min="2306" max="2306" width="7.109375" style="1634" customWidth="1"/>
    <col min="2307" max="2307" width="13.33203125" style="1634" customWidth="1"/>
    <col min="2308" max="2308" width="7.109375" style="1634" customWidth="1"/>
    <col min="2309" max="2309" width="5.21875" style="1634" customWidth="1"/>
    <col min="2310" max="2310" width="82.44140625" style="1634" customWidth="1"/>
    <col min="2311" max="2311" width="9" style="1634" customWidth="1"/>
    <col min="2312" max="2312" width="10.109375" style="1634" customWidth="1"/>
    <col min="2313" max="2313" width="48.6640625" style="1634" customWidth="1"/>
    <col min="2314" max="2315" width="15.88671875" style="1634" customWidth="1"/>
    <col min="2316" max="2316" width="18.109375" style="1634" customWidth="1"/>
    <col min="2317" max="2317" width="9" style="1634" customWidth="1"/>
    <col min="2318" max="2318" width="20.33203125" style="1634" customWidth="1"/>
    <col min="2319" max="2319" width="20.109375" style="1634" customWidth="1"/>
    <col min="2320" max="2330" width="0" style="1634" hidden="1" customWidth="1"/>
    <col min="2331" max="2331" width="10.21875" style="1634" customWidth="1"/>
    <col min="2332" max="2333" width="0" style="1634" hidden="1" customWidth="1"/>
    <col min="2334" max="2334" width="31.21875" style="1634" customWidth="1"/>
    <col min="2335" max="2336" width="0" style="1634" hidden="1" customWidth="1"/>
    <col min="2337" max="2337" width="12.109375" style="1634" customWidth="1"/>
    <col min="2338" max="2340" width="0" style="1634" hidden="1" customWidth="1"/>
    <col min="2341" max="2341" width="16.33203125" style="1634" customWidth="1"/>
    <col min="2342" max="2343" width="0" style="1634" hidden="1" customWidth="1"/>
    <col min="2344" max="2344" width="7.109375" style="1634" customWidth="1"/>
    <col min="2345" max="2345" width="8.88671875" style="1634" customWidth="1"/>
    <col min="2346" max="2348" width="0" style="1634" hidden="1" customWidth="1"/>
    <col min="2349" max="2349" width="9" style="1634" customWidth="1"/>
    <col min="2350" max="2560" width="8.88671875" style="1634"/>
    <col min="2561" max="2561" width="82.44140625" style="1634" customWidth="1"/>
    <col min="2562" max="2562" width="7.109375" style="1634" customWidth="1"/>
    <col min="2563" max="2563" width="13.33203125" style="1634" customWidth="1"/>
    <col min="2564" max="2564" width="7.109375" style="1634" customWidth="1"/>
    <col min="2565" max="2565" width="5.21875" style="1634" customWidth="1"/>
    <col min="2566" max="2566" width="82.44140625" style="1634" customWidth="1"/>
    <col min="2567" max="2567" width="9" style="1634" customWidth="1"/>
    <col min="2568" max="2568" width="10.109375" style="1634" customWidth="1"/>
    <col min="2569" max="2569" width="48.6640625" style="1634" customWidth="1"/>
    <col min="2570" max="2571" width="15.88671875" style="1634" customWidth="1"/>
    <col min="2572" max="2572" width="18.109375" style="1634" customWidth="1"/>
    <col min="2573" max="2573" width="9" style="1634" customWidth="1"/>
    <col min="2574" max="2574" width="20.33203125" style="1634" customWidth="1"/>
    <col min="2575" max="2575" width="20.109375" style="1634" customWidth="1"/>
    <col min="2576" max="2586" width="0" style="1634" hidden="1" customWidth="1"/>
    <col min="2587" max="2587" width="10.21875" style="1634" customWidth="1"/>
    <col min="2588" max="2589" width="0" style="1634" hidden="1" customWidth="1"/>
    <col min="2590" max="2590" width="31.21875" style="1634" customWidth="1"/>
    <col min="2591" max="2592" width="0" style="1634" hidden="1" customWidth="1"/>
    <col min="2593" max="2593" width="12.109375" style="1634" customWidth="1"/>
    <col min="2594" max="2596" width="0" style="1634" hidden="1" customWidth="1"/>
    <col min="2597" max="2597" width="16.33203125" style="1634" customWidth="1"/>
    <col min="2598" max="2599" width="0" style="1634" hidden="1" customWidth="1"/>
    <col min="2600" max="2600" width="7.109375" style="1634" customWidth="1"/>
    <col min="2601" max="2601" width="8.88671875" style="1634" customWidth="1"/>
    <col min="2602" max="2604" width="0" style="1634" hidden="1" customWidth="1"/>
    <col min="2605" max="2605" width="9" style="1634" customWidth="1"/>
    <col min="2606" max="2816" width="8.88671875" style="1634"/>
    <col min="2817" max="2817" width="82.44140625" style="1634" customWidth="1"/>
    <col min="2818" max="2818" width="7.109375" style="1634" customWidth="1"/>
    <col min="2819" max="2819" width="13.33203125" style="1634" customWidth="1"/>
    <col min="2820" max="2820" width="7.109375" style="1634" customWidth="1"/>
    <col min="2821" max="2821" width="5.21875" style="1634" customWidth="1"/>
    <col min="2822" max="2822" width="82.44140625" style="1634" customWidth="1"/>
    <col min="2823" max="2823" width="9" style="1634" customWidth="1"/>
    <col min="2824" max="2824" width="10.109375" style="1634" customWidth="1"/>
    <col min="2825" max="2825" width="48.6640625" style="1634" customWidth="1"/>
    <col min="2826" max="2827" width="15.88671875" style="1634" customWidth="1"/>
    <col min="2828" max="2828" width="18.109375" style="1634" customWidth="1"/>
    <col min="2829" max="2829" width="9" style="1634" customWidth="1"/>
    <col min="2830" max="2830" width="20.33203125" style="1634" customWidth="1"/>
    <col min="2831" max="2831" width="20.109375" style="1634" customWidth="1"/>
    <col min="2832" max="2842" width="0" style="1634" hidden="1" customWidth="1"/>
    <col min="2843" max="2843" width="10.21875" style="1634" customWidth="1"/>
    <col min="2844" max="2845" width="0" style="1634" hidden="1" customWidth="1"/>
    <col min="2846" max="2846" width="31.21875" style="1634" customWidth="1"/>
    <col min="2847" max="2848" width="0" style="1634" hidden="1" customWidth="1"/>
    <col min="2849" max="2849" width="12.109375" style="1634" customWidth="1"/>
    <col min="2850" max="2852" width="0" style="1634" hidden="1" customWidth="1"/>
    <col min="2853" max="2853" width="16.33203125" style="1634" customWidth="1"/>
    <col min="2854" max="2855" width="0" style="1634" hidden="1" customWidth="1"/>
    <col min="2856" max="2856" width="7.109375" style="1634" customWidth="1"/>
    <col min="2857" max="2857" width="8.88671875" style="1634" customWidth="1"/>
    <col min="2858" max="2860" width="0" style="1634" hidden="1" customWidth="1"/>
    <col min="2861" max="2861" width="9" style="1634" customWidth="1"/>
    <col min="2862" max="3072" width="8.88671875" style="1634"/>
    <col min="3073" max="3073" width="82.44140625" style="1634" customWidth="1"/>
    <col min="3074" max="3074" width="7.109375" style="1634" customWidth="1"/>
    <col min="3075" max="3075" width="13.33203125" style="1634" customWidth="1"/>
    <col min="3076" max="3076" width="7.109375" style="1634" customWidth="1"/>
    <col min="3077" max="3077" width="5.21875" style="1634" customWidth="1"/>
    <col min="3078" max="3078" width="82.44140625" style="1634" customWidth="1"/>
    <col min="3079" max="3079" width="9" style="1634" customWidth="1"/>
    <col min="3080" max="3080" width="10.109375" style="1634" customWidth="1"/>
    <col min="3081" max="3081" width="48.6640625" style="1634" customWidth="1"/>
    <col min="3082" max="3083" width="15.88671875" style="1634" customWidth="1"/>
    <col min="3084" max="3084" width="18.109375" style="1634" customWidth="1"/>
    <col min="3085" max="3085" width="9" style="1634" customWidth="1"/>
    <col min="3086" max="3086" width="20.33203125" style="1634" customWidth="1"/>
    <col min="3087" max="3087" width="20.109375" style="1634" customWidth="1"/>
    <col min="3088" max="3098" width="0" style="1634" hidden="1" customWidth="1"/>
    <col min="3099" max="3099" width="10.21875" style="1634" customWidth="1"/>
    <col min="3100" max="3101" width="0" style="1634" hidden="1" customWidth="1"/>
    <col min="3102" max="3102" width="31.21875" style="1634" customWidth="1"/>
    <col min="3103" max="3104" width="0" style="1634" hidden="1" customWidth="1"/>
    <col min="3105" max="3105" width="12.109375" style="1634" customWidth="1"/>
    <col min="3106" max="3108" width="0" style="1634" hidden="1" customWidth="1"/>
    <col min="3109" max="3109" width="16.33203125" style="1634" customWidth="1"/>
    <col min="3110" max="3111" width="0" style="1634" hidden="1" customWidth="1"/>
    <col min="3112" max="3112" width="7.109375" style="1634" customWidth="1"/>
    <col min="3113" max="3113" width="8.88671875" style="1634" customWidth="1"/>
    <col min="3114" max="3116" width="0" style="1634" hidden="1" customWidth="1"/>
    <col min="3117" max="3117" width="9" style="1634" customWidth="1"/>
    <col min="3118" max="3328" width="8.88671875" style="1634"/>
    <col min="3329" max="3329" width="82.44140625" style="1634" customWidth="1"/>
    <col min="3330" max="3330" width="7.109375" style="1634" customWidth="1"/>
    <col min="3331" max="3331" width="13.33203125" style="1634" customWidth="1"/>
    <col min="3332" max="3332" width="7.109375" style="1634" customWidth="1"/>
    <col min="3333" max="3333" width="5.21875" style="1634" customWidth="1"/>
    <col min="3334" max="3334" width="82.44140625" style="1634" customWidth="1"/>
    <col min="3335" max="3335" width="9" style="1634" customWidth="1"/>
    <col min="3336" max="3336" width="10.109375" style="1634" customWidth="1"/>
    <col min="3337" max="3337" width="48.6640625" style="1634" customWidth="1"/>
    <col min="3338" max="3339" width="15.88671875" style="1634" customWidth="1"/>
    <col min="3340" max="3340" width="18.109375" style="1634" customWidth="1"/>
    <col min="3341" max="3341" width="9" style="1634" customWidth="1"/>
    <col min="3342" max="3342" width="20.33203125" style="1634" customWidth="1"/>
    <col min="3343" max="3343" width="20.109375" style="1634" customWidth="1"/>
    <col min="3344" max="3354" width="0" style="1634" hidden="1" customWidth="1"/>
    <col min="3355" max="3355" width="10.21875" style="1634" customWidth="1"/>
    <col min="3356" max="3357" width="0" style="1634" hidden="1" customWidth="1"/>
    <col min="3358" max="3358" width="31.21875" style="1634" customWidth="1"/>
    <col min="3359" max="3360" width="0" style="1634" hidden="1" customWidth="1"/>
    <col min="3361" max="3361" width="12.109375" style="1634" customWidth="1"/>
    <col min="3362" max="3364" width="0" style="1634" hidden="1" customWidth="1"/>
    <col min="3365" max="3365" width="16.33203125" style="1634" customWidth="1"/>
    <col min="3366" max="3367" width="0" style="1634" hidden="1" customWidth="1"/>
    <col min="3368" max="3368" width="7.109375" style="1634" customWidth="1"/>
    <col min="3369" max="3369" width="8.88671875" style="1634" customWidth="1"/>
    <col min="3370" max="3372" width="0" style="1634" hidden="1" customWidth="1"/>
    <col min="3373" max="3373" width="9" style="1634" customWidth="1"/>
    <col min="3374" max="3584" width="8.88671875" style="1634"/>
    <col min="3585" max="3585" width="82.44140625" style="1634" customWidth="1"/>
    <col min="3586" max="3586" width="7.109375" style="1634" customWidth="1"/>
    <col min="3587" max="3587" width="13.33203125" style="1634" customWidth="1"/>
    <col min="3588" max="3588" width="7.109375" style="1634" customWidth="1"/>
    <col min="3589" max="3589" width="5.21875" style="1634" customWidth="1"/>
    <col min="3590" max="3590" width="82.44140625" style="1634" customWidth="1"/>
    <col min="3591" max="3591" width="9" style="1634" customWidth="1"/>
    <col min="3592" max="3592" width="10.109375" style="1634" customWidth="1"/>
    <col min="3593" max="3593" width="48.6640625" style="1634" customWidth="1"/>
    <col min="3594" max="3595" width="15.88671875" style="1634" customWidth="1"/>
    <col min="3596" max="3596" width="18.109375" style="1634" customWidth="1"/>
    <col min="3597" max="3597" width="9" style="1634" customWidth="1"/>
    <col min="3598" max="3598" width="20.33203125" style="1634" customWidth="1"/>
    <col min="3599" max="3599" width="20.109375" style="1634" customWidth="1"/>
    <col min="3600" max="3610" width="0" style="1634" hidden="1" customWidth="1"/>
    <col min="3611" max="3611" width="10.21875" style="1634" customWidth="1"/>
    <col min="3612" max="3613" width="0" style="1634" hidden="1" customWidth="1"/>
    <col min="3614" max="3614" width="31.21875" style="1634" customWidth="1"/>
    <col min="3615" max="3616" width="0" style="1634" hidden="1" customWidth="1"/>
    <col min="3617" max="3617" width="12.109375" style="1634" customWidth="1"/>
    <col min="3618" max="3620" width="0" style="1634" hidden="1" customWidth="1"/>
    <col min="3621" max="3621" width="16.33203125" style="1634" customWidth="1"/>
    <col min="3622" max="3623" width="0" style="1634" hidden="1" customWidth="1"/>
    <col min="3624" max="3624" width="7.109375" style="1634" customWidth="1"/>
    <col min="3625" max="3625" width="8.88671875" style="1634" customWidth="1"/>
    <col min="3626" max="3628" width="0" style="1634" hidden="1" customWidth="1"/>
    <col min="3629" max="3629" width="9" style="1634" customWidth="1"/>
    <col min="3630" max="3840" width="8.88671875" style="1634"/>
    <col min="3841" max="3841" width="82.44140625" style="1634" customWidth="1"/>
    <col min="3842" max="3842" width="7.109375" style="1634" customWidth="1"/>
    <col min="3843" max="3843" width="13.33203125" style="1634" customWidth="1"/>
    <col min="3844" max="3844" width="7.109375" style="1634" customWidth="1"/>
    <col min="3845" max="3845" width="5.21875" style="1634" customWidth="1"/>
    <col min="3846" max="3846" width="82.44140625" style="1634" customWidth="1"/>
    <col min="3847" max="3847" width="9" style="1634" customWidth="1"/>
    <col min="3848" max="3848" width="10.109375" style="1634" customWidth="1"/>
    <col min="3849" max="3849" width="48.6640625" style="1634" customWidth="1"/>
    <col min="3850" max="3851" width="15.88671875" style="1634" customWidth="1"/>
    <col min="3852" max="3852" width="18.109375" style="1634" customWidth="1"/>
    <col min="3853" max="3853" width="9" style="1634" customWidth="1"/>
    <col min="3854" max="3854" width="20.33203125" style="1634" customWidth="1"/>
    <col min="3855" max="3855" width="20.109375" style="1634" customWidth="1"/>
    <col min="3856" max="3866" width="0" style="1634" hidden="1" customWidth="1"/>
    <col min="3867" max="3867" width="10.21875" style="1634" customWidth="1"/>
    <col min="3868" max="3869" width="0" style="1634" hidden="1" customWidth="1"/>
    <col min="3870" max="3870" width="31.21875" style="1634" customWidth="1"/>
    <col min="3871" max="3872" width="0" style="1634" hidden="1" customWidth="1"/>
    <col min="3873" max="3873" width="12.109375" style="1634" customWidth="1"/>
    <col min="3874" max="3876" width="0" style="1634" hidden="1" customWidth="1"/>
    <col min="3877" max="3877" width="16.33203125" style="1634" customWidth="1"/>
    <col min="3878" max="3879" width="0" style="1634" hidden="1" customWidth="1"/>
    <col min="3880" max="3880" width="7.109375" style="1634" customWidth="1"/>
    <col min="3881" max="3881" width="8.88671875" style="1634" customWidth="1"/>
    <col min="3882" max="3884" width="0" style="1634" hidden="1" customWidth="1"/>
    <col min="3885" max="3885" width="9" style="1634" customWidth="1"/>
    <col min="3886" max="4096" width="8.88671875" style="1634"/>
    <col min="4097" max="4097" width="82.44140625" style="1634" customWidth="1"/>
    <col min="4098" max="4098" width="7.109375" style="1634" customWidth="1"/>
    <col min="4099" max="4099" width="13.33203125" style="1634" customWidth="1"/>
    <col min="4100" max="4100" width="7.109375" style="1634" customWidth="1"/>
    <col min="4101" max="4101" width="5.21875" style="1634" customWidth="1"/>
    <col min="4102" max="4102" width="82.44140625" style="1634" customWidth="1"/>
    <col min="4103" max="4103" width="9" style="1634" customWidth="1"/>
    <col min="4104" max="4104" width="10.109375" style="1634" customWidth="1"/>
    <col min="4105" max="4105" width="48.6640625" style="1634" customWidth="1"/>
    <col min="4106" max="4107" width="15.88671875" style="1634" customWidth="1"/>
    <col min="4108" max="4108" width="18.109375" style="1634" customWidth="1"/>
    <col min="4109" max="4109" width="9" style="1634" customWidth="1"/>
    <col min="4110" max="4110" width="20.33203125" style="1634" customWidth="1"/>
    <col min="4111" max="4111" width="20.109375" style="1634" customWidth="1"/>
    <col min="4112" max="4122" width="0" style="1634" hidden="1" customWidth="1"/>
    <col min="4123" max="4123" width="10.21875" style="1634" customWidth="1"/>
    <col min="4124" max="4125" width="0" style="1634" hidden="1" customWidth="1"/>
    <col min="4126" max="4126" width="31.21875" style="1634" customWidth="1"/>
    <col min="4127" max="4128" width="0" style="1634" hidden="1" customWidth="1"/>
    <col min="4129" max="4129" width="12.109375" style="1634" customWidth="1"/>
    <col min="4130" max="4132" width="0" style="1634" hidden="1" customWidth="1"/>
    <col min="4133" max="4133" width="16.33203125" style="1634" customWidth="1"/>
    <col min="4134" max="4135" width="0" style="1634" hidden="1" customWidth="1"/>
    <col min="4136" max="4136" width="7.109375" style="1634" customWidth="1"/>
    <col min="4137" max="4137" width="8.88671875" style="1634" customWidth="1"/>
    <col min="4138" max="4140" width="0" style="1634" hidden="1" customWidth="1"/>
    <col min="4141" max="4141" width="9" style="1634" customWidth="1"/>
    <col min="4142" max="4352" width="8.88671875" style="1634"/>
    <col min="4353" max="4353" width="82.44140625" style="1634" customWidth="1"/>
    <col min="4354" max="4354" width="7.109375" style="1634" customWidth="1"/>
    <col min="4355" max="4355" width="13.33203125" style="1634" customWidth="1"/>
    <col min="4356" max="4356" width="7.109375" style="1634" customWidth="1"/>
    <col min="4357" max="4357" width="5.21875" style="1634" customWidth="1"/>
    <col min="4358" max="4358" width="82.44140625" style="1634" customWidth="1"/>
    <col min="4359" max="4359" width="9" style="1634" customWidth="1"/>
    <col min="4360" max="4360" width="10.109375" style="1634" customWidth="1"/>
    <col min="4361" max="4361" width="48.6640625" style="1634" customWidth="1"/>
    <col min="4362" max="4363" width="15.88671875" style="1634" customWidth="1"/>
    <col min="4364" max="4364" width="18.109375" style="1634" customWidth="1"/>
    <col min="4365" max="4365" width="9" style="1634" customWidth="1"/>
    <col min="4366" max="4366" width="20.33203125" style="1634" customWidth="1"/>
    <col min="4367" max="4367" width="20.109375" style="1634" customWidth="1"/>
    <col min="4368" max="4378" width="0" style="1634" hidden="1" customWidth="1"/>
    <col min="4379" max="4379" width="10.21875" style="1634" customWidth="1"/>
    <col min="4380" max="4381" width="0" style="1634" hidden="1" customWidth="1"/>
    <col min="4382" max="4382" width="31.21875" style="1634" customWidth="1"/>
    <col min="4383" max="4384" width="0" style="1634" hidden="1" customWidth="1"/>
    <col min="4385" max="4385" width="12.109375" style="1634" customWidth="1"/>
    <col min="4386" max="4388" width="0" style="1634" hidden="1" customWidth="1"/>
    <col min="4389" max="4389" width="16.33203125" style="1634" customWidth="1"/>
    <col min="4390" max="4391" width="0" style="1634" hidden="1" customWidth="1"/>
    <col min="4392" max="4392" width="7.109375" style="1634" customWidth="1"/>
    <col min="4393" max="4393" width="8.88671875" style="1634" customWidth="1"/>
    <col min="4394" max="4396" width="0" style="1634" hidden="1" customWidth="1"/>
    <col min="4397" max="4397" width="9" style="1634" customWidth="1"/>
    <col min="4398" max="4608" width="8.88671875" style="1634"/>
    <col min="4609" max="4609" width="82.44140625" style="1634" customWidth="1"/>
    <col min="4610" max="4610" width="7.109375" style="1634" customWidth="1"/>
    <col min="4611" max="4611" width="13.33203125" style="1634" customWidth="1"/>
    <col min="4612" max="4612" width="7.109375" style="1634" customWidth="1"/>
    <col min="4613" max="4613" width="5.21875" style="1634" customWidth="1"/>
    <col min="4614" max="4614" width="82.44140625" style="1634" customWidth="1"/>
    <col min="4615" max="4615" width="9" style="1634" customWidth="1"/>
    <col min="4616" max="4616" width="10.109375" style="1634" customWidth="1"/>
    <col min="4617" max="4617" width="48.6640625" style="1634" customWidth="1"/>
    <col min="4618" max="4619" width="15.88671875" style="1634" customWidth="1"/>
    <col min="4620" max="4620" width="18.109375" style="1634" customWidth="1"/>
    <col min="4621" max="4621" width="9" style="1634" customWidth="1"/>
    <col min="4622" max="4622" width="20.33203125" style="1634" customWidth="1"/>
    <col min="4623" max="4623" width="20.109375" style="1634" customWidth="1"/>
    <col min="4624" max="4634" width="0" style="1634" hidden="1" customWidth="1"/>
    <col min="4635" max="4635" width="10.21875" style="1634" customWidth="1"/>
    <col min="4636" max="4637" width="0" style="1634" hidden="1" customWidth="1"/>
    <col min="4638" max="4638" width="31.21875" style="1634" customWidth="1"/>
    <col min="4639" max="4640" width="0" style="1634" hidden="1" customWidth="1"/>
    <col min="4641" max="4641" width="12.109375" style="1634" customWidth="1"/>
    <col min="4642" max="4644" width="0" style="1634" hidden="1" customWidth="1"/>
    <col min="4645" max="4645" width="16.33203125" style="1634" customWidth="1"/>
    <col min="4646" max="4647" width="0" style="1634" hidden="1" customWidth="1"/>
    <col min="4648" max="4648" width="7.109375" style="1634" customWidth="1"/>
    <col min="4649" max="4649" width="8.88671875" style="1634" customWidth="1"/>
    <col min="4650" max="4652" width="0" style="1634" hidden="1" customWidth="1"/>
    <col min="4653" max="4653" width="9" style="1634" customWidth="1"/>
    <col min="4654" max="4864" width="8.88671875" style="1634"/>
    <col min="4865" max="4865" width="82.44140625" style="1634" customWidth="1"/>
    <col min="4866" max="4866" width="7.109375" style="1634" customWidth="1"/>
    <col min="4867" max="4867" width="13.33203125" style="1634" customWidth="1"/>
    <col min="4868" max="4868" width="7.109375" style="1634" customWidth="1"/>
    <col min="4869" max="4869" width="5.21875" style="1634" customWidth="1"/>
    <col min="4870" max="4870" width="82.44140625" style="1634" customWidth="1"/>
    <col min="4871" max="4871" width="9" style="1634" customWidth="1"/>
    <col min="4872" max="4872" width="10.109375" style="1634" customWidth="1"/>
    <col min="4873" max="4873" width="48.6640625" style="1634" customWidth="1"/>
    <col min="4874" max="4875" width="15.88671875" style="1634" customWidth="1"/>
    <col min="4876" max="4876" width="18.109375" style="1634" customWidth="1"/>
    <col min="4877" max="4877" width="9" style="1634" customWidth="1"/>
    <col min="4878" max="4878" width="20.33203125" style="1634" customWidth="1"/>
    <col min="4879" max="4879" width="20.109375" style="1634" customWidth="1"/>
    <col min="4880" max="4890" width="0" style="1634" hidden="1" customWidth="1"/>
    <col min="4891" max="4891" width="10.21875" style="1634" customWidth="1"/>
    <col min="4892" max="4893" width="0" style="1634" hidden="1" customWidth="1"/>
    <col min="4894" max="4894" width="31.21875" style="1634" customWidth="1"/>
    <col min="4895" max="4896" width="0" style="1634" hidden="1" customWidth="1"/>
    <col min="4897" max="4897" width="12.109375" style="1634" customWidth="1"/>
    <col min="4898" max="4900" width="0" style="1634" hidden="1" customWidth="1"/>
    <col min="4901" max="4901" width="16.33203125" style="1634" customWidth="1"/>
    <col min="4902" max="4903" width="0" style="1634" hidden="1" customWidth="1"/>
    <col min="4904" max="4904" width="7.109375" style="1634" customWidth="1"/>
    <col min="4905" max="4905" width="8.88671875" style="1634" customWidth="1"/>
    <col min="4906" max="4908" width="0" style="1634" hidden="1" customWidth="1"/>
    <col min="4909" max="4909" width="9" style="1634" customWidth="1"/>
    <col min="4910" max="5120" width="8.88671875" style="1634"/>
    <col min="5121" max="5121" width="82.44140625" style="1634" customWidth="1"/>
    <col min="5122" max="5122" width="7.109375" style="1634" customWidth="1"/>
    <col min="5123" max="5123" width="13.33203125" style="1634" customWidth="1"/>
    <col min="5124" max="5124" width="7.109375" style="1634" customWidth="1"/>
    <col min="5125" max="5125" width="5.21875" style="1634" customWidth="1"/>
    <col min="5126" max="5126" width="82.44140625" style="1634" customWidth="1"/>
    <col min="5127" max="5127" width="9" style="1634" customWidth="1"/>
    <col min="5128" max="5128" width="10.109375" style="1634" customWidth="1"/>
    <col min="5129" max="5129" width="48.6640625" style="1634" customWidth="1"/>
    <col min="5130" max="5131" width="15.88671875" style="1634" customWidth="1"/>
    <col min="5132" max="5132" width="18.109375" style="1634" customWidth="1"/>
    <col min="5133" max="5133" width="9" style="1634" customWidth="1"/>
    <col min="5134" max="5134" width="20.33203125" style="1634" customWidth="1"/>
    <col min="5135" max="5135" width="20.109375" style="1634" customWidth="1"/>
    <col min="5136" max="5146" width="0" style="1634" hidden="1" customWidth="1"/>
    <col min="5147" max="5147" width="10.21875" style="1634" customWidth="1"/>
    <col min="5148" max="5149" width="0" style="1634" hidden="1" customWidth="1"/>
    <col min="5150" max="5150" width="31.21875" style="1634" customWidth="1"/>
    <col min="5151" max="5152" width="0" style="1634" hidden="1" customWidth="1"/>
    <col min="5153" max="5153" width="12.109375" style="1634" customWidth="1"/>
    <col min="5154" max="5156" width="0" style="1634" hidden="1" customWidth="1"/>
    <col min="5157" max="5157" width="16.33203125" style="1634" customWidth="1"/>
    <col min="5158" max="5159" width="0" style="1634" hidden="1" customWidth="1"/>
    <col min="5160" max="5160" width="7.109375" style="1634" customWidth="1"/>
    <col min="5161" max="5161" width="8.88671875" style="1634" customWidth="1"/>
    <col min="5162" max="5164" width="0" style="1634" hidden="1" customWidth="1"/>
    <col min="5165" max="5165" width="9" style="1634" customWidth="1"/>
    <col min="5166" max="5376" width="8.88671875" style="1634"/>
    <col min="5377" max="5377" width="82.44140625" style="1634" customWidth="1"/>
    <col min="5378" max="5378" width="7.109375" style="1634" customWidth="1"/>
    <col min="5379" max="5379" width="13.33203125" style="1634" customWidth="1"/>
    <col min="5380" max="5380" width="7.109375" style="1634" customWidth="1"/>
    <col min="5381" max="5381" width="5.21875" style="1634" customWidth="1"/>
    <col min="5382" max="5382" width="82.44140625" style="1634" customWidth="1"/>
    <col min="5383" max="5383" width="9" style="1634" customWidth="1"/>
    <col min="5384" max="5384" width="10.109375" style="1634" customWidth="1"/>
    <col min="5385" max="5385" width="48.6640625" style="1634" customWidth="1"/>
    <col min="5386" max="5387" width="15.88671875" style="1634" customWidth="1"/>
    <col min="5388" max="5388" width="18.109375" style="1634" customWidth="1"/>
    <col min="5389" max="5389" width="9" style="1634" customWidth="1"/>
    <col min="5390" max="5390" width="20.33203125" style="1634" customWidth="1"/>
    <col min="5391" max="5391" width="20.109375" style="1634" customWidth="1"/>
    <col min="5392" max="5402" width="0" style="1634" hidden="1" customWidth="1"/>
    <col min="5403" max="5403" width="10.21875" style="1634" customWidth="1"/>
    <col min="5404" max="5405" width="0" style="1634" hidden="1" customWidth="1"/>
    <col min="5406" max="5406" width="31.21875" style="1634" customWidth="1"/>
    <col min="5407" max="5408" width="0" style="1634" hidden="1" customWidth="1"/>
    <col min="5409" max="5409" width="12.109375" style="1634" customWidth="1"/>
    <col min="5410" max="5412" width="0" style="1634" hidden="1" customWidth="1"/>
    <col min="5413" max="5413" width="16.33203125" style="1634" customWidth="1"/>
    <col min="5414" max="5415" width="0" style="1634" hidden="1" customWidth="1"/>
    <col min="5416" max="5416" width="7.109375" style="1634" customWidth="1"/>
    <col min="5417" max="5417" width="8.88671875" style="1634" customWidth="1"/>
    <col min="5418" max="5420" width="0" style="1634" hidden="1" customWidth="1"/>
    <col min="5421" max="5421" width="9" style="1634" customWidth="1"/>
    <col min="5422" max="5632" width="8.88671875" style="1634"/>
    <col min="5633" max="5633" width="82.44140625" style="1634" customWidth="1"/>
    <col min="5634" max="5634" width="7.109375" style="1634" customWidth="1"/>
    <col min="5635" max="5635" width="13.33203125" style="1634" customWidth="1"/>
    <col min="5636" max="5636" width="7.109375" style="1634" customWidth="1"/>
    <col min="5637" max="5637" width="5.21875" style="1634" customWidth="1"/>
    <col min="5638" max="5638" width="82.44140625" style="1634" customWidth="1"/>
    <col min="5639" max="5639" width="9" style="1634" customWidth="1"/>
    <col min="5640" max="5640" width="10.109375" style="1634" customWidth="1"/>
    <col min="5641" max="5641" width="48.6640625" style="1634" customWidth="1"/>
    <col min="5642" max="5643" width="15.88671875" style="1634" customWidth="1"/>
    <col min="5644" max="5644" width="18.109375" style="1634" customWidth="1"/>
    <col min="5645" max="5645" width="9" style="1634" customWidth="1"/>
    <col min="5646" max="5646" width="20.33203125" style="1634" customWidth="1"/>
    <col min="5647" max="5647" width="20.109375" style="1634" customWidth="1"/>
    <col min="5648" max="5658" width="0" style="1634" hidden="1" customWidth="1"/>
    <col min="5659" max="5659" width="10.21875" style="1634" customWidth="1"/>
    <col min="5660" max="5661" width="0" style="1634" hidden="1" customWidth="1"/>
    <col min="5662" max="5662" width="31.21875" style="1634" customWidth="1"/>
    <col min="5663" max="5664" width="0" style="1634" hidden="1" customWidth="1"/>
    <col min="5665" max="5665" width="12.109375" style="1634" customWidth="1"/>
    <col min="5666" max="5668" width="0" style="1634" hidden="1" customWidth="1"/>
    <col min="5669" max="5669" width="16.33203125" style="1634" customWidth="1"/>
    <col min="5670" max="5671" width="0" style="1634" hidden="1" customWidth="1"/>
    <col min="5672" max="5672" width="7.109375" style="1634" customWidth="1"/>
    <col min="5673" max="5673" width="8.88671875" style="1634" customWidth="1"/>
    <col min="5674" max="5676" width="0" style="1634" hidden="1" customWidth="1"/>
    <col min="5677" max="5677" width="9" style="1634" customWidth="1"/>
    <col min="5678" max="5888" width="8.88671875" style="1634"/>
    <col min="5889" max="5889" width="82.44140625" style="1634" customWidth="1"/>
    <col min="5890" max="5890" width="7.109375" style="1634" customWidth="1"/>
    <col min="5891" max="5891" width="13.33203125" style="1634" customWidth="1"/>
    <col min="5892" max="5892" width="7.109375" style="1634" customWidth="1"/>
    <col min="5893" max="5893" width="5.21875" style="1634" customWidth="1"/>
    <col min="5894" max="5894" width="82.44140625" style="1634" customWidth="1"/>
    <col min="5895" max="5895" width="9" style="1634" customWidth="1"/>
    <col min="5896" max="5896" width="10.109375" style="1634" customWidth="1"/>
    <col min="5897" max="5897" width="48.6640625" style="1634" customWidth="1"/>
    <col min="5898" max="5899" width="15.88671875" style="1634" customWidth="1"/>
    <col min="5900" max="5900" width="18.109375" style="1634" customWidth="1"/>
    <col min="5901" max="5901" width="9" style="1634" customWidth="1"/>
    <col min="5902" max="5902" width="20.33203125" style="1634" customWidth="1"/>
    <col min="5903" max="5903" width="20.109375" style="1634" customWidth="1"/>
    <col min="5904" max="5914" width="0" style="1634" hidden="1" customWidth="1"/>
    <col min="5915" max="5915" width="10.21875" style="1634" customWidth="1"/>
    <col min="5916" max="5917" width="0" style="1634" hidden="1" customWidth="1"/>
    <col min="5918" max="5918" width="31.21875" style="1634" customWidth="1"/>
    <col min="5919" max="5920" width="0" style="1634" hidden="1" customWidth="1"/>
    <col min="5921" max="5921" width="12.109375" style="1634" customWidth="1"/>
    <col min="5922" max="5924" width="0" style="1634" hidden="1" customWidth="1"/>
    <col min="5925" max="5925" width="16.33203125" style="1634" customWidth="1"/>
    <col min="5926" max="5927" width="0" style="1634" hidden="1" customWidth="1"/>
    <col min="5928" max="5928" width="7.109375" style="1634" customWidth="1"/>
    <col min="5929" max="5929" width="8.88671875" style="1634" customWidth="1"/>
    <col min="5930" max="5932" width="0" style="1634" hidden="1" customWidth="1"/>
    <col min="5933" max="5933" width="9" style="1634" customWidth="1"/>
    <col min="5934" max="6144" width="8.88671875" style="1634"/>
    <col min="6145" max="6145" width="82.44140625" style="1634" customWidth="1"/>
    <col min="6146" max="6146" width="7.109375" style="1634" customWidth="1"/>
    <col min="6147" max="6147" width="13.33203125" style="1634" customWidth="1"/>
    <col min="6148" max="6148" width="7.109375" style="1634" customWidth="1"/>
    <col min="6149" max="6149" width="5.21875" style="1634" customWidth="1"/>
    <col min="6150" max="6150" width="82.44140625" style="1634" customWidth="1"/>
    <col min="6151" max="6151" width="9" style="1634" customWidth="1"/>
    <col min="6152" max="6152" width="10.109375" style="1634" customWidth="1"/>
    <col min="6153" max="6153" width="48.6640625" style="1634" customWidth="1"/>
    <col min="6154" max="6155" width="15.88671875" style="1634" customWidth="1"/>
    <col min="6156" max="6156" width="18.109375" style="1634" customWidth="1"/>
    <col min="6157" max="6157" width="9" style="1634" customWidth="1"/>
    <col min="6158" max="6158" width="20.33203125" style="1634" customWidth="1"/>
    <col min="6159" max="6159" width="20.109375" style="1634" customWidth="1"/>
    <col min="6160" max="6170" width="0" style="1634" hidden="1" customWidth="1"/>
    <col min="6171" max="6171" width="10.21875" style="1634" customWidth="1"/>
    <col min="6172" max="6173" width="0" style="1634" hidden="1" customWidth="1"/>
    <col min="6174" max="6174" width="31.21875" style="1634" customWidth="1"/>
    <col min="6175" max="6176" width="0" style="1634" hidden="1" customWidth="1"/>
    <col min="6177" max="6177" width="12.109375" style="1634" customWidth="1"/>
    <col min="6178" max="6180" width="0" style="1634" hidden="1" customWidth="1"/>
    <col min="6181" max="6181" width="16.33203125" style="1634" customWidth="1"/>
    <col min="6182" max="6183" width="0" style="1634" hidden="1" customWidth="1"/>
    <col min="6184" max="6184" width="7.109375" style="1634" customWidth="1"/>
    <col min="6185" max="6185" width="8.88671875" style="1634" customWidth="1"/>
    <col min="6186" max="6188" width="0" style="1634" hidden="1" customWidth="1"/>
    <col min="6189" max="6189" width="9" style="1634" customWidth="1"/>
    <col min="6190" max="6400" width="8.88671875" style="1634"/>
    <col min="6401" max="6401" width="82.44140625" style="1634" customWidth="1"/>
    <col min="6402" max="6402" width="7.109375" style="1634" customWidth="1"/>
    <col min="6403" max="6403" width="13.33203125" style="1634" customWidth="1"/>
    <col min="6404" max="6404" width="7.109375" style="1634" customWidth="1"/>
    <col min="6405" max="6405" width="5.21875" style="1634" customWidth="1"/>
    <col min="6406" max="6406" width="82.44140625" style="1634" customWidth="1"/>
    <col min="6407" max="6407" width="9" style="1634" customWidth="1"/>
    <col min="6408" max="6408" width="10.109375" style="1634" customWidth="1"/>
    <col min="6409" max="6409" width="48.6640625" style="1634" customWidth="1"/>
    <col min="6410" max="6411" width="15.88671875" style="1634" customWidth="1"/>
    <col min="6412" max="6412" width="18.109375" style="1634" customWidth="1"/>
    <col min="6413" max="6413" width="9" style="1634" customWidth="1"/>
    <col min="6414" max="6414" width="20.33203125" style="1634" customWidth="1"/>
    <col min="6415" max="6415" width="20.109375" style="1634" customWidth="1"/>
    <col min="6416" max="6426" width="0" style="1634" hidden="1" customWidth="1"/>
    <col min="6427" max="6427" width="10.21875" style="1634" customWidth="1"/>
    <col min="6428" max="6429" width="0" style="1634" hidden="1" customWidth="1"/>
    <col min="6430" max="6430" width="31.21875" style="1634" customWidth="1"/>
    <col min="6431" max="6432" width="0" style="1634" hidden="1" customWidth="1"/>
    <col min="6433" max="6433" width="12.109375" style="1634" customWidth="1"/>
    <col min="6434" max="6436" width="0" style="1634" hidden="1" customWidth="1"/>
    <col min="6437" max="6437" width="16.33203125" style="1634" customWidth="1"/>
    <col min="6438" max="6439" width="0" style="1634" hidden="1" customWidth="1"/>
    <col min="6440" max="6440" width="7.109375" style="1634" customWidth="1"/>
    <col min="6441" max="6441" width="8.88671875" style="1634" customWidth="1"/>
    <col min="6442" max="6444" width="0" style="1634" hidden="1" customWidth="1"/>
    <col min="6445" max="6445" width="9" style="1634" customWidth="1"/>
    <col min="6446" max="6656" width="8.88671875" style="1634"/>
    <col min="6657" max="6657" width="82.44140625" style="1634" customWidth="1"/>
    <col min="6658" max="6658" width="7.109375" style="1634" customWidth="1"/>
    <col min="6659" max="6659" width="13.33203125" style="1634" customWidth="1"/>
    <col min="6660" max="6660" width="7.109375" style="1634" customWidth="1"/>
    <col min="6661" max="6661" width="5.21875" style="1634" customWidth="1"/>
    <col min="6662" max="6662" width="82.44140625" style="1634" customWidth="1"/>
    <col min="6663" max="6663" width="9" style="1634" customWidth="1"/>
    <col min="6664" max="6664" width="10.109375" style="1634" customWidth="1"/>
    <col min="6665" max="6665" width="48.6640625" style="1634" customWidth="1"/>
    <col min="6666" max="6667" width="15.88671875" style="1634" customWidth="1"/>
    <col min="6668" max="6668" width="18.109375" style="1634" customWidth="1"/>
    <col min="6669" max="6669" width="9" style="1634" customWidth="1"/>
    <col min="6670" max="6670" width="20.33203125" style="1634" customWidth="1"/>
    <col min="6671" max="6671" width="20.109375" style="1634" customWidth="1"/>
    <col min="6672" max="6682" width="0" style="1634" hidden="1" customWidth="1"/>
    <col min="6683" max="6683" width="10.21875" style="1634" customWidth="1"/>
    <col min="6684" max="6685" width="0" style="1634" hidden="1" customWidth="1"/>
    <col min="6686" max="6686" width="31.21875" style="1634" customWidth="1"/>
    <col min="6687" max="6688" width="0" style="1634" hidden="1" customWidth="1"/>
    <col min="6689" max="6689" width="12.109375" style="1634" customWidth="1"/>
    <col min="6690" max="6692" width="0" style="1634" hidden="1" customWidth="1"/>
    <col min="6693" max="6693" width="16.33203125" style="1634" customWidth="1"/>
    <col min="6694" max="6695" width="0" style="1634" hidden="1" customWidth="1"/>
    <col min="6696" max="6696" width="7.109375" style="1634" customWidth="1"/>
    <col min="6697" max="6697" width="8.88671875" style="1634" customWidth="1"/>
    <col min="6698" max="6700" width="0" style="1634" hidden="1" customWidth="1"/>
    <col min="6701" max="6701" width="9" style="1634" customWidth="1"/>
    <col min="6702" max="6912" width="8.88671875" style="1634"/>
    <col min="6913" max="6913" width="82.44140625" style="1634" customWidth="1"/>
    <col min="6914" max="6914" width="7.109375" style="1634" customWidth="1"/>
    <col min="6915" max="6915" width="13.33203125" style="1634" customWidth="1"/>
    <col min="6916" max="6916" width="7.109375" style="1634" customWidth="1"/>
    <col min="6917" max="6917" width="5.21875" style="1634" customWidth="1"/>
    <col min="6918" max="6918" width="82.44140625" style="1634" customWidth="1"/>
    <col min="6919" max="6919" width="9" style="1634" customWidth="1"/>
    <col min="6920" max="6920" width="10.109375" style="1634" customWidth="1"/>
    <col min="6921" max="6921" width="48.6640625" style="1634" customWidth="1"/>
    <col min="6922" max="6923" width="15.88671875" style="1634" customWidth="1"/>
    <col min="6924" max="6924" width="18.109375" style="1634" customWidth="1"/>
    <col min="6925" max="6925" width="9" style="1634" customWidth="1"/>
    <col min="6926" max="6926" width="20.33203125" style="1634" customWidth="1"/>
    <col min="6927" max="6927" width="20.109375" style="1634" customWidth="1"/>
    <col min="6928" max="6938" width="0" style="1634" hidden="1" customWidth="1"/>
    <col min="6939" max="6939" width="10.21875" style="1634" customWidth="1"/>
    <col min="6940" max="6941" width="0" style="1634" hidden="1" customWidth="1"/>
    <col min="6942" max="6942" width="31.21875" style="1634" customWidth="1"/>
    <col min="6943" max="6944" width="0" style="1634" hidden="1" customWidth="1"/>
    <col min="6945" max="6945" width="12.109375" style="1634" customWidth="1"/>
    <col min="6946" max="6948" width="0" style="1634" hidden="1" customWidth="1"/>
    <col min="6949" max="6949" width="16.33203125" style="1634" customWidth="1"/>
    <col min="6950" max="6951" width="0" style="1634" hidden="1" customWidth="1"/>
    <col min="6952" max="6952" width="7.109375" style="1634" customWidth="1"/>
    <col min="6953" max="6953" width="8.88671875" style="1634" customWidth="1"/>
    <col min="6954" max="6956" width="0" style="1634" hidden="1" customWidth="1"/>
    <col min="6957" max="6957" width="9" style="1634" customWidth="1"/>
    <col min="6958" max="7168" width="8.88671875" style="1634"/>
    <col min="7169" max="7169" width="82.44140625" style="1634" customWidth="1"/>
    <col min="7170" max="7170" width="7.109375" style="1634" customWidth="1"/>
    <col min="7171" max="7171" width="13.33203125" style="1634" customWidth="1"/>
    <col min="7172" max="7172" width="7.109375" style="1634" customWidth="1"/>
    <col min="7173" max="7173" width="5.21875" style="1634" customWidth="1"/>
    <col min="7174" max="7174" width="82.44140625" style="1634" customWidth="1"/>
    <col min="7175" max="7175" width="9" style="1634" customWidth="1"/>
    <col min="7176" max="7176" width="10.109375" style="1634" customWidth="1"/>
    <col min="7177" max="7177" width="48.6640625" style="1634" customWidth="1"/>
    <col min="7178" max="7179" width="15.88671875" style="1634" customWidth="1"/>
    <col min="7180" max="7180" width="18.109375" style="1634" customWidth="1"/>
    <col min="7181" max="7181" width="9" style="1634" customWidth="1"/>
    <col min="7182" max="7182" width="20.33203125" style="1634" customWidth="1"/>
    <col min="7183" max="7183" width="20.109375" style="1634" customWidth="1"/>
    <col min="7184" max="7194" width="0" style="1634" hidden="1" customWidth="1"/>
    <col min="7195" max="7195" width="10.21875" style="1634" customWidth="1"/>
    <col min="7196" max="7197" width="0" style="1634" hidden="1" customWidth="1"/>
    <col min="7198" max="7198" width="31.21875" style="1634" customWidth="1"/>
    <col min="7199" max="7200" width="0" style="1634" hidden="1" customWidth="1"/>
    <col min="7201" max="7201" width="12.109375" style="1634" customWidth="1"/>
    <col min="7202" max="7204" width="0" style="1634" hidden="1" customWidth="1"/>
    <col min="7205" max="7205" width="16.33203125" style="1634" customWidth="1"/>
    <col min="7206" max="7207" width="0" style="1634" hidden="1" customWidth="1"/>
    <col min="7208" max="7208" width="7.109375" style="1634" customWidth="1"/>
    <col min="7209" max="7209" width="8.88671875" style="1634" customWidth="1"/>
    <col min="7210" max="7212" width="0" style="1634" hidden="1" customWidth="1"/>
    <col min="7213" max="7213" width="9" style="1634" customWidth="1"/>
    <col min="7214" max="7424" width="8.88671875" style="1634"/>
    <col min="7425" max="7425" width="82.44140625" style="1634" customWidth="1"/>
    <col min="7426" max="7426" width="7.109375" style="1634" customWidth="1"/>
    <col min="7427" max="7427" width="13.33203125" style="1634" customWidth="1"/>
    <col min="7428" max="7428" width="7.109375" style="1634" customWidth="1"/>
    <col min="7429" max="7429" width="5.21875" style="1634" customWidth="1"/>
    <col min="7430" max="7430" width="82.44140625" style="1634" customWidth="1"/>
    <col min="7431" max="7431" width="9" style="1634" customWidth="1"/>
    <col min="7432" max="7432" width="10.109375" style="1634" customWidth="1"/>
    <col min="7433" max="7433" width="48.6640625" style="1634" customWidth="1"/>
    <col min="7434" max="7435" width="15.88671875" style="1634" customWidth="1"/>
    <col min="7436" max="7436" width="18.109375" style="1634" customWidth="1"/>
    <col min="7437" max="7437" width="9" style="1634" customWidth="1"/>
    <col min="7438" max="7438" width="20.33203125" style="1634" customWidth="1"/>
    <col min="7439" max="7439" width="20.109375" style="1634" customWidth="1"/>
    <col min="7440" max="7450" width="0" style="1634" hidden="1" customWidth="1"/>
    <col min="7451" max="7451" width="10.21875" style="1634" customWidth="1"/>
    <col min="7452" max="7453" width="0" style="1634" hidden="1" customWidth="1"/>
    <col min="7454" max="7454" width="31.21875" style="1634" customWidth="1"/>
    <col min="7455" max="7456" width="0" style="1634" hidden="1" customWidth="1"/>
    <col min="7457" max="7457" width="12.109375" style="1634" customWidth="1"/>
    <col min="7458" max="7460" width="0" style="1634" hidden="1" customWidth="1"/>
    <col min="7461" max="7461" width="16.33203125" style="1634" customWidth="1"/>
    <col min="7462" max="7463" width="0" style="1634" hidden="1" customWidth="1"/>
    <col min="7464" max="7464" width="7.109375" style="1634" customWidth="1"/>
    <col min="7465" max="7465" width="8.88671875" style="1634" customWidth="1"/>
    <col min="7466" max="7468" width="0" style="1634" hidden="1" customWidth="1"/>
    <col min="7469" max="7469" width="9" style="1634" customWidth="1"/>
    <col min="7470" max="7680" width="8.88671875" style="1634"/>
    <col min="7681" max="7681" width="82.44140625" style="1634" customWidth="1"/>
    <col min="7682" max="7682" width="7.109375" style="1634" customWidth="1"/>
    <col min="7683" max="7683" width="13.33203125" style="1634" customWidth="1"/>
    <col min="7684" max="7684" width="7.109375" style="1634" customWidth="1"/>
    <col min="7685" max="7685" width="5.21875" style="1634" customWidth="1"/>
    <col min="7686" max="7686" width="82.44140625" style="1634" customWidth="1"/>
    <col min="7687" max="7687" width="9" style="1634" customWidth="1"/>
    <col min="7688" max="7688" width="10.109375" style="1634" customWidth="1"/>
    <col min="7689" max="7689" width="48.6640625" style="1634" customWidth="1"/>
    <col min="7690" max="7691" width="15.88671875" style="1634" customWidth="1"/>
    <col min="7692" max="7692" width="18.109375" style="1634" customWidth="1"/>
    <col min="7693" max="7693" width="9" style="1634" customWidth="1"/>
    <col min="7694" max="7694" width="20.33203125" style="1634" customWidth="1"/>
    <col min="7695" max="7695" width="20.109375" style="1634" customWidth="1"/>
    <col min="7696" max="7706" width="0" style="1634" hidden="1" customWidth="1"/>
    <col min="7707" max="7707" width="10.21875" style="1634" customWidth="1"/>
    <col min="7708" max="7709" width="0" style="1634" hidden="1" customWidth="1"/>
    <col min="7710" max="7710" width="31.21875" style="1634" customWidth="1"/>
    <col min="7711" max="7712" width="0" style="1634" hidden="1" customWidth="1"/>
    <col min="7713" max="7713" width="12.109375" style="1634" customWidth="1"/>
    <col min="7714" max="7716" width="0" style="1634" hidden="1" customWidth="1"/>
    <col min="7717" max="7717" width="16.33203125" style="1634" customWidth="1"/>
    <col min="7718" max="7719" width="0" style="1634" hidden="1" customWidth="1"/>
    <col min="7720" max="7720" width="7.109375" style="1634" customWidth="1"/>
    <col min="7721" max="7721" width="8.88671875" style="1634" customWidth="1"/>
    <col min="7722" max="7724" width="0" style="1634" hidden="1" customWidth="1"/>
    <col min="7725" max="7725" width="9" style="1634" customWidth="1"/>
    <col min="7726" max="7936" width="8.88671875" style="1634"/>
    <col min="7937" max="7937" width="82.44140625" style="1634" customWidth="1"/>
    <col min="7938" max="7938" width="7.109375" style="1634" customWidth="1"/>
    <col min="7939" max="7939" width="13.33203125" style="1634" customWidth="1"/>
    <col min="7940" max="7940" width="7.109375" style="1634" customWidth="1"/>
    <col min="7941" max="7941" width="5.21875" style="1634" customWidth="1"/>
    <col min="7942" max="7942" width="82.44140625" style="1634" customWidth="1"/>
    <col min="7943" max="7943" width="9" style="1634" customWidth="1"/>
    <col min="7944" max="7944" width="10.109375" style="1634" customWidth="1"/>
    <col min="7945" max="7945" width="48.6640625" style="1634" customWidth="1"/>
    <col min="7946" max="7947" width="15.88671875" style="1634" customWidth="1"/>
    <col min="7948" max="7948" width="18.109375" style="1634" customWidth="1"/>
    <col min="7949" max="7949" width="9" style="1634" customWidth="1"/>
    <col min="7950" max="7950" width="20.33203125" style="1634" customWidth="1"/>
    <col min="7951" max="7951" width="20.109375" style="1634" customWidth="1"/>
    <col min="7952" max="7962" width="0" style="1634" hidden="1" customWidth="1"/>
    <col min="7963" max="7963" width="10.21875" style="1634" customWidth="1"/>
    <col min="7964" max="7965" width="0" style="1634" hidden="1" customWidth="1"/>
    <col min="7966" max="7966" width="31.21875" style="1634" customWidth="1"/>
    <col min="7967" max="7968" width="0" style="1634" hidden="1" customWidth="1"/>
    <col min="7969" max="7969" width="12.109375" style="1634" customWidth="1"/>
    <col min="7970" max="7972" width="0" style="1634" hidden="1" customWidth="1"/>
    <col min="7973" max="7973" width="16.33203125" style="1634" customWidth="1"/>
    <col min="7974" max="7975" width="0" style="1634" hidden="1" customWidth="1"/>
    <col min="7976" max="7976" width="7.109375" style="1634" customWidth="1"/>
    <col min="7977" max="7977" width="8.88671875" style="1634" customWidth="1"/>
    <col min="7978" max="7980" width="0" style="1634" hidden="1" customWidth="1"/>
    <col min="7981" max="7981" width="9" style="1634" customWidth="1"/>
    <col min="7982" max="8192" width="8.88671875" style="1634"/>
    <col min="8193" max="8193" width="82.44140625" style="1634" customWidth="1"/>
    <col min="8194" max="8194" width="7.109375" style="1634" customWidth="1"/>
    <col min="8195" max="8195" width="13.33203125" style="1634" customWidth="1"/>
    <col min="8196" max="8196" width="7.109375" style="1634" customWidth="1"/>
    <col min="8197" max="8197" width="5.21875" style="1634" customWidth="1"/>
    <col min="8198" max="8198" width="82.44140625" style="1634" customWidth="1"/>
    <col min="8199" max="8199" width="9" style="1634" customWidth="1"/>
    <col min="8200" max="8200" width="10.109375" style="1634" customWidth="1"/>
    <col min="8201" max="8201" width="48.6640625" style="1634" customWidth="1"/>
    <col min="8202" max="8203" width="15.88671875" style="1634" customWidth="1"/>
    <col min="8204" max="8204" width="18.109375" style="1634" customWidth="1"/>
    <col min="8205" max="8205" width="9" style="1634" customWidth="1"/>
    <col min="8206" max="8206" width="20.33203125" style="1634" customWidth="1"/>
    <col min="8207" max="8207" width="20.109375" style="1634" customWidth="1"/>
    <col min="8208" max="8218" width="0" style="1634" hidden="1" customWidth="1"/>
    <col min="8219" max="8219" width="10.21875" style="1634" customWidth="1"/>
    <col min="8220" max="8221" width="0" style="1634" hidden="1" customWidth="1"/>
    <col min="8222" max="8222" width="31.21875" style="1634" customWidth="1"/>
    <col min="8223" max="8224" width="0" style="1634" hidden="1" customWidth="1"/>
    <col min="8225" max="8225" width="12.109375" style="1634" customWidth="1"/>
    <col min="8226" max="8228" width="0" style="1634" hidden="1" customWidth="1"/>
    <col min="8229" max="8229" width="16.33203125" style="1634" customWidth="1"/>
    <col min="8230" max="8231" width="0" style="1634" hidden="1" customWidth="1"/>
    <col min="8232" max="8232" width="7.109375" style="1634" customWidth="1"/>
    <col min="8233" max="8233" width="8.88671875" style="1634" customWidth="1"/>
    <col min="8234" max="8236" width="0" style="1634" hidden="1" customWidth="1"/>
    <col min="8237" max="8237" width="9" style="1634" customWidth="1"/>
    <col min="8238" max="8448" width="8.88671875" style="1634"/>
    <col min="8449" max="8449" width="82.44140625" style="1634" customWidth="1"/>
    <col min="8450" max="8450" width="7.109375" style="1634" customWidth="1"/>
    <col min="8451" max="8451" width="13.33203125" style="1634" customWidth="1"/>
    <col min="8452" max="8452" width="7.109375" style="1634" customWidth="1"/>
    <col min="8453" max="8453" width="5.21875" style="1634" customWidth="1"/>
    <col min="8454" max="8454" width="82.44140625" style="1634" customWidth="1"/>
    <col min="8455" max="8455" width="9" style="1634" customWidth="1"/>
    <col min="8456" max="8456" width="10.109375" style="1634" customWidth="1"/>
    <col min="8457" max="8457" width="48.6640625" style="1634" customWidth="1"/>
    <col min="8458" max="8459" width="15.88671875" style="1634" customWidth="1"/>
    <col min="8460" max="8460" width="18.109375" style="1634" customWidth="1"/>
    <col min="8461" max="8461" width="9" style="1634" customWidth="1"/>
    <col min="8462" max="8462" width="20.33203125" style="1634" customWidth="1"/>
    <col min="8463" max="8463" width="20.109375" style="1634" customWidth="1"/>
    <col min="8464" max="8474" width="0" style="1634" hidden="1" customWidth="1"/>
    <col min="8475" max="8475" width="10.21875" style="1634" customWidth="1"/>
    <col min="8476" max="8477" width="0" style="1634" hidden="1" customWidth="1"/>
    <col min="8478" max="8478" width="31.21875" style="1634" customWidth="1"/>
    <col min="8479" max="8480" width="0" style="1634" hidden="1" customWidth="1"/>
    <col min="8481" max="8481" width="12.109375" style="1634" customWidth="1"/>
    <col min="8482" max="8484" width="0" style="1634" hidden="1" customWidth="1"/>
    <col min="8485" max="8485" width="16.33203125" style="1634" customWidth="1"/>
    <col min="8486" max="8487" width="0" style="1634" hidden="1" customWidth="1"/>
    <col min="8488" max="8488" width="7.109375" style="1634" customWidth="1"/>
    <col min="8489" max="8489" width="8.88671875" style="1634" customWidth="1"/>
    <col min="8490" max="8492" width="0" style="1634" hidden="1" customWidth="1"/>
    <col min="8493" max="8493" width="9" style="1634" customWidth="1"/>
    <col min="8494" max="8704" width="8.88671875" style="1634"/>
    <col min="8705" max="8705" width="82.44140625" style="1634" customWidth="1"/>
    <col min="8706" max="8706" width="7.109375" style="1634" customWidth="1"/>
    <col min="8707" max="8707" width="13.33203125" style="1634" customWidth="1"/>
    <col min="8708" max="8708" width="7.109375" style="1634" customWidth="1"/>
    <col min="8709" max="8709" width="5.21875" style="1634" customWidth="1"/>
    <col min="8710" max="8710" width="82.44140625" style="1634" customWidth="1"/>
    <col min="8711" max="8711" width="9" style="1634" customWidth="1"/>
    <col min="8712" max="8712" width="10.109375" style="1634" customWidth="1"/>
    <col min="8713" max="8713" width="48.6640625" style="1634" customWidth="1"/>
    <col min="8714" max="8715" width="15.88671875" style="1634" customWidth="1"/>
    <col min="8716" max="8716" width="18.109375" style="1634" customWidth="1"/>
    <col min="8717" max="8717" width="9" style="1634" customWidth="1"/>
    <col min="8718" max="8718" width="20.33203125" style="1634" customWidth="1"/>
    <col min="8719" max="8719" width="20.109375" style="1634" customWidth="1"/>
    <col min="8720" max="8730" width="0" style="1634" hidden="1" customWidth="1"/>
    <col min="8731" max="8731" width="10.21875" style="1634" customWidth="1"/>
    <col min="8732" max="8733" width="0" style="1634" hidden="1" customWidth="1"/>
    <col min="8734" max="8734" width="31.21875" style="1634" customWidth="1"/>
    <col min="8735" max="8736" width="0" style="1634" hidden="1" customWidth="1"/>
    <col min="8737" max="8737" width="12.109375" style="1634" customWidth="1"/>
    <col min="8738" max="8740" width="0" style="1634" hidden="1" customWidth="1"/>
    <col min="8741" max="8741" width="16.33203125" style="1634" customWidth="1"/>
    <col min="8742" max="8743" width="0" style="1634" hidden="1" customWidth="1"/>
    <col min="8744" max="8744" width="7.109375" style="1634" customWidth="1"/>
    <col min="8745" max="8745" width="8.88671875" style="1634" customWidth="1"/>
    <col min="8746" max="8748" width="0" style="1634" hidden="1" customWidth="1"/>
    <col min="8749" max="8749" width="9" style="1634" customWidth="1"/>
    <col min="8750" max="8960" width="8.88671875" style="1634"/>
    <col min="8961" max="8961" width="82.44140625" style="1634" customWidth="1"/>
    <col min="8962" max="8962" width="7.109375" style="1634" customWidth="1"/>
    <col min="8963" max="8963" width="13.33203125" style="1634" customWidth="1"/>
    <col min="8964" max="8964" width="7.109375" style="1634" customWidth="1"/>
    <col min="8965" max="8965" width="5.21875" style="1634" customWidth="1"/>
    <col min="8966" max="8966" width="82.44140625" style="1634" customWidth="1"/>
    <col min="8967" max="8967" width="9" style="1634" customWidth="1"/>
    <col min="8968" max="8968" width="10.109375" style="1634" customWidth="1"/>
    <col min="8969" max="8969" width="48.6640625" style="1634" customWidth="1"/>
    <col min="8970" max="8971" width="15.88671875" style="1634" customWidth="1"/>
    <col min="8972" max="8972" width="18.109375" style="1634" customWidth="1"/>
    <col min="8973" max="8973" width="9" style="1634" customWidth="1"/>
    <col min="8974" max="8974" width="20.33203125" style="1634" customWidth="1"/>
    <col min="8975" max="8975" width="20.109375" style="1634" customWidth="1"/>
    <col min="8976" max="8986" width="0" style="1634" hidden="1" customWidth="1"/>
    <col min="8987" max="8987" width="10.21875" style="1634" customWidth="1"/>
    <col min="8988" max="8989" width="0" style="1634" hidden="1" customWidth="1"/>
    <col min="8990" max="8990" width="31.21875" style="1634" customWidth="1"/>
    <col min="8991" max="8992" width="0" style="1634" hidden="1" customWidth="1"/>
    <col min="8993" max="8993" width="12.109375" style="1634" customWidth="1"/>
    <col min="8994" max="8996" width="0" style="1634" hidden="1" customWidth="1"/>
    <col min="8997" max="8997" width="16.33203125" style="1634" customWidth="1"/>
    <col min="8998" max="8999" width="0" style="1634" hidden="1" customWidth="1"/>
    <col min="9000" max="9000" width="7.109375" style="1634" customWidth="1"/>
    <col min="9001" max="9001" width="8.88671875" style="1634" customWidth="1"/>
    <col min="9002" max="9004" width="0" style="1634" hidden="1" customWidth="1"/>
    <col min="9005" max="9005" width="9" style="1634" customWidth="1"/>
    <col min="9006" max="9216" width="8.88671875" style="1634"/>
    <col min="9217" max="9217" width="82.44140625" style="1634" customWidth="1"/>
    <col min="9218" max="9218" width="7.109375" style="1634" customWidth="1"/>
    <col min="9219" max="9219" width="13.33203125" style="1634" customWidth="1"/>
    <col min="9220" max="9220" width="7.109375" style="1634" customWidth="1"/>
    <col min="9221" max="9221" width="5.21875" style="1634" customWidth="1"/>
    <col min="9222" max="9222" width="82.44140625" style="1634" customWidth="1"/>
    <col min="9223" max="9223" width="9" style="1634" customWidth="1"/>
    <col min="9224" max="9224" width="10.109375" style="1634" customWidth="1"/>
    <col min="9225" max="9225" width="48.6640625" style="1634" customWidth="1"/>
    <col min="9226" max="9227" width="15.88671875" style="1634" customWidth="1"/>
    <col min="9228" max="9228" width="18.109375" style="1634" customWidth="1"/>
    <col min="9229" max="9229" width="9" style="1634" customWidth="1"/>
    <col min="9230" max="9230" width="20.33203125" style="1634" customWidth="1"/>
    <col min="9231" max="9231" width="20.109375" style="1634" customWidth="1"/>
    <col min="9232" max="9242" width="0" style="1634" hidden="1" customWidth="1"/>
    <col min="9243" max="9243" width="10.21875" style="1634" customWidth="1"/>
    <col min="9244" max="9245" width="0" style="1634" hidden="1" customWidth="1"/>
    <col min="9246" max="9246" width="31.21875" style="1634" customWidth="1"/>
    <col min="9247" max="9248" width="0" style="1634" hidden="1" customWidth="1"/>
    <col min="9249" max="9249" width="12.109375" style="1634" customWidth="1"/>
    <col min="9250" max="9252" width="0" style="1634" hidden="1" customWidth="1"/>
    <col min="9253" max="9253" width="16.33203125" style="1634" customWidth="1"/>
    <col min="9254" max="9255" width="0" style="1634" hidden="1" customWidth="1"/>
    <col min="9256" max="9256" width="7.109375" style="1634" customWidth="1"/>
    <col min="9257" max="9257" width="8.88671875" style="1634" customWidth="1"/>
    <col min="9258" max="9260" width="0" style="1634" hidden="1" customWidth="1"/>
    <col min="9261" max="9261" width="9" style="1634" customWidth="1"/>
    <col min="9262" max="9472" width="8.88671875" style="1634"/>
    <col min="9473" max="9473" width="82.44140625" style="1634" customWidth="1"/>
    <col min="9474" max="9474" width="7.109375" style="1634" customWidth="1"/>
    <col min="9475" max="9475" width="13.33203125" style="1634" customWidth="1"/>
    <col min="9476" max="9476" width="7.109375" style="1634" customWidth="1"/>
    <col min="9477" max="9477" width="5.21875" style="1634" customWidth="1"/>
    <col min="9478" max="9478" width="82.44140625" style="1634" customWidth="1"/>
    <col min="9479" max="9479" width="9" style="1634" customWidth="1"/>
    <col min="9480" max="9480" width="10.109375" style="1634" customWidth="1"/>
    <col min="9481" max="9481" width="48.6640625" style="1634" customWidth="1"/>
    <col min="9482" max="9483" width="15.88671875" style="1634" customWidth="1"/>
    <col min="9484" max="9484" width="18.109375" style="1634" customWidth="1"/>
    <col min="9485" max="9485" width="9" style="1634" customWidth="1"/>
    <col min="9486" max="9486" width="20.33203125" style="1634" customWidth="1"/>
    <col min="9487" max="9487" width="20.109375" style="1634" customWidth="1"/>
    <col min="9488" max="9498" width="0" style="1634" hidden="1" customWidth="1"/>
    <col min="9499" max="9499" width="10.21875" style="1634" customWidth="1"/>
    <col min="9500" max="9501" width="0" style="1634" hidden="1" customWidth="1"/>
    <col min="9502" max="9502" width="31.21875" style="1634" customWidth="1"/>
    <col min="9503" max="9504" width="0" style="1634" hidden="1" customWidth="1"/>
    <col min="9505" max="9505" width="12.109375" style="1634" customWidth="1"/>
    <col min="9506" max="9508" width="0" style="1634" hidden="1" customWidth="1"/>
    <col min="9509" max="9509" width="16.33203125" style="1634" customWidth="1"/>
    <col min="9510" max="9511" width="0" style="1634" hidden="1" customWidth="1"/>
    <col min="9512" max="9512" width="7.109375" style="1634" customWidth="1"/>
    <col min="9513" max="9513" width="8.88671875" style="1634" customWidth="1"/>
    <col min="9514" max="9516" width="0" style="1634" hidden="1" customWidth="1"/>
    <col min="9517" max="9517" width="9" style="1634" customWidth="1"/>
    <col min="9518" max="9728" width="8.88671875" style="1634"/>
    <col min="9729" max="9729" width="82.44140625" style="1634" customWidth="1"/>
    <col min="9730" max="9730" width="7.109375" style="1634" customWidth="1"/>
    <col min="9731" max="9731" width="13.33203125" style="1634" customWidth="1"/>
    <col min="9732" max="9732" width="7.109375" style="1634" customWidth="1"/>
    <col min="9733" max="9733" width="5.21875" style="1634" customWidth="1"/>
    <col min="9734" max="9734" width="82.44140625" style="1634" customWidth="1"/>
    <col min="9735" max="9735" width="9" style="1634" customWidth="1"/>
    <col min="9736" max="9736" width="10.109375" style="1634" customWidth="1"/>
    <col min="9737" max="9737" width="48.6640625" style="1634" customWidth="1"/>
    <col min="9738" max="9739" width="15.88671875" style="1634" customWidth="1"/>
    <col min="9740" max="9740" width="18.109375" style="1634" customWidth="1"/>
    <col min="9741" max="9741" width="9" style="1634" customWidth="1"/>
    <col min="9742" max="9742" width="20.33203125" style="1634" customWidth="1"/>
    <col min="9743" max="9743" width="20.109375" style="1634" customWidth="1"/>
    <col min="9744" max="9754" width="0" style="1634" hidden="1" customWidth="1"/>
    <col min="9755" max="9755" width="10.21875" style="1634" customWidth="1"/>
    <col min="9756" max="9757" width="0" style="1634" hidden="1" customWidth="1"/>
    <col min="9758" max="9758" width="31.21875" style="1634" customWidth="1"/>
    <col min="9759" max="9760" width="0" style="1634" hidden="1" customWidth="1"/>
    <col min="9761" max="9761" width="12.109375" style="1634" customWidth="1"/>
    <col min="9762" max="9764" width="0" style="1634" hidden="1" customWidth="1"/>
    <col min="9765" max="9765" width="16.33203125" style="1634" customWidth="1"/>
    <col min="9766" max="9767" width="0" style="1634" hidden="1" customWidth="1"/>
    <col min="9768" max="9768" width="7.109375" style="1634" customWidth="1"/>
    <col min="9769" max="9769" width="8.88671875" style="1634" customWidth="1"/>
    <col min="9770" max="9772" width="0" style="1634" hidden="1" customWidth="1"/>
    <col min="9773" max="9773" width="9" style="1634" customWidth="1"/>
    <col min="9774" max="9984" width="8.88671875" style="1634"/>
    <col min="9985" max="9985" width="82.44140625" style="1634" customWidth="1"/>
    <col min="9986" max="9986" width="7.109375" style="1634" customWidth="1"/>
    <col min="9987" max="9987" width="13.33203125" style="1634" customWidth="1"/>
    <col min="9988" max="9988" width="7.109375" style="1634" customWidth="1"/>
    <col min="9989" max="9989" width="5.21875" style="1634" customWidth="1"/>
    <col min="9990" max="9990" width="82.44140625" style="1634" customWidth="1"/>
    <col min="9991" max="9991" width="9" style="1634" customWidth="1"/>
    <col min="9992" max="9992" width="10.109375" style="1634" customWidth="1"/>
    <col min="9993" max="9993" width="48.6640625" style="1634" customWidth="1"/>
    <col min="9994" max="9995" width="15.88671875" style="1634" customWidth="1"/>
    <col min="9996" max="9996" width="18.109375" style="1634" customWidth="1"/>
    <col min="9997" max="9997" width="9" style="1634" customWidth="1"/>
    <col min="9998" max="9998" width="20.33203125" style="1634" customWidth="1"/>
    <col min="9999" max="9999" width="20.109375" style="1634" customWidth="1"/>
    <col min="10000" max="10010" width="0" style="1634" hidden="1" customWidth="1"/>
    <col min="10011" max="10011" width="10.21875" style="1634" customWidth="1"/>
    <col min="10012" max="10013" width="0" style="1634" hidden="1" customWidth="1"/>
    <col min="10014" max="10014" width="31.21875" style="1634" customWidth="1"/>
    <col min="10015" max="10016" width="0" style="1634" hidden="1" customWidth="1"/>
    <col min="10017" max="10017" width="12.109375" style="1634" customWidth="1"/>
    <col min="10018" max="10020" width="0" style="1634" hidden="1" customWidth="1"/>
    <col min="10021" max="10021" width="16.33203125" style="1634" customWidth="1"/>
    <col min="10022" max="10023" width="0" style="1634" hidden="1" customWidth="1"/>
    <col min="10024" max="10024" width="7.109375" style="1634" customWidth="1"/>
    <col min="10025" max="10025" width="8.88671875" style="1634" customWidth="1"/>
    <col min="10026" max="10028" width="0" style="1634" hidden="1" customWidth="1"/>
    <col min="10029" max="10029" width="9" style="1634" customWidth="1"/>
    <col min="10030" max="10240" width="8.88671875" style="1634"/>
    <col min="10241" max="10241" width="82.44140625" style="1634" customWidth="1"/>
    <col min="10242" max="10242" width="7.109375" style="1634" customWidth="1"/>
    <col min="10243" max="10243" width="13.33203125" style="1634" customWidth="1"/>
    <col min="10244" max="10244" width="7.109375" style="1634" customWidth="1"/>
    <col min="10245" max="10245" width="5.21875" style="1634" customWidth="1"/>
    <col min="10246" max="10246" width="82.44140625" style="1634" customWidth="1"/>
    <col min="10247" max="10247" width="9" style="1634" customWidth="1"/>
    <col min="10248" max="10248" width="10.109375" style="1634" customWidth="1"/>
    <col min="10249" max="10249" width="48.6640625" style="1634" customWidth="1"/>
    <col min="10250" max="10251" width="15.88671875" style="1634" customWidth="1"/>
    <col min="10252" max="10252" width="18.109375" style="1634" customWidth="1"/>
    <col min="10253" max="10253" width="9" style="1634" customWidth="1"/>
    <col min="10254" max="10254" width="20.33203125" style="1634" customWidth="1"/>
    <col min="10255" max="10255" width="20.109375" style="1634" customWidth="1"/>
    <col min="10256" max="10266" width="0" style="1634" hidden="1" customWidth="1"/>
    <col min="10267" max="10267" width="10.21875" style="1634" customWidth="1"/>
    <col min="10268" max="10269" width="0" style="1634" hidden="1" customWidth="1"/>
    <col min="10270" max="10270" width="31.21875" style="1634" customWidth="1"/>
    <col min="10271" max="10272" width="0" style="1634" hidden="1" customWidth="1"/>
    <col min="10273" max="10273" width="12.109375" style="1634" customWidth="1"/>
    <col min="10274" max="10276" width="0" style="1634" hidden="1" customWidth="1"/>
    <col min="10277" max="10277" width="16.33203125" style="1634" customWidth="1"/>
    <col min="10278" max="10279" width="0" style="1634" hidden="1" customWidth="1"/>
    <col min="10280" max="10280" width="7.109375" style="1634" customWidth="1"/>
    <col min="10281" max="10281" width="8.88671875" style="1634" customWidth="1"/>
    <col min="10282" max="10284" width="0" style="1634" hidden="1" customWidth="1"/>
    <col min="10285" max="10285" width="9" style="1634" customWidth="1"/>
    <col min="10286" max="10496" width="8.88671875" style="1634"/>
    <col min="10497" max="10497" width="82.44140625" style="1634" customWidth="1"/>
    <col min="10498" max="10498" width="7.109375" style="1634" customWidth="1"/>
    <col min="10499" max="10499" width="13.33203125" style="1634" customWidth="1"/>
    <col min="10500" max="10500" width="7.109375" style="1634" customWidth="1"/>
    <col min="10501" max="10501" width="5.21875" style="1634" customWidth="1"/>
    <col min="10502" max="10502" width="82.44140625" style="1634" customWidth="1"/>
    <col min="10503" max="10503" width="9" style="1634" customWidth="1"/>
    <col min="10504" max="10504" width="10.109375" style="1634" customWidth="1"/>
    <col min="10505" max="10505" width="48.6640625" style="1634" customWidth="1"/>
    <col min="10506" max="10507" width="15.88671875" style="1634" customWidth="1"/>
    <col min="10508" max="10508" width="18.109375" style="1634" customWidth="1"/>
    <col min="10509" max="10509" width="9" style="1634" customWidth="1"/>
    <col min="10510" max="10510" width="20.33203125" style="1634" customWidth="1"/>
    <col min="10511" max="10511" width="20.109375" style="1634" customWidth="1"/>
    <col min="10512" max="10522" width="0" style="1634" hidden="1" customWidth="1"/>
    <col min="10523" max="10523" width="10.21875" style="1634" customWidth="1"/>
    <col min="10524" max="10525" width="0" style="1634" hidden="1" customWidth="1"/>
    <col min="10526" max="10526" width="31.21875" style="1634" customWidth="1"/>
    <col min="10527" max="10528" width="0" style="1634" hidden="1" customWidth="1"/>
    <col min="10529" max="10529" width="12.109375" style="1634" customWidth="1"/>
    <col min="10530" max="10532" width="0" style="1634" hidden="1" customWidth="1"/>
    <col min="10533" max="10533" width="16.33203125" style="1634" customWidth="1"/>
    <col min="10534" max="10535" width="0" style="1634" hidden="1" customWidth="1"/>
    <col min="10536" max="10536" width="7.109375" style="1634" customWidth="1"/>
    <col min="10537" max="10537" width="8.88671875" style="1634" customWidth="1"/>
    <col min="10538" max="10540" width="0" style="1634" hidden="1" customWidth="1"/>
    <col min="10541" max="10541" width="9" style="1634" customWidth="1"/>
    <col min="10542" max="10752" width="8.88671875" style="1634"/>
    <col min="10753" max="10753" width="82.44140625" style="1634" customWidth="1"/>
    <col min="10754" max="10754" width="7.109375" style="1634" customWidth="1"/>
    <col min="10755" max="10755" width="13.33203125" style="1634" customWidth="1"/>
    <col min="10756" max="10756" width="7.109375" style="1634" customWidth="1"/>
    <col min="10757" max="10757" width="5.21875" style="1634" customWidth="1"/>
    <col min="10758" max="10758" width="82.44140625" style="1634" customWidth="1"/>
    <col min="10759" max="10759" width="9" style="1634" customWidth="1"/>
    <col min="10760" max="10760" width="10.109375" style="1634" customWidth="1"/>
    <col min="10761" max="10761" width="48.6640625" style="1634" customWidth="1"/>
    <col min="10762" max="10763" width="15.88671875" style="1634" customWidth="1"/>
    <col min="10764" max="10764" width="18.109375" style="1634" customWidth="1"/>
    <col min="10765" max="10765" width="9" style="1634" customWidth="1"/>
    <col min="10766" max="10766" width="20.33203125" style="1634" customWidth="1"/>
    <col min="10767" max="10767" width="20.109375" style="1634" customWidth="1"/>
    <col min="10768" max="10778" width="0" style="1634" hidden="1" customWidth="1"/>
    <col min="10779" max="10779" width="10.21875" style="1634" customWidth="1"/>
    <col min="10780" max="10781" width="0" style="1634" hidden="1" customWidth="1"/>
    <col min="10782" max="10782" width="31.21875" style="1634" customWidth="1"/>
    <col min="10783" max="10784" width="0" style="1634" hidden="1" customWidth="1"/>
    <col min="10785" max="10785" width="12.109375" style="1634" customWidth="1"/>
    <col min="10786" max="10788" width="0" style="1634" hidden="1" customWidth="1"/>
    <col min="10789" max="10789" width="16.33203125" style="1634" customWidth="1"/>
    <col min="10790" max="10791" width="0" style="1634" hidden="1" customWidth="1"/>
    <col min="10792" max="10792" width="7.109375" style="1634" customWidth="1"/>
    <col min="10793" max="10793" width="8.88671875" style="1634" customWidth="1"/>
    <col min="10794" max="10796" width="0" style="1634" hidden="1" customWidth="1"/>
    <col min="10797" max="10797" width="9" style="1634" customWidth="1"/>
    <col min="10798" max="11008" width="8.88671875" style="1634"/>
    <col min="11009" max="11009" width="82.44140625" style="1634" customWidth="1"/>
    <col min="11010" max="11010" width="7.109375" style="1634" customWidth="1"/>
    <col min="11011" max="11011" width="13.33203125" style="1634" customWidth="1"/>
    <col min="11012" max="11012" width="7.109375" style="1634" customWidth="1"/>
    <col min="11013" max="11013" width="5.21875" style="1634" customWidth="1"/>
    <col min="11014" max="11014" width="82.44140625" style="1634" customWidth="1"/>
    <col min="11015" max="11015" width="9" style="1634" customWidth="1"/>
    <col min="11016" max="11016" width="10.109375" style="1634" customWidth="1"/>
    <col min="11017" max="11017" width="48.6640625" style="1634" customWidth="1"/>
    <col min="11018" max="11019" width="15.88671875" style="1634" customWidth="1"/>
    <col min="11020" max="11020" width="18.109375" style="1634" customWidth="1"/>
    <col min="11021" max="11021" width="9" style="1634" customWidth="1"/>
    <col min="11022" max="11022" width="20.33203125" style="1634" customWidth="1"/>
    <col min="11023" max="11023" width="20.109375" style="1634" customWidth="1"/>
    <col min="11024" max="11034" width="0" style="1634" hidden="1" customWidth="1"/>
    <col min="11035" max="11035" width="10.21875" style="1634" customWidth="1"/>
    <col min="11036" max="11037" width="0" style="1634" hidden="1" customWidth="1"/>
    <col min="11038" max="11038" width="31.21875" style="1634" customWidth="1"/>
    <col min="11039" max="11040" width="0" style="1634" hidden="1" customWidth="1"/>
    <col min="11041" max="11041" width="12.109375" style="1634" customWidth="1"/>
    <col min="11042" max="11044" width="0" style="1634" hidden="1" customWidth="1"/>
    <col min="11045" max="11045" width="16.33203125" style="1634" customWidth="1"/>
    <col min="11046" max="11047" width="0" style="1634" hidden="1" customWidth="1"/>
    <col min="11048" max="11048" width="7.109375" style="1634" customWidth="1"/>
    <col min="11049" max="11049" width="8.88671875" style="1634" customWidth="1"/>
    <col min="11050" max="11052" width="0" style="1634" hidden="1" customWidth="1"/>
    <col min="11053" max="11053" width="9" style="1634" customWidth="1"/>
    <col min="11054" max="11264" width="8.88671875" style="1634"/>
    <col min="11265" max="11265" width="82.44140625" style="1634" customWidth="1"/>
    <col min="11266" max="11266" width="7.109375" style="1634" customWidth="1"/>
    <col min="11267" max="11267" width="13.33203125" style="1634" customWidth="1"/>
    <col min="11268" max="11268" width="7.109375" style="1634" customWidth="1"/>
    <col min="11269" max="11269" width="5.21875" style="1634" customWidth="1"/>
    <col min="11270" max="11270" width="82.44140625" style="1634" customWidth="1"/>
    <col min="11271" max="11271" width="9" style="1634" customWidth="1"/>
    <col min="11272" max="11272" width="10.109375" style="1634" customWidth="1"/>
    <col min="11273" max="11273" width="48.6640625" style="1634" customWidth="1"/>
    <col min="11274" max="11275" width="15.88671875" style="1634" customWidth="1"/>
    <col min="11276" max="11276" width="18.109375" style="1634" customWidth="1"/>
    <col min="11277" max="11277" width="9" style="1634" customWidth="1"/>
    <col min="11278" max="11278" width="20.33203125" style="1634" customWidth="1"/>
    <col min="11279" max="11279" width="20.109375" style="1634" customWidth="1"/>
    <col min="11280" max="11290" width="0" style="1634" hidden="1" customWidth="1"/>
    <col min="11291" max="11291" width="10.21875" style="1634" customWidth="1"/>
    <col min="11292" max="11293" width="0" style="1634" hidden="1" customWidth="1"/>
    <col min="11294" max="11294" width="31.21875" style="1634" customWidth="1"/>
    <col min="11295" max="11296" width="0" style="1634" hidden="1" customWidth="1"/>
    <col min="11297" max="11297" width="12.109375" style="1634" customWidth="1"/>
    <col min="11298" max="11300" width="0" style="1634" hidden="1" customWidth="1"/>
    <col min="11301" max="11301" width="16.33203125" style="1634" customWidth="1"/>
    <col min="11302" max="11303" width="0" style="1634" hidden="1" customWidth="1"/>
    <col min="11304" max="11304" width="7.109375" style="1634" customWidth="1"/>
    <col min="11305" max="11305" width="8.88671875" style="1634" customWidth="1"/>
    <col min="11306" max="11308" width="0" style="1634" hidden="1" customWidth="1"/>
    <col min="11309" max="11309" width="9" style="1634" customWidth="1"/>
    <col min="11310" max="11520" width="8.88671875" style="1634"/>
    <col min="11521" max="11521" width="82.44140625" style="1634" customWidth="1"/>
    <col min="11522" max="11522" width="7.109375" style="1634" customWidth="1"/>
    <col min="11523" max="11523" width="13.33203125" style="1634" customWidth="1"/>
    <col min="11524" max="11524" width="7.109375" style="1634" customWidth="1"/>
    <col min="11525" max="11525" width="5.21875" style="1634" customWidth="1"/>
    <col min="11526" max="11526" width="82.44140625" style="1634" customWidth="1"/>
    <col min="11527" max="11527" width="9" style="1634" customWidth="1"/>
    <col min="11528" max="11528" width="10.109375" style="1634" customWidth="1"/>
    <col min="11529" max="11529" width="48.6640625" style="1634" customWidth="1"/>
    <col min="11530" max="11531" width="15.88671875" style="1634" customWidth="1"/>
    <col min="11532" max="11532" width="18.109375" style="1634" customWidth="1"/>
    <col min="11533" max="11533" width="9" style="1634" customWidth="1"/>
    <col min="11534" max="11534" width="20.33203125" style="1634" customWidth="1"/>
    <col min="11535" max="11535" width="20.109375" style="1634" customWidth="1"/>
    <col min="11536" max="11546" width="0" style="1634" hidden="1" customWidth="1"/>
    <col min="11547" max="11547" width="10.21875" style="1634" customWidth="1"/>
    <col min="11548" max="11549" width="0" style="1634" hidden="1" customWidth="1"/>
    <col min="11550" max="11550" width="31.21875" style="1634" customWidth="1"/>
    <col min="11551" max="11552" width="0" style="1634" hidden="1" customWidth="1"/>
    <col min="11553" max="11553" width="12.109375" style="1634" customWidth="1"/>
    <col min="11554" max="11556" width="0" style="1634" hidden="1" customWidth="1"/>
    <col min="11557" max="11557" width="16.33203125" style="1634" customWidth="1"/>
    <col min="11558" max="11559" width="0" style="1634" hidden="1" customWidth="1"/>
    <col min="11560" max="11560" width="7.109375" style="1634" customWidth="1"/>
    <col min="11561" max="11561" width="8.88671875" style="1634" customWidth="1"/>
    <col min="11562" max="11564" width="0" style="1634" hidden="1" customWidth="1"/>
    <col min="11565" max="11565" width="9" style="1634" customWidth="1"/>
    <col min="11566" max="11776" width="8.88671875" style="1634"/>
    <col min="11777" max="11777" width="82.44140625" style="1634" customWidth="1"/>
    <col min="11778" max="11778" width="7.109375" style="1634" customWidth="1"/>
    <col min="11779" max="11779" width="13.33203125" style="1634" customWidth="1"/>
    <col min="11780" max="11780" width="7.109375" style="1634" customWidth="1"/>
    <col min="11781" max="11781" width="5.21875" style="1634" customWidth="1"/>
    <col min="11782" max="11782" width="82.44140625" style="1634" customWidth="1"/>
    <col min="11783" max="11783" width="9" style="1634" customWidth="1"/>
    <col min="11784" max="11784" width="10.109375" style="1634" customWidth="1"/>
    <col min="11785" max="11785" width="48.6640625" style="1634" customWidth="1"/>
    <col min="11786" max="11787" width="15.88671875" style="1634" customWidth="1"/>
    <col min="11788" max="11788" width="18.109375" style="1634" customWidth="1"/>
    <col min="11789" max="11789" width="9" style="1634" customWidth="1"/>
    <col min="11790" max="11790" width="20.33203125" style="1634" customWidth="1"/>
    <col min="11791" max="11791" width="20.109375" style="1634" customWidth="1"/>
    <col min="11792" max="11802" width="0" style="1634" hidden="1" customWidth="1"/>
    <col min="11803" max="11803" width="10.21875" style="1634" customWidth="1"/>
    <col min="11804" max="11805" width="0" style="1634" hidden="1" customWidth="1"/>
    <col min="11806" max="11806" width="31.21875" style="1634" customWidth="1"/>
    <col min="11807" max="11808" width="0" style="1634" hidden="1" customWidth="1"/>
    <col min="11809" max="11809" width="12.109375" style="1634" customWidth="1"/>
    <col min="11810" max="11812" width="0" style="1634" hidden="1" customWidth="1"/>
    <col min="11813" max="11813" width="16.33203125" style="1634" customWidth="1"/>
    <col min="11814" max="11815" width="0" style="1634" hidden="1" customWidth="1"/>
    <col min="11816" max="11816" width="7.109375" style="1634" customWidth="1"/>
    <col min="11817" max="11817" width="8.88671875" style="1634" customWidth="1"/>
    <col min="11818" max="11820" width="0" style="1634" hidden="1" customWidth="1"/>
    <col min="11821" max="11821" width="9" style="1634" customWidth="1"/>
    <col min="11822" max="12032" width="8.88671875" style="1634"/>
    <col min="12033" max="12033" width="82.44140625" style="1634" customWidth="1"/>
    <col min="12034" max="12034" width="7.109375" style="1634" customWidth="1"/>
    <col min="12035" max="12035" width="13.33203125" style="1634" customWidth="1"/>
    <col min="12036" max="12036" width="7.109375" style="1634" customWidth="1"/>
    <col min="12037" max="12037" width="5.21875" style="1634" customWidth="1"/>
    <col min="12038" max="12038" width="82.44140625" style="1634" customWidth="1"/>
    <col min="12039" max="12039" width="9" style="1634" customWidth="1"/>
    <col min="12040" max="12040" width="10.109375" style="1634" customWidth="1"/>
    <col min="12041" max="12041" width="48.6640625" style="1634" customWidth="1"/>
    <col min="12042" max="12043" width="15.88671875" style="1634" customWidth="1"/>
    <col min="12044" max="12044" width="18.109375" style="1634" customWidth="1"/>
    <col min="12045" max="12045" width="9" style="1634" customWidth="1"/>
    <col min="12046" max="12046" width="20.33203125" style="1634" customWidth="1"/>
    <col min="12047" max="12047" width="20.109375" style="1634" customWidth="1"/>
    <col min="12048" max="12058" width="0" style="1634" hidden="1" customWidth="1"/>
    <col min="12059" max="12059" width="10.21875" style="1634" customWidth="1"/>
    <col min="12060" max="12061" width="0" style="1634" hidden="1" customWidth="1"/>
    <col min="12062" max="12062" width="31.21875" style="1634" customWidth="1"/>
    <col min="12063" max="12064" width="0" style="1634" hidden="1" customWidth="1"/>
    <col min="12065" max="12065" width="12.109375" style="1634" customWidth="1"/>
    <col min="12066" max="12068" width="0" style="1634" hidden="1" customWidth="1"/>
    <col min="12069" max="12069" width="16.33203125" style="1634" customWidth="1"/>
    <col min="12070" max="12071" width="0" style="1634" hidden="1" customWidth="1"/>
    <col min="12072" max="12072" width="7.109375" style="1634" customWidth="1"/>
    <col min="12073" max="12073" width="8.88671875" style="1634" customWidth="1"/>
    <col min="12074" max="12076" width="0" style="1634" hidden="1" customWidth="1"/>
    <col min="12077" max="12077" width="9" style="1634" customWidth="1"/>
    <col min="12078" max="12288" width="8.88671875" style="1634"/>
    <col min="12289" max="12289" width="82.44140625" style="1634" customWidth="1"/>
    <col min="12290" max="12290" width="7.109375" style="1634" customWidth="1"/>
    <col min="12291" max="12291" width="13.33203125" style="1634" customWidth="1"/>
    <col min="12292" max="12292" width="7.109375" style="1634" customWidth="1"/>
    <col min="12293" max="12293" width="5.21875" style="1634" customWidth="1"/>
    <col min="12294" max="12294" width="82.44140625" style="1634" customWidth="1"/>
    <col min="12295" max="12295" width="9" style="1634" customWidth="1"/>
    <col min="12296" max="12296" width="10.109375" style="1634" customWidth="1"/>
    <col min="12297" max="12297" width="48.6640625" style="1634" customWidth="1"/>
    <col min="12298" max="12299" width="15.88671875" style="1634" customWidth="1"/>
    <col min="12300" max="12300" width="18.109375" style="1634" customWidth="1"/>
    <col min="12301" max="12301" width="9" style="1634" customWidth="1"/>
    <col min="12302" max="12302" width="20.33203125" style="1634" customWidth="1"/>
    <col min="12303" max="12303" width="20.109375" style="1634" customWidth="1"/>
    <col min="12304" max="12314" width="0" style="1634" hidden="1" customWidth="1"/>
    <col min="12315" max="12315" width="10.21875" style="1634" customWidth="1"/>
    <col min="12316" max="12317" width="0" style="1634" hidden="1" customWidth="1"/>
    <col min="12318" max="12318" width="31.21875" style="1634" customWidth="1"/>
    <col min="12319" max="12320" width="0" style="1634" hidden="1" customWidth="1"/>
    <col min="12321" max="12321" width="12.109375" style="1634" customWidth="1"/>
    <col min="12322" max="12324" width="0" style="1634" hidden="1" customWidth="1"/>
    <col min="12325" max="12325" width="16.33203125" style="1634" customWidth="1"/>
    <col min="12326" max="12327" width="0" style="1634" hidden="1" customWidth="1"/>
    <col min="12328" max="12328" width="7.109375" style="1634" customWidth="1"/>
    <col min="12329" max="12329" width="8.88671875" style="1634" customWidth="1"/>
    <col min="12330" max="12332" width="0" style="1634" hidden="1" customWidth="1"/>
    <col min="12333" max="12333" width="9" style="1634" customWidth="1"/>
    <col min="12334" max="12544" width="8.88671875" style="1634"/>
    <col min="12545" max="12545" width="82.44140625" style="1634" customWidth="1"/>
    <col min="12546" max="12546" width="7.109375" style="1634" customWidth="1"/>
    <col min="12547" max="12547" width="13.33203125" style="1634" customWidth="1"/>
    <col min="12548" max="12548" width="7.109375" style="1634" customWidth="1"/>
    <col min="12549" max="12549" width="5.21875" style="1634" customWidth="1"/>
    <col min="12550" max="12550" width="82.44140625" style="1634" customWidth="1"/>
    <col min="12551" max="12551" width="9" style="1634" customWidth="1"/>
    <col min="12552" max="12552" width="10.109375" style="1634" customWidth="1"/>
    <col min="12553" max="12553" width="48.6640625" style="1634" customWidth="1"/>
    <col min="12554" max="12555" width="15.88671875" style="1634" customWidth="1"/>
    <col min="12556" max="12556" width="18.109375" style="1634" customWidth="1"/>
    <col min="12557" max="12557" width="9" style="1634" customWidth="1"/>
    <col min="12558" max="12558" width="20.33203125" style="1634" customWidth="1"/>
    <col min="12559" max="12559" width="20.109375" style="1634" customWidth="1"/>
    <col min="12560" max="12570" width="0" style="1634" hidden="1" customWidth="1"/>
    <col min="12571" max="12571" width="10.21875" style="1634" customWidth="1"/>
    <col min="12572" max="12573" width="0" style="1634" hidden="1" customWidth="1"/>
    <col min="12574" max="12574" width="31.21875" style="1634" customWidth="1"/>
    <col min="12575" max="12576" width="0" style="1634" hidden="1" customWidth="1"/>
    <col min="12577" max="12577" width="12.109375" style="1634" customWidth="1"/>
    <col min="12578" max="12580" width="0" style="1634" hidden="1" customWidth="1"/>
    <col min="12581" max="12581" width="16.33203125" style="1634" customWidth="1"/>
    <col min="12582" max="12583" width="0" style="1634" hidden="1" customWidth="1"/>
    <col min="12584" max="12584" width="7.109375" style="1634" customWidth="1"/>
    <col min="12585" max="12585" width="8.88671875" style="1634" customWidth="1"/>
    <col min="12586" max="12588" width="0" style="1634" hidden="1" customWidth="1"/>
    <col min="12589" max="12589" width="9" style="1634" customWidth="1"/>
    <col min="12590" max="12800" width="8.88671875" style="1634"/>
    <col min="12801" max="12801" width="82.44140625" style="1634" customWidth="1"/>
    <col min="12802" max="12802" width="7.109375" style="1634" customWidth="1"/>
    <col min="12803" max="12803" width="13.33203125" style="1634" customWidth="1"/>
    <col min="12804" max="12804" width="7.109375" style="1634" customWidth="1"/>
    <col min="12805" max="12805" width="5.21875" style="1634" customWidth="1"/>
    <col min="12806" max="12806" width="82.44140625" style="1634" customWidth="1"/>
    <col min="12807" max="12807" width="9" style="1634" customWidth="1"/>
    <col min="12808" max="12808" width="10.109375" style="1634" customWidth="1"/>
    <col min="12809" max="12809" width="48.6640625" style="1634" customWidth="1"/>
    <col min="12810" max="12811" width="15.88671875" style="1634" customWidth="1"/>
    <col min="12812" max="12812" width="18.109375" style="1634" customWidth="1"/>
    <col min="12813" max="12813" width="9" style="1634" customWidth="1"/>
    <col min="12814" max="12814" width="20.33203125" style="1634" customWidth="1"/>
    <col min="12815" max="12815" width="20.109375" style="1634" customWidth="1"/>
    <col min="12816" max="12826" width="0" style="1634" hidden="1" customWidth="1"/>
    <col min="12827" max="12827" width="10.21875" style="1634" customWidth="1"/>
    <col min="12828" max="12829" width="0" style="1634" hidden="1" customWidth="1"/>
    <col min="12830" max="12830" width="31.21875" style="1634" customWidth="1"/>
    <col min="12831" max="12832" width="0" style="1634" hidden="1" customWidth="1"/>
    <col min="12833" max="12833" width="12.109375" style="1634" customWidth="1"/>
    <col min="12834" max="12836" width="0" style="1634" hidden="1" customWidth="1"/>
    <col min="12837" max="12837" width="16.33203125" style="1634" customWidth="1"/>
    <col min="12838" max="12839" width="0" style="1634" hidden="1" customWidth="1"/>
    <col min="12840" max="12840" width="7.109375" style="1634" customWidth="1"/>
    <col min="12841" max="12841" width="8.88671875" style="1634" customWidth="1"/>
    <col min="12842" max="12844" width="0" style="1634" hidden="1" customWidth="1"/>
    <col min="12845" max="12845" width="9" style="1634" customWidth="1"/>
    <col min="12846" max="13056" width="8.88671875" style="1634"/>
    <col min="13057" max="13057" width="82.44140625" style="1634" customWidth="1"/>
    <col min="13058" max="13058" width="7.109375" style="1634" customWidth="1"/>
    <col min="13059" max="13059" width="13.33203125" style="1634" customWidth="1"/>
    <col min="13060" max="13060" width="7.109375" style="1634" customWidth="1"/>
    <col min="13061" max="13061" width="5.21875" style="1634" customWidth="1"/>
    <col min="13062" max="13062" width="82.44140625" style="1634" customWidth="1"/>
    <col min="13063" max="13063" width="9" style="1634" customWidth="1"/>
    <col min="13064" max="13064" width="10.109375" style="1634" customWidth="1"/>
    <col min="13065" max="13065" width="48.6640625" style="1634" customWidth="1"/>
    <col min="13066" max="13067" width="15.88671875" style="1634" customWidth="1"/>
    <col min="13068" max="13068" width="18.109375" style="1634" customWidth="1"/>
    <col min="13069" max="13069" width="9" style="1634" customWidth="1"/>
    <col min="13070" max="13070" width="20.33203125" style="1634" customWidth="1"/>
    <col min="13071" max="13071" width="20.109375" style="1634" customWidth="1"/>
    <col min="13072" max="13082" width="0" style="1634" hidden="1" customWidth="1"/>
    <col min="13083" max="13083" width="10.21875" style="1634" customWidth="1"/>
    <col min="13084" max="13085" width="0" style="1634" hidden="1" customWidth="1"/>
    <col min="13086" max="13086" width="31.21875" style="1634" customWidth="1"/>
    <col min="13087" max="13088" width="0" style="1634" hidden="1" customWidth="1"/>
    <col min="13089" max="13089" width="12.109375" style="1634" customWidth="1"/>
    <col min="13090" max="13092" width="0" style="1634" hidden="1" customWidth="1"/>
    <col min="13093" max="13093" width="16.33203125" style="1634" customWidth="1"/>
    <col min="13094" max="13095" width="0" style="1634" hidden="1" customWidth="1"/>
    <col min="13096" max="13096" width="7.109375" style="1634" customWidth="1"/>
    <col min="13097" max="13097" width="8.88671875" style="1634" customWidth="1"/>
    <col min="13098" max="13100" width="0" style="1634" hidden="1" customWidth="1"/>
    <col min="13101" max="13101" width="9" style="1634" customWidth="1"/>
    <col min="13102" max="13312" width="8.88671875" style="1634"/>
    <col min="13313" max="13313" width="82.44140625" style="1634" customWidth="1"/>
    <col min="13314" max="13314" width="7.109375" style="1634" customWidth="1"/>
    <col min="13315" max="13315" width="13.33203125" style="1634" customWidth="1"/>
    <col min="13316" max="13316" width="7.109375" style="1634" customWidth="1"/>
    <col min="13317" max="13317" width="5.21875" style="1634" customWidth="1"/>
    <col min="13318" max="13318" width="82.44140625" style="1634" customWidth="1"/>
    <col min="13319" max="13319" width="9" style="1634" customWidth="1"/>
    <col min="13320" max="13320" width="10.109375" style="1634" customWidth="1"/>
    <col min="13321" max="13321" width="48.6640625" style="1634" customWidth="1"/>
    <col min="13322" max="13323" width="15.88671875" style="1634" customWidth="1"/>
    <col min="13324" max="13324" width="18.109375" style="1634" customWidth="1"/>
    <col min="13325" max="13325" width="9" style="1634" customWidth="1"/>
    <col min="13326" max="13326" width="20.33203125" style="1634" customWidth="1"/>
    <col min="13327" max="13327" width="20.109375" style="1634" customWidth="1"/>
    <col min="13328" max="13338" width="0" style="1634" hidden="1" customWidth="1"/>
    <col min="13339" max="13339" width="10.21875" style="1634" customWidth="1"/>
    <col min="13340" max="13341" width="0" style="1634" hidden="1" customWidth="1"/>
    <col min="13342" max="13342" width="31.21875" style="1634" customWidth="1"/>
    <col min="13343" max="13344" width="0" style="1634" hidden="1" customWidth="1"/>
    <col min="13345" max="13345" width="12.109375" style="1634" customWidth="1"/>
    <col min="13346" max="13348" width="0" style="1634" hidden="1" customWidth="1"/>
    <col min="13349" max="13349" width="16.33203125" style="1634" customWidth="1"/>
    <col min="13350" max="13351" width="0" style="1634" hidden="1" customWidth="1"/>
    <col min="13352" max="13352" width="7.109375" style="1634" customWidth="1"/>
    <col min="13353" max="13353" width="8.88671875" style="1634" customWidth="1"/>
    <col min="13354" max="13356" width="0" style="1634" hidden="1" customWidth="1"/>
    <col min="13357" max="13357" width="9" style="1634" customWidth="1"/>
    <col min="13358" max="13568" width="8.88671875" style="1634"/>
    <col min="13569" max="13569" width="82.44140625" style="1634" customWidth="1"/>
    <col min="13570" max="13570" width="7.109375" style="1634" customWidth="1"/>
    <col min="13571" max="13571" width="13.33203125" style="1634" customWidth="1"/>
    <col min="13572" max="13572" width="7.109375" style="1634" customWidth="1"/>
    <col min="13573" max="13573" width="5.21875" style="1634" customWidth="1"/>
    <col min="13574" max="13574" width="82.44140625" style="1634" customWidth="1"/>
    <col min="13575" max="13575" width="9" style="1634" customWidth="1"/>
    <col min="13576" max="13576" width="10.109375" style="1634" customWidth="1"/>
    <col min="13577" max="13577" width="48.6640625" style="1634" customWidth="1"/>
    <col min="13578" max="13579" width="15.88671875" style="1634" customWidth="1"/>
    <col min="13580" max="13580" width="18.109375" style="1634" customWidth="1"/>
    <col min="13581" max="13581" width="9" style="1634" customWidth="1"/>
    <col min="13582" max="13582" width="20.33203125" style="1634" customWidth="1"/>
    <col min="13583" max="13583" width="20.109375" style="1634" customWidth="1"/>
    <col min="13584" max="13594" width="0" style="1634" hidden="1" customWidth="1"/>
    <col min="13595" max="13595" width="10.21875" style="1634" customWidth="1"/>
    <col min="13596" max="13597" width="0" style="1634" hidden="1" customWidth="1"/>
    <col min="13598" max="13598" width="31.21875" style="1634" customWidth="1"/>
    <col min="13599" max="13600" width="0" style="1634" hidden="1" customWidth="1"/>
    <col min="13601" max="13601" width="12.109375" style="1634" customWidth="1"/>
    <col min="13602" max="13604" width="0" style="1634" hidden="1" customWidth="1"/>
    <col min="13605" max="13605" width="16.33203125" style="1634" customWidth="1"/>
    <col min="13606" max="13607" width="0" style="1634" hidden="1" customWidth="1"/>
    <col min="13608" max="13608" width="7.109375" style="1634" customWidth="1"/>
    <col min="13609" max="13609" width="8.88671875" style="1634" customWidth="1"/>
    <col min="13610" max="13612" width="0" style="1634" hidden="1" customWidth="1"/>
    <col min="13613" max="13613" width="9" style="1634" customWidth="1"/>
    <col min="13614" max="13824" width="8.88671875" style="1634"/>
    <col min="13825" max="13825" width="82.44140625" style="1634" customWidth="1"/>
    <col min="13826" max="13826" width="7.109375" style="1634" customWidth="1"/>
    <col min="13827" max="13827" width="13.33203125" style="1634" customWidth="1"/>
    <col min="13828" max="13828" width="7.109375" style="1634" customWidth="1"/>
    <col min="13829" max="13829" width="5.21875" style="1634" customWidth="1"/>
    <col min="13830" max="13830" width="82.44140625" style="1634" customWidth="1"/>
    <col min="13831" max="13831" width="9" style="1634" customWidth="1"/>
    <col min="13832" max="13832" width="10.109375" style="1634" customWidth="1"/>
    <col min="13833" max="13833" width="48.6640625" style="1634" customWidth="1"/>
    <col min="13834" max="13835" width="15.88671875" style="1634" customWidth="1"/>
    <col min="13836" max="13836" width="18.109375" style="1634" customWidth="1"/>
    <col min="13837" max="13837" width="9" style="1634" customWidth="1"/>
    <col min="13838" max="13838" width="20.33203125" style="1634" customWidth="1"/>
    <col min="13839" max="13839" width="20.109375" style="1634" customWidth="1"/>
    <col min="13840" max="13850" width="0" style="1634" hidden="1" customWidth="1"/>
    <col min="13851" max="13851" width="10.21875" style="1634" customWidth="1"/>
    <col min="13852" max="13853" width="0" style="1634" hidden="1" customWidth="1"/>
    <col min="13854" max="13854" width="31.21875" style="1634" customWidth="1"/>
    <col min="13855" max="13856" width="0" style="1634" hidden="1" customWidth="1"/>
    <col min="13857" max="13857" width="12.109375" style="1634" customWidth="1"/>
    <col min="13858" max="13860" width="0" style="1634" hidden="1" customWidth="1"/>
    <col min="13861" max="13861" width="16.33203125" style="1634" customWidth="1"/>
    <col min="13862" max="13863" width="0" style="1634" hidden="1" customWidth="1"/>
    <col min="13864" max="13864" width="7.109375" style="1634" customWidth="1"/>
    <col min="13865" max="13865" width="8.88671875" style="1634" customWidth="1"/>
    <col min="13866" max="13868" width="0" style="1634" hidden="1" customWidth="1"/>
    <col min="13869" max="13869" width="9" style="1634" customWidth="1"/>
    <col min="13870" max="14080" width="8.88671875" style="1634"/>
    <col min="14081" max="14081" width="82.44140625" style="1634" customWidth="1"/>
    <col min="14082" max="14082" width="7.109375" style="1634" customWidth="1"/>
    <col min="14083" max="14083" width="13.33203125" style="1634" customWidth="1"/>
    <col min="14084" max="14084" width="7.109375" style="1634" customWidth="1"/>
    <col min="14085" max="14085" width="5.21875" style="1634" customWidth="1"/>
    <col min="14086" max="14086" width="82.44140625" style="1634" customWidth="1"/>
    <col min="14087" max="14087" width="9" style="1634" customWidth="1"/>
    <col min="14088" max="14088" width="10.109375" style="1634" customWidth="1"/>
    <col min="14089" max="14089" width="48.6640625" style="1634" customWidth="1"/>
    <col min="14090" max="14091" width="15.88671875" style="1634" customWidth="1"/>
    <col min="14092" max="14092" width="18.109375" style="1634" customWidth="1"/>
    <col min="14093" max="14093" width="9" style="1634" customWidth="1"/>
    <col min="14094" max="14094" width="20.33203125" style="1634" customWidth="1"/>
    <col min="14095" max="14095" width="20.109375" style="1634" customWidth="1"/>
    <col min="14096" max="14106" width="0" style="1634" hidden="1" customWidth="1"/>
    <col min="14107" max="14107" width="10.21875" style="1634" customWidth="1"/>
    <col min="14108" max="14109" width="0" style="1634" hidden="1" customWidth="1"/>
    <col min="14110" max="14110" width="31.21875" style="1634" customWidth="1"/>
    <col min="14111" max="14112" width="0" style="1634" hidden="1" customWidth="1"/>
    <col min="14113" max="14113" width="12.109375" style="1634" customWidth="1"/>
    <col min="14114" max="14116" width="0" style="1634" hidden="1" customWidth="1"/>
    <col min="14117" max="14117" width="16.33203125" style="1634" customWidth="1"/>
    <col min="14118" max="14119" width="0" style="1634" hidden="1" customWidth="1"/>
    <col min="14120" max="14120" width="7.109375" style="1634" customWidth="1"/>
    <col min="14121" max="14121" width="8.88671875" style="1634" customWidth="1"/>
    <col min="14122" max="14124" width="0" style="1634" hidden="1" customWidth="1"/>
    <col min="14125" max="14125" width="9" style="1634" customWidth="1"/>
    <col min="14126" max="14336" width="8.88671875" style="1634"/>
    <col min="14337" max="14337" width="82.44140625" style="1634" customWidth="1"/>
    <col min="14338" max="14338" width="7.109375" style="1634" customWidth="1"/>
    <col min="14339" max="14339" width="13.33203125" style="1634" customWidth="1"/>
    <col min="14340" max="14340" width="7.109375" style="1634" customWidth="1"/>
    <col min="14341" max="14341" width="5.21875" style="1634" customWidth="1"/>
    <col min="14342" max="14342" width="82.44140625" style="1634" customWidth="1"/>
    <col min="14343" max="14343" width="9" style="1634" customWidth="1"/>
    <col min="14344" max="14344" width="10.109375" style="1634" customWidth="1"/>
    <col min="14345" max="14345" width="48.6640625" style="1634" customWidth="1"/>
    <col min="14346" max="14347" width="15.88671875" style="1634" customWidth="1"/>
    <col min="14348" max="14348" width="18.109375" style="1634" customWidth="1"/>
    <col min="14349" max="14349" width="9" style="1634" customWidth="1"/>
    <col min="14350" max="14350" width="20.33203125" style="1634" customWidth="1"/>
    <col min="14351" max="14351" width="20.109375" style="1634" customWidth="1"/>
    <col min="14352" max="14362" width="0" style="1634" hidden="1" customWidth="1"/>
    <col min="14363" max="14363" width="10.21875" style="1634" customWidth="1"/>
    <col min="14364" max="14365" width="0" style="1634" hidden="1" customWidth="1"/>
    <col min="14366" max="14366" width="31.21875" style="1634" customWidth="1"/>
    <col min="14367" max="14368" width="0" style="1634" hidden="1" customWidth="1"/>
    <col min="14369" max="14369" width="12.109375" style="1634" customWidth="1"/>
    <col min="14370" max="14372" width="0" style="1634" hidden="1" customWidth="1"/>
    <col min="14373" max="14373" width="16.33203125" style="1634" customWidth="1"/>
    <col min="14374" max="14375" width="0" style="1634" hidden="1" customWidth="1"/>
    <col min="14376" max="14376" width="7.109375" style="1634" customWidth="1"/>
    <col min="14377" max="14377" width="8.88671875" style="1634" customWidth="1"/>
    <col min="14378" max="14380" width="0" style="1634" hidden="1" customWidth="1"/>
    <col min="14381" max="14381" width="9" style="1634" customWidth="1"/>
    <col min="14382" max="14592" width="8.88671875" style="1634"/>
    <col min="14593" max="14593" width="82.44140625" style="1634" customWidth="1"/>
    <col min="14594" max="14594" width="7.109375" style="1634" customWidth="1"/>
    <col min="14595" max="14595" width="13.33203125" style="1634" customWidth="1"/>
    <col min="14596" max="14596" width="7.109375" style="1634" customWidth="1"/>
    <col min="14597" max="14597" width="5.21875" style="1634" customWidth="1"/>
    <col min="14598" max="14598" width="82.44140625" style="1634" customWidth="1"/>
    <col min="14599" max="14599" width="9" style="1634" customWidth="1"/>
    <col min="14600" max="14600" width="10.109375" style="1634" customWidth="1"/>
    <col min="14601" max="14601" width="48.6640625" style="1634" customWidth="1"/>
    <col min="14602" max="14603" width="15.88671875" style="1634" customWidth="1"/>
    <col min="14604" max="14604" width="18.109375" style="1634" customWidth="1"/>
    <col min="14605" max="14605" width="9" style="1634" customWidth="1"/>
    <col min="14606" max="14606" width="20.33203125" style="1634" customWidth="1"/>
    <col min="14607" max="14607" width="20.109375" style="1634" customWidth="1"/>
    <col min="14608" max="14618" width="0" style="1634" hidden="1" customWidth="1"/>
    <col min="14619" max="14619" width="10.21875" style="1634" customWidth="1"/>
    <col min="14620" max="14621" width="0" style="1634" hidden="1" customWidth="1"/>
    <col min="14622" max="14622" width="31.21875" style="1634" customWidth="1"/>
    <col min="14623" max="14624" width="0" style="1634" hidden="1" customWidth="1"/>
    <col min="14625" max="14625" width="12.109375" style="1634" customWidth="1"/>
    <col min="14626" max="14628" width="0" style="1634" hidden="1" customWidth="1"/>
    <col min="14629" max="14629" width="16.33203125" style="1634" customWidth="1"/>
    <col min="14630" max="14631" width="0" style="1634" hidden="1" customWidth="1"/>
    <col min="14632" max="14632" width="7.109375" style="1634" customWidth="1"/>
    <col min="14633" max="14633" width="8.88671875" style="1634" customWidth="1"/>
    <col min="14634" max="14636" width="0" style="1634" hidden="1" customWidth="1"/>
    <col min="14637" max="14637" width="9" style="1634" customWidth="1"/>
    <col min="14638" max="14848" width="8.88671875" style="1634"/>
    <col min="14849" max="14849" width="82.44140625" style="1634" customWidth="1"/>
    <col min="14850" max="14850" width="7.109375" style="1634" customWidth="1"/>
    <col min="14851" max="14851" width="13.33203125" style="1634" customWidth="1"/>
    <col min="14852" max="14852" width="7.109375" style="1634" customWidth="1"/>
    <col min="14853" max="14853" width="5.21875" style="1634" customWidth="1"/>
    <col min="14854" max="14854" width="82.44140625" style="1634" customWidth="1"/>
    <col min="14855" max="14855" width="9" style="1634" customWidth="1"/>
    <col min="14856" max="14856" width="10.109375" style="1634" customWidth="1"/>
    <col min="14857" max="14857" width="48.6640625" style="1634" customWidth="1"/>
    <col min="14858" max="14859" width="15.88671875" style="1634" customWidth="1"/>
    <col min="14860" max="14860" width="18.109375" style="1634" customWidth="1"/>
    <col min="14861" max="14861" width="9" style="1634" customWidth="1"/>
    <col min="14862" max="14862" width="20.33203125" style="1634" customWidth="1"/>
    <col min="14863" max="14863" width="20.109375" style="1634" customWidth="1"/>
    <col min="14864" max="14874" width="0" style="1634" hidden="1" customWidth="1"/>
    <col min="14875" max="14875" width="10.21875" style="1634" customWidth="1"/>
    <col min="14876" max="14877" width="0" style="1634" hidden="1" customWidth="1"/>
    <col min="14878" max="14878" width="31.21875" style="1634" customWidth="1"/>
    <col min="14879" max="14880" width="0" style="1634" hidden="1" customWidth="1"/>
    <col min="14881" max="14881" width="12.109375" style="1634" customWidth="1"/>
    <col min="14882" max="14884" width="0" style="1634" hidden="1" customWidth="1"/>
    <col min="14885" max="14885" width="16.33203125" style="1634" customWidth="1"/>
    <col min="14886" max="14887" width="0" style="1634" hidden="1" customWidth="1"/>
    <col min="14888" max="14888" width="7.109375" style="1634" customWidth="1"/>
    <col min="14889" max="14889" width="8.88671875" style="1634" customWidth="1"/>
    <col min="14890" max="14892" width="0" style="1634" hidden="1" customWidth="1"/>
    <col min="14893" max="14893" width="9" style="1634" customWidth="1"/>
    <col min="14894" max="15104" width="8.88671875" style="1634"/>
    <col min="15105" max="15105" width="82.44140625" style="1634" customWidth="1"/>
    <col min="15106" max="15106" width="7.109375" style="1634" customWidth="1"/>
    <col min="15107" max="15107" width="13.33203125" style="1634" customWidth="1"/>
    <col min="15108" max="15108" width="7.109375" style="1634" customWidth="1"/>
    <col min="15109" max="15109" width="5.21875" style="1634" customWidth="1"/>
    <col min="15110" max="15110" width="82.44140625" style="1634" customWidth="1"/>
    <col min="15111" max="15111" width="9" style="1634" customWidth="1"/>
    <col min="15112" max="15112" width="10.109375" style="1634" customWidth="1"/>
    <col min="15113" max="15113" width="48.6640625" style="1634" customWidth="1"/>
    <col min="15114" max="15115" width="15.88671875" style="1634" customWidth="1"/>
    <col min="15116" max="15116" width="18.109375" style="1634" customWidth="1"/>
    <col min="15117" max="15117" width="9" style="1634" customWidth="1"/>
    <col min="15118" max="15118" width="20.33203125" style="1634" customWidth="1"/>
    <col min="15119" max="15119" width="20.109375" style="1634" customWidth="1"/>
    <col min="15120" max="15130" width="0" style="1634" hidden="1" customWidth="1"/>
    <col min="15131" max="15131" width="10.21875" style="1634" customWidth="1"/>
    <col min="15132" max="15133" width="0" style="1634" hidden="1" customWidth="1"/>
    <col min="15134" max="15134" width="31.21875" style="1634" customWidth="1"/>
    <col min="15135" max="15136" width="0" style="1634" hidden="1" customWidth="1"/>
    <col min="15137" max="15137" width="12.109375" style="1634" customWidth="1"/>
    <col min="15138" max="15140" width="0" style="1634" hidden="1" customWidth="1"/>
    <col min="15141" max="15141" width="16.33203125" style="1634" customWidth="1"/>
    <col min="15142" max="15143" width="0" style="1634" hidden="1" customWidth="1"/>
    <col min="15144" max="15144" width="7.109375" style="1634" customWidth="1"/>
    <col min="15145" max="15145" width="8.88671875" style="1634" customWidth="1"/>
    <col min="15146" max="15148" width="0" style="1634" hidden="1" customWidth="1"/>
    <col min="15149" max="15149" width="9" style="1634" customWidth="1"/>
    <col min="15150" max="15360" width="8.88671875" style="1634"/>
    <col min="15361" max="15361" width="82.44140625" style="1634" customWidth="1"/>
    <col min="15362" max="15362" width="7.109375" style="1634" customWidth="1"/>
    <col min="15363" max="15363" width="13.33203125" style="1634" customWidth="1"/>
    <col min="15364" max="15364" width="7.109375" style="1634" customWidth="1"/>
    <col min="15365" max="15365" width="5.21875" style="1634" customWidth="1"/>
    <col min="15366" max="15366" width="82.44140625" style="1634" customWidth="1"/>
    <col min="15367" max="15367" width="9" style="1634" customWidth="1"/>
    <col min="15368" max="15368" width="10.109375" style="1634" customWidth="1"/>
    <col min="15369" max="15369" width="48.6640625" style="1634" customWidth="1"/>
    <col min="15370" max="15371" width="15.88671875" style="1634" customWidth="1"/>
    <col min="15372" max="15372" width="18.109375" style="1634" customWidth="1"/>
    <col min="15373" max="15373" width="9" style="1634" customWidth="1"/>
    <col min="15374" max="15374" width="20.33203125" style="1634" customWidth="1"/>
    <col min="15375" max="15375" width="20.109375" style="1634" customWidth="1"/>
    <col min="15376" max="15386" width="0" style="1634" hidden="1" customWidth="1"/>
    <col min="15387" max="15387" width="10.21875" style="1634" customWidth="1"/>
    <col min="15388" max="15389" width="0" style="1634" hidden="1" customWidth="1"/>
    <col min="15390" max="15390" width="31.21875" style="1634" customWidth="1"/>
    <col min="15391" max="15392" width="0" style="1634" hidden="1" customWidth="1"/>
    <col min="15393" max="15393" width="12.109375" style="1634" customWidth="1"/>
    <col min="15394" max="15396" width="0" style="1634" hidden="1" customWidth="1"/>
    <col min="15397" max="15397" width="16.33203125" style="1634" customWidth="1"/>
    <col min="15398" max="15399" width="0" style="1634" hidden="1" customWidth="1"/>
    <col min="15400" max="15400" width="7.109375" style="1634" customWidth="1"/>
    <col min="15401" max="15401" width="8.88671875" style="1634" customWidth="1"/>
    <col min="15402" max="15404" width="0" style="1634" hidden="1" customWidth="1"/>
    <col min="15405" max="15405" width="9" style="1634" customWidth="1"/>
    <col min="15406" max="15616" width="8.88671875" style="1634"/>
    <col min="15617" max="15617" width="82.44140625" style="1634" customWidth="1"/>
    <col min="15618" max="15618" width="7.109375" style="1634" customWidth="1"/>
    <col min="15619" max="15619" width="13.33203125" style="1634" customWidth="1"/>
    <col min="15620" max="15620" width="7.109375" style="1634" customWidth="1"/>
    <col min="15621" max="15621" width="5.21875" style="1634" customWidth="1"/>
    <col min="15622" max="15622" width="82.44140625" style="1634" customWidth="1"/>
    <col min="15623" max="15623" width="9" style="1634" customWidth="1"/>
    <col min="15624" max="15624" width="10.109375" style="1634" customWidth="1"/>
    <col min="15625" max="15625" width="48.6640625" style="1634" customWidth="1"/>
    <col min="15626" max="15627" width="15.88671875" style="1634" customWidth="1"/>
    <col min="15628" max="15628" width="18.109375" style="1634" customWidth="1"/>
    <col min="15629" max="15629" width="9" style="1634" customWidth="1"/>
    <col min="15630" max="15630" width="20.33203125" style="1634" customWidth="1"/>
    <col min="15631" max="15631" width="20.109375" style="1634" customWidth="1"/>
    <col min="15632" max="15642" width="0" style="1634" hidden="1" customWidth="1"/>
    <col min="15643" max="15643" width="10.21875" style="1634" customWidth="1"/>
    <col min="15644" max="15645" width="0" style="1634" hidden="1" customWidth="1"/>
    <col min="15646" max="15646" width="31.21875" style="1634" customWidth="1"/>
    <col min="15647" max="15648" width="0" style="1634" hidden="1" customWidth="1"/>
    <col min="15649" max="15649" width="12.109375" style="1634" customWidth="1"/>
    <col min="15650" max="15652" width="0" style="1634" hidden="1" customWidth="1"/>
    <col min="15653" max="15653" width="16.33203125" style="1634" customWidth="1"/>
    <col min="15654" max="15655" width="0" style="1634" hidden="1" customWidth="1"/>
    <col min="15656" max="15656" width="7.109375" style="1634" customWidth="1"/>
    <col min="15657" max="15657" width="8.88671875" style="1634" customWidth="1"/>
    <col min="15658" max="15660" width="0" style="1634" hidden="1" customWidth="1"/>
    <col min="15661" max="15661" width="9" style="1634" customWidth="1"/>
    <col min="15662" max="15872" width="8.88671875" style="1634"/>
    <col min="15873" max="15873" width="82.44140625" style="1634" customWidth="1"/>
    <col min="15874" max="15874" width="7.109375" style="1634" customWidth="1"/>
    <col min="15875" max="15875" width="13.33203125" style="1634" customWidth="1"/>
    <col min="15876" max="15876" width="7.109375" style="1634" customWidth="1"/>
    <col min="15877" max="15877" width="5.21875" style="1634" customWidth="1"/>
    <col min="15878" max="15878" width="82.44140625" style="1634" customWidth="1"/>
    <col min="15879" max="15879" width="9" style="1634" customWidth="1"/>
    <col min="15880" max="15880" width="10.109375" style="1634" customWidth="1"/>
    <col min="15881" max="15881" width="48.6640625" style="1634" customWidth="1"/>
    <col min="15882" max="15883" width="15.88671875" style="1634" customWidth="1"/>
    <col min="15884" max="15884" width="18.109375" style="1634" customWidth="1"/>
    <col min="15885" max="15885" width="9" style="1634" customWidth="1"/>
    <col min="15886" max="15886" width="20.33203125" style="1634" customWidth="1"/>
    <col min="15887" max="15887" width="20.109375" style="1634" customWidth="1"/>
    <col min="15888" max="15898" width="0" style="1634" hidden="1" customWidth="1"/>
    <col min="15899" max="15899" width="10.21875" style="1634" customWidth="1"/>
    <col min="15900" max="15901" width="0" style="1634" hidden="1" customWidth="1"/>
    <col min="15902" max="15902" width="31.21875" style="1634" customWidth="1"/>
    <col min="15903" max="15904" width="0" style="1634" hidden="1" customWidth="1"/>
    <col min="15905" max="15905" width="12.109375" style="1634" customWidth="1"/>
    <col min="15906" max="15908" width="0" style="1634" hidden="1" customWidth="1"/>
    <col min="15909" max="15909" width="16.33203125" style="1634" customWidth="1"/>
    <col min="15910" max="15911" width="0" style="1634" hidden="1" customWidth="1"/>
    <col min="15912" max="15912" width="7.109375" style="1634" customWidth="1"/>
    <col min="15913" max="15913" width="8.88671875" style="1634" customWidth="1"/>
    <col min="15914" max="15916" width="0" style="1634" hidden="1" customWidth="1"/>
    <col min="15917" max="15917" width="9" style="1634" customWidth="1"/>
    <col min="15918" max="16128" width="8.88671875" style="1634"/>
    <col min="16129" max="16129" width="82.44140625" style="1634" customWidth="1"/>
    <col min="16130" max="16130" width="7.109375" style="1634" customWidth="1"/>
    <col min="16131" max="16131" width="13.33203125" style="1634" customWidth="1"/>
    <col min="16132" max="16132" width="7.109375" style="1634" customWidth="1"/>
    <col min="16133" max="16133" width="5.21875" style="1634" customWidth="1"/>
    <col min="16134" max="16134" width="82.44140625" style="1634" customWidth="1"/>
    <col min="16135" max="16135" width="9" style="1634" customWidth="1"/>
    <col min="16136" max="16136" width="10.109375" style="1634" customWidth="1"/>
    <col min="16137" max="16137" width="48.6640625" style="1634" customWidth="1"/>
    <col min="16138" max="16139" width="15.88671875" style="1634" customWidth="1"/>
    <col min="16140" max="16140" width="18.109375" style="1634" customWidth="1"/>
    <col min="16141" max="16141" width="9" style="1634" customWidth="1"/>
    <col min="16142" max="16142" width="20.33203125" style="1634" customWidth="1"/>
    <col min="16143" max="16143" width="20.109375" style="1634" customWidth="1"/>
    <col min="16144" max="16154" width="0" style="1634" hidden="1" customWidth="1"/>
    <col min="16155" max="16155" width="10.21875" style="1634" customWidth="1"/>
    <col min="16156" max="16157" width="0" style="1634" hidden="1" customWidth="1"/>
    <col min="16158" max="16158" width="31.21875" style="1634" customWidth="1"/>
    <col min="16159" max="16160" width="0" style="1634" hidden="1" customWidth="1"/>
    <col min="16161" max="16161" width="12.109375" style="1634" customWidth="1"/>
    <col min="16162" max="16164" width="0" style="1634" hidden="1" customWidth="1"/>
    <col min="16165" max="16165" width="16.33203125" style="1634" customWidth="1"/>
    <col min="16166" max="16167" width="0" style="1634" hidden="1" customWidth="1"/>
    <col min="16168" max="16168" width="7.109375" style="1634" customWidth="1"/>
    <col min="16169" max="16169" width="8.88671875" style="1634" customWidth="1"/>
    <col min="16170" max="16172" width="0" style="1634" hidden="1" customWidth="1"/>
    <col min="16173" max="16173" width="9" style="1634" customWidth="1"/>
    <col min="16174" max="16384" width="8.88671875" style="1634"/>
  </cols>
  <sheetData>
    <row r="1" spans="1:46">
      <c r="A1" s="1634" t="s">
        <v>3071</v>
      </c>
      <c r="B1" s="1634" t="s">
        <v>3072</v>
      </c>
      <c r="C1" s="1634" t="s">
        <v>3073</v>
      </c>
      <c r="D1" s="1634" t="s">
        <v>3074</v>
      </c>
      <c r="E1" s="1634" t="s">
        <v>3075</v>
      </c>
      <c r="F1" s="1634" t="s">
        <v>3076</v>
      </c>
      <c r="G1" s="1634" t="s">
        <v>3077</v>
      </c>
      <c r="H1" s="1634" t="s">
        <v>3078</v>
      </c>
      <c r="I1" s="1634" t="s">
        <v>3079</v>
      </c>
      <c r="J1" s="1634" t="s">
        <v>3080</v>
      </c>
      <c r="K1" s="1634" t="s">
        <v>3081</v>
      </c>
      <c r="L1" s="1634" t="s">
        <v>3082</v>
      </c>
      <c r="M1" s="1634" t="s">
        <v>3083</v>
      </c>
      <c r="N1" s="1634" t="s">
        <v>3084</v>
      </c>
      <c r="O1" s="1634" t="s">
        <v>3085</v>
      </c>
      <c r="P1" s="1634" t="s">
        <v>3086</v>
      </c>
      <c r="Q1" s="1634" t="s">
        <v>3087</v>
      </c>
      <c r="R1" s="1634" t="s">
        <v>3088</v>
      </c>
      <c r="S1" s="1634" t="s">
        <v>3089</v>
      </c>
      <c r="T1" s="1634" t="s">
        <v>3090</v>
      </c>
      <c r="U1" s="1634" t="s">
        <v>3091</v>
      </c>
      <c r="V1" s="1634" t="s">
        <v>3092</v>
      </c>
      <c r="W1" s="1634" t="s">
        <v>3093</v>
      </c>
      <c r="X1" s="1634" t="s">
        <v>3094</v>
      </c>
      <c r="Y1" s="1634" t="s">
        <v>3095</v>
      </c>
      <c r="Z1" s="1634" t="s">
        <v>3096</v>
      </c>
      <c r="AA1" s="1634" t="s">
        <v>3097</v>
      </c>
      <c r="AB1" s="1634" t="s">
        <v>3098</v>
      </c>
      <c r="AC1" s="1634" t="s">
        <v>3099</v>
      </c>
      <c r="AD1" s="1634" t="s">
        <v>3100</v>
      </c>
      <c r="AE1" s="1634" t="s">
        <v>3101</v>
      </c>
      <c r="AF1" s="1634" t="s">
        <v>3102</v>
      </c>
      <c r="AG1" s="1634" t="s">
        <v>3103</v>
      </c>
      <c r="AH1" s="1634" t="s">
        <v>3104</v>
      </c>
      <c r="AI1" s="1634" t="s">
        <v>3105</v>
      </c>
      <c r="AJ1" s="1634" t="s">
        <v>3106</v>
      </c>
      <c r="AK1" s="1634" t="s">
        <v>3107</v>
      </c>
      <c r="AL1" s="1634" t="s">
        <v>3108</v>
      </c>
      <c r="AM1" s="1634" t="s">
        <v>3109</v>
      </c>
      <c r="AN1" s="1634" t="s">
        <v>3110</v>
      </c>
      <c r="AO1" s="1634" t="s">
        <v>3111</v>
      </c>
      <c r="AP1" s="1634" t="s">
        <v>3112</v>
      </c>
      <c r="AQ1" s="1634" t="s">
        <v>3113</v>
      </c>
      <c r="AR1" s="1634" t="s">
        <v>3114</v>
      </c>
      <c r="AS1" s="1634" t="s">
        <v>3115</v>
      </c>
      <c r="AT1" s="2956" t="s">
        <v>3116</v>
      </c>
    </row>
    <row r="2" spans="1:46">
      <c r="A2" s="1634" t="s">
        <v>3117</v>
      </c>
      <c r="B2" s="1634" t="s">
        <v>3118</v>
      </c>
      <c r="C2" s="1634" t="s">
        <v>3119</v>
      </c>
      <c r="D2" s="1634" t="s">
        <v>3120</v>
      </c>
      <c r="E2" s="1634" t="s">
        <v>1321</v>
      </c>
      <c r="F2" s="1634" t="s">
        <v>3117</v>
      </c>
      <c r="G2" s="1634" t="s">
        <v>3121</v>
      </c>
      <c r="H2" s="1634" t="s">
        <v>3122</v>
      </c>
      <c r="I2" s="1634" t="s">
        <v>3123</v>
      </c>
      <c r="J2" s="1634">
        <v>21551.91</v>
      </c>
      <c r="K2" s="1634">
        <v>86207.64</v>
      </c>
      <c r="L2" s="1634" t="s">
        <v>3124</v>
      </c>
      <c r="M2" s="1634" t="s">
        <v>1321</v>
      </c>
      <c r="N2" s="1634" t="s">
        <v>3125</v>
      </c>
      <c r="O2" s="1634" t="s">
        <v>3126</v>
      </c>
      <c r="P2" s="1634" t="s">
        <v>1321</v>
      </c>
      <c r="Q2" s="1634" t="s">
        <v>1321</v>
      </c>
      <c r="R2" s="1634" t="s">
        <v>1321</v>
      </c>
      <c r="S2" s="1634" t="s">
        <v>1321</v>
      </c>
      <c r="T2" s="1634" t="s">
        <v>1321</v>
      </c>
      <c r="U2" s="1634" t="s">
        <v>1321</v>
      </c>
      <c r="V2" s="1634" t="s">
        <v>1321</v>
      </c>
      <c r="W2" s="1634" t="s">
        <v>3127</v>
      </c>
      <c r="X2" s="1634" t="s">
        <v>3128</v>
      </c>
      <c r="Y2" s="1634" t="s">
        <v>3129</v>
      </c>
      <c r="Z2" s="1634" t="s">
        <v>3130</v>
      </c>
      <c r="AA2" s="1634" t="s">
        <v>3130</v>
      </c>
      <c r="AB2" s="1634" t="s">
        <v>3131</v>
      </c>
      <c r="AC2" s="1634" t="s">
        <v>3132</v>
      </c>
      <c r="AD2" s="1634" t="s">
        <v>3133</v>
      </c>
      <c r="AE2" s="1634">
        <v>31174</v>
      </c>
      <c r="AF2" s="1634" t="s">
        <v>1321</v>
      </c>
      <c r="AG2" s="1634">
        <v>53660</v>
      </c>
      <c r="AH2" s="1634" t="s">
        <v>1321</v>
      </c>
      <c r="AI2" s="1634">
        <v>1659.87</v>
      </c>
      <c r="AJ2" s="1634" t="s">
        <v>1321</v>
      </c>
      <c r="AK2" s="1634">
        <v>6224.51</v>
      </c>
      <c r="AL2" s="1634" t="s">
        <v>1321</v>
      </c>
      <c r="AM2" s="1634" t="s">
        <v>1321</v>
      </c>
      <c r="AN2" s="1634" t="s">
        <v>1321</v>
      </c>
      <c r="AO2" s="1634" t="s">
        <v>3134</v>
      </c>
      <c r="AP2" s="1634" t="s">
        <v>1321</v>
      </c>
      <c r="AQ2" s="1634" t="s">
        <v>1321</v>
      </c>
      <c r="AR2" s="1634" t="s">
        <v>1321</v>
      </c>
      <c r="AS2" s="1634" t="s">
        <v>3135</v>
      </c>
      <c r="AT2" s="1634">
        <f>AG2/J2*10000</f>
        <v>24898.025279429992</v>
      </c>
    </row>
    <row r="3" spans="1:46" s="2957" customFormat="1">
      <c r="A3" s="2957" t="s">
        <v>3136</v>
      </c>
      <c r="B3" s="2957" t="s">
        <v>3118</v>
      </c>
      <c r="C3" s="2957" t="s">
        <v>3119</v>
      </c>
      <c r="D3" s="2957" t="s">
        <v>3120</v>
      </c>
      <c r="E3" s="2957" t="s">
        <v>1321</v>
      </c>
      <c r="F3" s="2957" t="s">
        <v>3136</v>
      </c>
      <c r="G3" s="2957" t="s">
        <v>3121</v>
      </c>
      <c r="H3" s="2957" t="s">
        <v>3137</v>
      </c>
      <c r="I3" s="2957" t="s">
        <v>3138</v>
      </c>
      <c r="J3" s="2957">
        <v>79071.62</v>
      </c>
      <c r="K3" s="2957">
        <v>23721.49</v>
      </c>
      <c r="L3" s="2957" t="s">
        <v>3139</v>
      </c>
      <c r="M3" s="2957" t="s">
        <v>1321</v>
      </c>
      <c r="N3" s="2957" t="s">
        <v>3140</v>
      </c>
      <c r="O3" s="2957" t="s">
        <v>3141</v>
      </c>
      <c r="P3" s="2957" t="s">
        <v>1321</v>
      </c>
      <c r="Q3" s="2957" t="s">
        <v>1321</v>
      </c>
      <c r="R3" s="2957" t="s">
        <v>1321</v>
      </c>
      <c r="S3" s="2957" t="s">
        <v>1321</v>
      </c>
      <c r="T3" s="2957" t="s">
        <v>1321</v>
      </c>
      <c r="U3" s="2957" t="s">
        <v>1321</v>
      </c>
      <c r="V3" s="2957" t="s">
        <v>1321</v>
      </c>
      <c r="W3" s="2957" t="s">
        <v>3127</v>
      </c>
      <c r="X3" s="2957" t="s">
        <v>3142</v>
      </c>
      <c r="Y3" s="2957" t="s">
        <v>3143</v>
      </c>
      <c r="Z3" s="2957" t="s">
        <v>3144</v>
      </c>
      <c r="AA3" s="2957" t="s">
        <v>3144</v>
      </c>
      <c r="AB3" s="2957" t="s">
        <v>3145</v>
      </c>
      <c r="AC3" s="2957" t="s">
        <v>3132</v>
      </c>
      <c r="AD3" s="2957" t="s">
        <v>3146</v>
      </c>
      <c r="AE3" s="2957" t="s">
        <v>1321</v>
      </c>
      <c r="AF3" s="2957" t="s">
        <v>1321</v>
      </c>
      <c r="AG3" s="2957">
        <v>34800</v>
      </c>
      <c r="AH3" s="2957" t="s">
        <v>1321</v>
      </c>
      <c r="AI3" s="2957">
        <v>293.39999999999998</v>
      </c>
      <c r="AJ3" s="2957" t="s">
        <v>1321</v>
      </c>
      <c r="AK3" s="2957">
        <v>14670.23</v>
      </c>
      <c r="AL3" s="2957" t="s">
        <v>1321</v>
      </c>
      <c r="AM3" s="2957" t="s">
        <v>1321</v>
      </c>
      <c r="AN3" s="2957" t="s">
        <v>1321</v>
      </c>
      <c r="AO3" s="2957" t="s">
        <v>3134</v>
      </c>
      <c r="AP3" s="2957" t="s">
        <v>1321</v>
      </c>
      <c r="AQ3" s="2957" t="s">
        <v>1321</v>
      </c>
      <c r="AR3" s="2957" t="s">
        <v>1321</v>
      </c>
      <c r="AS3" s="2957" t="s">
        <v>3147</v>
      </c>
      <c r="AT3" s="2957">
        <f t="shared" ref="AT3:AT51" si="0">AG3/J3*10000</f>
        <v>4401.0733560283707</v>
      </c>
    </row>
    <row r="4" spans="1:46">
      <c r="A4" s="1634" t="s">
        <v>3148</v>
      </c>
      <c r="B4" s="1634" t="s">
        <v>3118</v>
      </c>
      <c r="C4" s="1634" t="s">
        <v>3119</v>
      </c>
      <c r="D4" s="1634" t="s">
        <v>3120</v>
      </c>
      <c r="E4" s="1634" t="s">
        <v>1321</v>
      </c>
      <c r="F4" s="1634" t="s">
        <v>3148</v>
      </c>
      <c r="G4" s="1634" t="s">
        <v>3121</v>
      </c>
      <c r="H4" s="1634" t="s">
        <v>3149</v>
      </c>
      <c r="I4" s="1634" t="s">
        <v>3123</v>
      </c>
      <c r="J4" s="1634">
        <v>12979.46</v>
      </c>
      <c r="K4" s="1634">
        <v>64897.3</v>
      </c>
      <c r="L4" s="1634" t="s">
        <v>3150</v>
      </c>
      <c r="M4" s="1634" t="s">
        <v>1321</v>
      </c>
      <c r="N4" s="1634" t="s">
        <v>3125</v>
      </c>
      <c r="O4" s="1634" t="s">
        <v>3151</v>
      </c>
      <c r="P4" s="1634" t="s">
        <v>1321</v>
      </c>
      <c r="Q4" s="1634" t="s">
        <v>1321</v>
      </c>
      <c r="R4" s="1634" t="s">
        <v>1321</v>
      </c>
      <c r="S4" s="1634" t="s">
        <v>1321</v>
      </c>
      <c r="T4" s="1634" t="s">
        <v>1321</v>
      </c>
      <c r="U4" s="1634" t="s">
        <v>1321</v>
      </c>
      <c r="V4" s="1634" t="s">
        <v>1321</v>
      </c>
      <c r="W4" s="1634" t="s">
        <v>3127</v>
      </c>
      <c r="X4" s="1634" t="s">
        <v>3152</v>
      </c>
      <c r="Y4" s="1634" t="s">
        <v>3153</v>
      </c>
      <c r="Z4" s="1634" t="s">
        <v>3128</v>
      </c>
      <c r="AA4" s="1634" t="s">
        <v>3128</v>
      </c>
      <c r="AB4" s="1634" t="s">
        <v>3154</v>
      </c>
      <c r="AC4" s="1634" t="s">
        <v>3132</v>
      </c>
      <c r="AD4" s="1634" t="s">
        <v>3155</v>
      </c>
      <c r="AE4" s="1634">
        <v>22978</v>
      </c>
      <c r="AF4" s="1634" t="s">
        <v>1321</v>
      </c>
      <c r="AG4" s="1634">
        <v>38800</v>
      </c>
      <c r="AH4" s="1634" t="s">
        <v>1321</v>
      </c>
      <c r="AI4" s="1634">
        <v>1992.89</v>
      </c>
      <c r="AJ4" s="1634" t="s">
        <v>1321</v>
      </c>
      <c r="AK4" s="1634">
        <v>5978.68</v>
      </c>
      <c r="AL4" s="1634" t="s">
        <v>1321</v>
      </c>
      <c r="AM4" s="1634" t="s">
        <v>1321</v>
      </c>
      <c r="AN4" s="1634" t="s">
        <v>1321</v>
      </c>
      <c r="AO4" s="1634" t="s">
        <v>3134</v>
      </c>
      <c r="AP4" s="1634" t="s">
        <v>1321</v>
      </c>
      <c r="AQ4" s="1634" t="s">
        <v>1321</v>
      </c>
      <c r="AR4" s="1634" t="s">
        <v>1321</v>
      </c>
      <c r="AS4" s="1634" t="s">
        <v>3156</v>
      </c>
      <c r="AT4" s="1634">
        <f t="shared" si="0"/>
        <v>29893.385395078072</v>
      </c>
    </row>
    <row r="5" spans="1:46">
      <c r="A5" s="1634" t="s">
        <v>3157</v>
      </c>
      <c r="B5" s="1634" t="s">
        <v>3118</v>
      </c>
      <c r="C5" s="1634" t="s">
        <v>3119</v>
      </c>
      <c r="D5" s="1634" t="s">
        <v>3120</v>
      </c>
      <c r="E5" s="1634" t="s">
        <v>1321</v>
      </c>
      <c r="F5" s="1634" t="s">
        <v>3157</v>
      </c>
      <c r="G5" s="1634" t="s">
        <v>3121</v>
      </c>
      <c r="H5" s="1634" t="s">
        <v>3158</v>
      </c>
      <c r="I5" s="1634" t="s">
        <v>3123</v>
      </c>
      <c r="J5" s="1634">
        <v>7285.44</v>
      </c>
      <c r="K5" s="1634">
        <v>40069.919999999998</v>
      </c>
      <c r="L5" s="1634" t="s">
        <v>3159</v>
      </c>
      <c r="M5" s="1634" t="s">
        <v>1321</v>
      </c>
      <c r="N5" s="1634" t="s">
        <v>3125</v>
      </c>
      <c r="O5" s="1634" t="s">
        <v>3160</v>
      </c>
      <c r="P5" s="1634" t="s">
        <v>1321</v>
      </c>
      <c r="Q5" s="1634" t="s">
        <v>1321</v>
      </c>
      <c r="R5" s="1634" t="s">
        <v>1321</v>
      </c>
      <c r="S5" s="1634" t="s">
        <v>1321</v>
      </c>
      <c r="T5" s="1634" t="s">
        <v>1321</v>
      </c>
      <c r="U5" s="1634" t="s">
        <v>1321</v>
      </c>
      <c r="V5" s="1634" t="s">
        <v>1321</v>
      </c>
      <c r="W5" s="1634" t="s">
        <v>3127</v>
      </c>
      <c r="X5" s="1634" t="s">
        <v>3152</v>
      </c>
      <c r="Y5" s="1634" t="s">
        <v>3153</v>
      </c>
      <c r="Z5" s="1634" t="s">
        <v>3128</v>
      </c>
      <c r="AA5" s="1634" t="s">
        <v>3128</v>
      </c>
      <c r="AB5" s="1634" t="s">
        <v>3161</v>
      </c>
      <c r="AC5" s="1634" t="s">
        <v>3132</v>
      </c>
      <c r="AD5" s="1634" t="s">
        <v>3162</v>
      </c>
      <c r="AE5" s="1634">
        <v>13566</v>
      </c>
      <c r="AF5" s="1634" t="s">
        <v>1321</v>
      </c>
      <c r="AG5" s="1634">
        <v>22936</v>
      </c>
      <c r="AH5" s="1634" t="s">
        <v>1321</v>
      </c>
      <c r="AI5" s="1634">
        <v>2098.8000000000002</v>
      </c>
      <c r="AJ5" s="1634" t="s">
        <v>1321</v>
      </c>
      <c r="AK5" s="1634">
        <v>5723.98</v>
      </c>
      <c r="AL5" s="1634" t="s">
        <v>1321</v>
      </c>
      <c r="AM5" s="1634" t="s">
        <v>1321</v>
      </c>
      <c r="AN5" s="1634" t="s">
        <v>1321</v>
      </c>
      <c r="AO5" s="1634" t="s">
        <v>3134</v>
      </c>
      <c r="AP5" s="1634" t="s">
        <v>1321</v>
      </c>
      <c r="AQ5" s="1634" t="s">
        <v>1321</v>
      </c>
      <c r="AR5" s="1634" t="s">
        <v>1321</v>
      </c>
      <c r="AS5" s="1634" t="s">
        <v>3156</v>
      </c>
      <c r="AT5" s="1634">
        <f t="shared" si="0"/>
        <v>31481.969517283789</v>
      </c>
    </row>
    <row r="6" spans="1:46">
      <c r="A6" s="1634" t="s">
        <v>3163</v>
      </c>
      <c r="B6" s="1634" t="s">
        <v>3118</v>
      </c>
      <c r="C6" s="1634" t="s">
        <v>3119</v>
      </c>
      <c r="D6" s="1634" t="s">
        <v>3120</v>
      </c>
      <c r="E6" s="1634" t="s">
        <v>1321</v>
      </c>
      <c r="F6" s="1634" t="s">
        <v>3163</v>
      </c>
      <c r="G6" s="1634" t="s">
        <v>3121</v>
      </c>
      <c r="H6" s="1634" t="s">
        <v>3164</v>
      </c>
      <c r="I6" s="1634" t="s">
        <v>3165</v>
      </c>
      <c r="J6" s="1634">
        <v>7954.53</v>
      </c>
      <c r="K6" s="1634">
        <v>15909.06</v>
      </c>
      <c r="L6" s="1634" t="s">
        <v>3166</v>
      </c>
      <c r="M6" s="1634" t="s">
        <v>1321</v>
      </c>
      <c r="N6" s="1634" t="s">
        <v>3167</v>
      </c>
      <c r="O6" s="1634" t="s">
        <v>3168</v>
      </c>
      <c r="P6" s="1634" t="s">
        <v>1321</v>
      </c>
      <c r="Q6" s="1634" t="s">
        <v>1321</v>
      </c>
      <c r="R6" s="1634" t="s">
        <v>1321</v>
      </c>
      <c r="S6" s="1634" t="s">
        <v>1321</v>
      </c>
      <c r="T6" s="1634" t="s">
        <v>1321</v>
      </c>
      <c r="U6" s="1634" t="s">
        <v>1321</v>
      </c>
      <c r="V6" s="1634" t="s">
        <v>1321</v>
      </c>
      <c r="W6" s="1634" t="s">
        <v>3127</v>
      </c>
      <c r="X6" s="1634" t="s">
        <v>3169</v>
      </c>
      <c r="Y6" s="1634" t="s">
        <v>3170</v>
      </c>
      <c r="Z6" s="1634" t="s">
        <v>3171</v>
      </c>
      <c r="AA6" s="1634" t="s">
        <v>3171</v>
      </c>
      <c r="AB6" s="1634" t="s">
        <v>3172</v>
      </c>
      <c r="AC6" s="1634" t="s">
        <v>3132</v>
      </c>
      <c r="AD6" s="1634" t="s">
        <v>3173</v>
      </c>
      <c r="AE6" s="1634">
        <v>8654</v>
      </c>
      <c r="AF6" s="1634" t="s">
        <v>1321</v>
      </c>
      <c r="AG6" s="1634">
        <v>15900</v>
      </c>
      <c r="AH6" s="1634" t="s">
        <v>1321</v>
      </c>
      <c r="AI6" s="1634">
        <v>1332.57</v>
      </c>
      <c r="AJ6" s="1634" t="s">
        <v>1321</v>
      </c>
      <c r="AK6" s="1634">
        <v>9994.2999999999993</v>
      </c>
      <c r="AL6" s="1634" t="s">
        <v>1321</v>
      </c>
      <c r="AM6" s="1634" t="s">
        <v>1321</v>
      </c>
      <c r="AN6" s="1634" t="s">
        <v>1321</v>
      </c>
      <c r="AO6" s="1634" t="s">
        <v>3134</v>
      </c>
      <c r="AP6" s="1634" t="s">
        <v>1321</v>
      </c>
      <c r="AQ6" s="1634" t="s">
        <v>1321</v>
      </c>
      <c r="AR6" s="1634" t="s">
        <v>1321</v>
      </c>
      <c r="AS6" s="1634" t="s">
        <v>3156</v>
      </c>
      <c r="AT6" s="1634">
        <f t="shared" si="0"/>
        <v>19988.610263585655</v>
      </c>
    </row>
    <row r="7" spans="1:46">
      <c r="A7" s="1634" t="s">
        <v>3174</v>
      </c>
      <c r="B7" s="1634" t="s">
        <v>3118</v>
      </c>
      <c r="C7" s="1634" t="s">
        <v>3119</v>
      </c>
      <c r="D7" s="1634" t="s">
        <v>3120</v>
      </c>
      <c r="E7" s="1634" t="s">
        <v>1321</v>
      </c>
      <c r="F7" s="1634" t="s">
        <v>3174</v>
      </c>
      <c r="G7" s="1634" t="s">
        <v>3121</v>
      </c>
      <c r="H7" s="1634" t="s">
        <v>3175</v>
      </c>
      <c r="I7" s="1634" t="s">
        <v>3176</v>
      </c>
      <c r="J7" s="1634">
        <v>17448.52</v>
      </c>
      <c r="K7" s="1634">
        <v>34897.040000000001</v>
      </c>
      <c r="L7" s="1634" t="s">
        <v>3166</v>
      </c>
      <c r="M7" s="1634" t="s">
        <v>1321</v>
      </c>
      <c r="N7" s="1634" t="s">
        <v>3167</v>
      </c>
      <c r="O7" s="1634" t="s">
        <v>3168</v>
      </c>
      <c r="P7" s="1634" t="s">
        <v>1321</v>
      </c>
      <c r="Q7" s="1634" t="s">
        <v>1321</v>
      </c>
      <c r="R7" s="1634" t="s">
        <v>1321</v>
      </c>
      <c r="S7" s="1634" t="s">
        <v>1321</v>
      </c>
      <c r="T7" s="1634" t="s">
        <v>1321</v>
      </c>
      <c r="U7" s="1634" t="s">
        <v>1321</v>
      </c>
      <c r="V7" s="1634" t="s">
        <v>1321</v>
      </c>
      <c r="W7" s="1634" t="s">
        <v>3127</v>
      </c>
      <c r="X7" s="1634" t="s">
        <v>3169</v>
      </c>
      <c r="Y7" s="1634" t="s">
        <v>3170</v>
      </c>
      <c r="Z7" s="1634" t="s">
        <v>3171</v>
      </c>
      <c r="AA7" s="1634" t="s">
        <v>3171</v>
      </c>
      <c r="AB7" s="1634" t="s">
        <v>3177</v>
      </c>
      <c r="AC7" s="1634" t="s">
        <v>3132</v>
      </c>
      <c r="AD7" s="1634" t="s">
        <v>3178</v>
      </c>
      <c r="AE7" s="1634">
        <v>17317</v>
      </c>
      <c r="AF7" s="1634">
        <v>28999.43</v>
      </c>
      <c r="AG7" s="1634">
        <v>28999.43</v>
      </c>
      <c r="AH7" s="1634">
        <v>1108</v>
      </c>
      <c r="AI7" s="1634">
        <v>1108</v>
      </c>
      <c r="AJ7" s="1634">
        <v>8310</v>
      </c>
      <c r="AK7" s="1634">
        <v>8310</v>
      </c>
      <c r="AL7" s="1634" t="s">
        <v>1321</v>
      </c>
      <c r="AM7" s="1634" t="s">
        <v>1321</v>
      </c>
      <c r="AN7" s="1634">
        <v>0</v>
      </c>
      <c r="AO7" s="1634" t="s">
        <v>3134</v>
      </c>
      <c r="AP7" s="1634" t="s">
        <v>1321</v>
      </c>
      <c r="AQ7" s="1634" t="s">
        <v>1321</v>
      </c>
      <c r="AR7" s="1634" t="s">
        <v>1321</v>
      </c>
      <c r="AS7" s="1634" t="s">
        <v>3156</v>
      </c>
      <c r="AT7" s="1634">
        <f t="shared" si="0"/>
        <v>16619.994131307412</v>
      </c>
    </row>
    <row r="8" spans="1:46">
      <c r="A8" s="1634" t="s">
        <v>3179</v>
      </c>
      <c r="B8" s="1634" t="s">
        <v>3118</v>
      </c>
      <c r="C8" s="1634" t="s">
        <v>3119</v>
      </c>
      <c r="D8" s="1634" t="s">
        <v>3120</v>
      </c>
      <c r="E8" s="1634" t="s">
        <v>1321</v>
      </c>
      <c r="F8" s="1634" t="s">
        <v>3179</v>
      </c>
      <c r="G8" s="1634" t="s">
        <v>3121</v>
      </c>
      <c r="H8" s="1634" t="s">
        <v>3180</v>
      </c>
      <c r="I8" s="1634" t="s">
        <v>3181</v>
      </c>
      <c r="J8" s="1634">
        <v>14177.57</v>
      </c>
      <c r="K8" s="1634">
        <v>28355.14</v>
      </c>
      <c r="L8" s="1634" t="s">
        <v>3166</v>
      </c>
      <c r="M8" s="1634" t="s">
        <v>1321</v>
      </c>
      <c r="N8" s="1634" t="s">
        <v>3167</v>
      </c>
      <c r="O8" s="1634" t="s">
        <v>3168</v>
      </c>
      <c r="P8" s="1634" t="s">
        <v>1321</v>
      </c>
      <c r="Q8" s="1634" t="s">
        <v>1321</v>
      </c>
      <c r="R8" s="1634" t="s">
        <v>1321</v>
      </c>
      <c r="S8" s="1634" t="s">
        <v>1321</v>
      </c>
      <c r="T8" s="1634" t="s">
        <v>1321</v>
      </c>
      <c r="U8" s="1634" t="s">
        <v>1321</v>
      </c>
      <c r="V8" s="1634" t="s">
        <v>1321</v>
      </c>
      <c r="W8" s="1634" t="s">
        <v>3127</v>
      </c>
      <c r="X8" s="1634" t="s">
        <v>3169</v>
      </c>
      <c r="Y8" s="1634" t="s">
        <v>3170</v>
      </c>
      <c r="Z8" s="1634" t="s">
        <v>3171</v>
      </c>
      <c r="AA8" s="1634" t="s">
        <v>3171</v>
      </c>
      <c r="AB8" s="1634" t="s">
        <v>3182</v>
      </c>
      <c r="AC8" s="1634" t="s">
        <v>3132</v>
      </c>
      <c r="AD8" s="1634" t="s">
        <v>3178</v>
      </c>
      <c r="AE8" s="1634">
        <v>11939</v>
      </c>
      <c r="AF8" s="1634" t="s">
        <v>1321</v>
      </c>
      <c r="AG8" s="1634">
        <v>20000</v>
      </c>
      <c r="AH8" s="1634" t="s">
        <v>1321</v>
      </c>
      <c r="AI8" s="1634">
        <v>940.45</v>
      </c>
      <c r="AJ8" s="1634" t="s">
        <v>1321</v>
      </c>
      <c r="AK8" s="1634">
        <v>7053.39</v>
      </c>
      <c r="AL8" s="1634" t="s">
        <v>1321</v>
      </c>
      <c r="AM8" s="1634" t="s">
        <v>1321</v>
      </c>
      <c r="AN8" s="1634" t="s">
        <v>1321</v>
      </c>
      <c r="AO8" s="1634" t="s">
        <v>3134</v>
      </c>
      <c r="AP8" s="1634" t="s">
        <v>1321</v>
      </c>
      <c r="AQ8" s="1634" t="s">
        <v>1321</v>
      </c>
      <c r="AR8" s="1634" t="s">
        <v>1321</v>
      </c>
      <c r="AS8" s="1634" t="s">
        <v>3135</v>
      </c>
      <c r="AT8" s="1634">
        <f t="shared" si="0"/>
        <v>14106.789809537177</v>
      </c>
    </row>
    <row r="9" spans="1:46">
      <c r="A9" s="1634" t="s">
        <v>3183</v>
      </c>
      <c r="B9" s="1634" t="s">
        <v>3118</v>
      </c>
      <c r="C9" s="1634" t="s">
        <v>3119</v>
      </c>
      <c r="D9" s="1634" t="s">
        <v>3120</v>
      </c>
      <c r="E9" s="1634" t="s">
        <v>1321</v>
      </c>
      <c r="F9" s="1634" t="s">
        <v>3183</v>
      </c>
      <c r="G9" s="1634" t="s">
        <v>3121</v>
      </c>
      <c r="H9" s="1634" t="s">
        <v>3184</v>
      </c>
      <c r="I9" s="1634" t="s">
        <v>3123</v>
      </c>
      <c r="J9" s="1634">
        <v>5532.23</v>
      </c>
      <c r="K9" s="1634">
        <v>11064.46</v>
      </c>
      <c r="L9" s="1634" t="s">
        <v>3166</v>
      </c>
      <c r="M9" s="1634" t="s">
        <v>1321</v>
      </c>
      <c r="N9" s="1634" t="s">
        <v>3167</v>
      </c>
      <c r="O9" s="1634" t="s">
        <v>3185</v>
      </c>
      <c r="P9" s="1634" t="s">
        <v>1321</v>
      </c>
      <c r="Q9" s="1634" t="s">
        <v>1321</v>
      </c>
      <c r="R9" s="1634" t="s">
        <v>1321</v>
      </c>
      <c r="S9" s="1634" t="s">
        <v>1321</v>
      </c>
      <c r="T9" s="1634" t="s">
        <v>1321</v>
      </c>
      <c r="U9" s="1634" t="s">
        <v>1321</v>
      </c>
      <c r="V9" s="1634" t="s">
        <v>1321</v>
      </c>
      <c r="W9" s="1634" t="s">
        <v>3127</v>
      </c>
      <c r="X9" s="1634" t="s">
        <v>3169</v>
      </c>
      <c r="Y9" s="1634" t="s">
        <v>3170</v>
      </c>
      <c r="Z9" s="1634" t="s">
        <v>3171</v>
      </c>
      <c r="AA9" s="1634" t="s">
        <v>3171</v>
      </c>
      <c r="AB9" s="1634" t="s">
        <v>3186</v>
      </c>
      <c r="AC9" s="1634" t="s">
        <v>3132</v>
      </c>
      <c r="AD9" s="1634" t="s">
        <v>3178</v>
      </c>
      <c r="AE9" s="1634">
        <v>5653</v>
      </c>
      <c r="AF9" s="1634" t="s">
        <v>1321</v>
      </c>
      <c r="AG9" s="1634">
        <v>9500</v>
      </c>
      <c r="AH9" s="1634" t="s">
        <v>1321</v>
      </c>
      <c r="AI9" s="1634">
        <v>1144.81</v>
      </c>
      <c r="AJ9" s="1634" t="s">
        <v>1321</v>
      </c>
      <c r="AK9" s="1634">
        <v>8586.0400000000009</v>
      </c>
      <c r="AL9" s="1634" t="s">
        <v>1321</v>
      </c>
      <c r="AM9" s="1634" t="s">
        <v>1321</v>
      </c>
      <c r="AN9" s="1634" t="s">
        <v>1321</v>
      </c>
      <c r="AO9" s="1634" t="s">
        <v>3134</v>
      </c>
      <c r="AP9" s="1634" t="s">
        <v>1321</v>
      </c>
      <c r="AQ9" s="1634" t="s">
        <v>1321</v>
      </c>
      <c r="AR9" s="1634" t="s">
        <v>1321</v>
      </c>
      <c r="AS9" s="1634" t="s">
        <v>3135</v>
      </c>
      <c r="AT9" s="1634">
        <f t="shared" si="0"/>
        <v>17172.098773912148</v>
      </c>
    </row>
    <row r="10" spans="1:46">
      <c r="A10" s="1634" t="s">
        <v>3187</v>
      </c>
      <c r="B10" s="1634" t="s">
        <v>3118</v>
      </c>
      <c r="C10" s="1634" t="s">
        <v>3119</v>
      </c>
      <c r="D10" s="1634" t="s">
        <v>3120</v>
      </c>
      <c r="E10" s="1634" t="s">
        <v>1321</v>
      </c>
      <c r="F10" s="1634" t="s">
        <v>3187</v>
      </c>
      <c r="G10" s="1634" t="s">
        <v>3121</v>
      </c>
      <c r="H10" s="1634" t="s">
        <v>3188</v>
      </c>
      <c r="I10" s="1634" t="s">
        <v>3165</v>
      </c>
      <c r="J10" s="1634">
        <v>3479.08</v>
      </c>
      <c r="K10" s="1634">
        <v>1043.72</v>
      </c>
      <c r="L10" s="1634" t="s">
        <v>3189</v>
      </c>
      <c r="M10" s="1634" t="s">
        <v>1321</v>
      </c>
      <c r="N10" s="1634" t="s">
        <v>3190</v>
      </c>
      <c r="O10" s="1634" t="s">
        <v>3191</v>
      </c>
      <c r="P10" s="1634" t="s">
        <v>1321</v>
      </c>
      <c r="Q10" s="1634" t="s">
        <v>1321</v>
      </c>
      <c r="R10" s="1634" t="s">
        <v>1321</v>
      </c>
      <c r="S10" s="1634" t="s">
        <v>1321</v>
      </c>
      <c r="T10" s="1634" t="s">
        <v>1321</v>
      </c>
      <c r="U10" s="1634" t="s">
        <v>1321</v>
      </c>
      <c r="V10" s="1634" t="s">
        <v>1321</v>
      </c>
      <c r="W10" s="1634" t="s">
        <v>3127</v>
      </c>
      <c r="X10" s="1634" t="s">
        <v>3192</v>
      </c>
      <c r="Y10" s="1634" t="s">
        <v>3193</v>
      </c>
      <c r="Z10" s="1634" t="s">
        <v>3194</v>
      </c>
      <c r="AA10" s="1634" t="s">
        <v>3194</v>
      </c>
      <c r="AB10" s="1634" t="s">
        <v>3195</v>
      </c>
      <c r="AC10" s="1634" t="s">
        <v>3132</v>
      </c>
      <c r="AD10" s="1634" t="s">
        <v>3196</v>
      </c>
      <c r="AE10" s="1634">
        <v>811</v>
      </c>
      <c r="AF10" s="1634" t="s">
        <v>1321</v>
      </c>
      <c r="AG10" s="1634">
        <v>1430</v>
      </c>
      <c r="AH10" s="1634" t="s">
        <v>1321</v>
      </c>
      <c r="AI10" s="1634">
        <v>274.02</v>
      </c>
      <c r="AJ10" s="1634" t="s">
        <v>1321</v>
      </c>
      <c r="AK10" s="1634">
        <v>13700.98</v>
      </c>
      <c r="AL10" s="1634" t="s">
        <v>1321</v>
      </c>
      <c r="AM10" s="1634" t="s">
        <v>1321</v>
      </c>
      <c r="AN10" s="1634" t="s">
        <v>1321</v>
      </c>
      <c r="AO10" s="1634" t="s">
        <v>3134</v>
      </c>
      <c r="AP10" s="1634" t="s">
        <v>1321</v>
      </c>
      <c r="AQ10" s="1634" t="s">
        <v>1321</v>
      </c>
      <c r="AR10" s="1634" t="s">
        <v>1321</v>
      </c>
      <c r="AS10" s="1634" t="s">
        <v>3135</v>
      </c>
      <c r="AT10" s="1634">
        <f t="shared" si="0"/>
        <v>4110.282028582269</v>
      </c>
    </row>
    <row r="11" spans="1:46">
      <c r="A11" s="1634" t="s">
        <v>3197</v>
      </c>
      <c r="B11" s="1634" t="s">
        <v>3118</v>
      </c>
      <c r="C11" s="1634" t="s">
        <v>3119</v>
      </c>
      <c r="D11" s="1634" t="s">
        <v>3120</v>
      </c>
      <c r="E11" s="1634" t="s">
        <v>1321</v>
      </c>
      <c r="F11" s="1634" t="s">
        <v>3197</v>
      </c>
      <c r="G11" s="1634" t="s">
        <v>3121</v>
      </c>
      <c r="H11" s="1634" t="s">
        <v>3198</v>
      </c>
      <c r="I11" s="1634" t="s">
        <v>3123</v>
      </c>
      <c r="J11" s="1634">
        <v>26405.52</v>
      </c>
      <c r="K11" s="1634">
        <v>171635.9</v>
      </c>
      <c r="L11" s="1634" t="s">
        <v>3199</v>
      </c>
      <c r="M11" s="1634" t="s">
        <v>1321</v>
      </c>
      <c r="N11" s="1634" t="s">
        <v>3200</v>
      </c>
      <c r="O11" s="1634" t="s">
        <v>3201</v>
      </c>
      <c r="P11" s="1634" t="s">
        <v>1321</v>
      </c>
      <c r="Q11" s="1634" t="s">
        <v>1321</v>
      </c>
      <c r="R11" s="1634" t="s">
        <v>1321</v>
      </c>
      <c r="S11" s="1634" t="s">
        <v>1321</v>
      </c>
      <c r="T11" s="1634" t="s">
        <v>1321</v>
      </c>
      <c r="U11" s="1634" t="s">
        <v>1321</v>
      </c>
      <c r="V11" s="1634" t="s">
        <v>1321</v>
      </c>
      <c r="W11" s="1634" t="s">
        <v>3127</v>
      </c>
      <c r="X11" s="1634" t="s">
        <v>3202</v>
      </c>
      <c r="Y11" s="1634" t="s">
        <v>3203</v>
      </c>
      <c r="Z11" s="1634" t="s">
        <v>3204</v>
      </c>
      <c r="AA11" s="1634" t="s">
        <v>3204</v>
      </c>
      <c r="AB11" s="1634" t="s">
        <v>3205</v>
      </c>
      <c r="AC11" s="1634" t="s">
        <v>3132</v>
      </c>
      <c r="AD11" s="1634" t="s">
        <v>3206</v>
      </c>
      <c r="AE11" s="1634">
        <v>43124</v>
      </c>
      <c r="AF11" s="1634" t="s">
        <v>1321</v>
      </c>
      <c r="AG11" s="1634">
        <v>71888</v>
      </c>
      <c r="AH11" s="1634" t="s">
        <v>1321</v>
      </c>
      <c r="AI11" s="1634">
        <v>1814.97</v>
      </c>
      <c r="AJ11" s="1634" t="s">
        <v>1321</v>
      </c>
      <c r="AK11" s="1634">
        <v>4188.3900000000003</v>
      </c>
      <c r="AL11" s="1634" t="s">
        <v>1321</v>
      </c>
      <c r="AM11" s="1634" t="s">
        <v>1321</v>
      </c>
      <c r="AN11" s="1634" t="s">
        <v>1321</v>
      </c>
      <c r="AO11" s="1634" t="s">
        <v>3134</v>
      </c>
      <c r="AP11" s="1634" t="s">
        <v>1321</v>
      </c>
      <c r="AQ11" s="1634" t="s">
        <v>1321</v>
      </c>
      <c r="AR11" s="1634" t="s">
        <v>1321</v>
      </c>
      <c r="AS11" s="1634" t="s">
        <v>3135</v>
      </c>
      <c r="AT11" s="1634">
        <f t="shared" si="0"/>
        <v>27224.610611720582</v>
      </c>
    </row>
    <row r="12" spans="1:46">
      <c r="A12" s="1634" t="s">
        <v>3207</v>
      </c>
      <c r="B12" s="1634" t="s">
        <v>3118</v>
      </c>
      <c r="C12" s="1634" t="s">
        <v>3119</v>
      </c>
      <c r="D12" s="1634" t="s">
        <v>3120</v>
      </c>
      <c r="E12" s="1634" t="s">
        <v>1321</v>
      </c>
      <c r="F12" s="1634" t="s">
        <v>3207</v>
      </c>
      <c r="G12" s="1634" t="s">
        <v>3121</v>
      </c>
      <c r="H12" s="1634" t="s">
        <v>3208</v>
      </c>
      <c r="I12" s="1634" t="s">
        <v>3123</v>
      </c>
      <c r="J12" s="1634">
        <v>20772.52</v>
      </c>
      <c r="K12" s="1634">
        <v>93476.34</v>
      </c>
      <c r="L12" s="1634" t="s">
        <v>3209</v>
      </c>
      <c r="M12" s="1634" t="s">
        <v>1321</v>
      </c>
      <c r="N12" s="1634" t="s">
        <v>3210</v>
      </c>
      <c r="O12" s="1634" t="s">
        <v>3211</v>
      </c>
      <c r="P12" s="1634" t="s">
        <v>1321</v>
      </c>
      <c r="Q12" s="1634" t="s">
        <v>1321</v>
      </c>
      <c r="R12" s="1634" t="s">
        <v>1321</v>
      </c>
      <c r="S12" s="1634" t="s">
        <v>1321</v>
      </c>
      <c r="T12" s="1634" t="s">
        <v>1321</v>
      </c>
      <c r="U12" s="1634" t="s">
        <v>1321</v>
      </c>
      <c r="V12" s="1634" t="s">
        <v>1321</v>
      </c>
      <c r="W12" s="1634" t="s">
        <v>3127</v>
      </c>
      <c r="X12" s="1634" t="s">
        <v>3212</v>
      </c>
      <c r="Y12" s="1634" t="s">
        <v>3203</v>
      </c>
      <c r="Z12" s="1634" t="s">
        <v>3204</v>
      </c>
      <c r="AA12" s="1634" t="s">
        <v>3204</v>
      </c>
      <c r="AB12" s="1634" t="s">
        <v>3213</v>
      </c>
      <c r="AC12" s="1634" t="s">
        <v>3132</v>
      </c>
      <c r="AD12" s="1634" t="s">
        <v>3214</v>
      </c>
      <c r="AE12" s="1634">
        <v>33633</v>
      </c>
      <c r="AF12" s="1634" t="s">
        <v>1321</v>
      </c>
      <c r="AG12" s="1634">
        <v>56066</v>
      </c>
      <c r="AH12" s="1634" t="s">
        <v>1321</v>
      </c>
      <c r="AI12" s="1634">
        <v>1799.36</v>
      </c>
      <c r="AJ12" s="1634" t="s">
        <v>1321</v>
      </c>
      <c r="AK12" s="1634">
        <v>5997.88</v>
      </c>
      <c r="AL12" s="1634" t="s">
        <v>1321</v>
      </c>
      <c r="AM12" s="1634" t="s">
        <v>1321</v>
      </c>
      <c r="AN12" s="1634" t="s">
        <v>1321</v>
      </c>
      <c r="AO12" s="1634" t="s">
        <v>3134</v>
      </c>
      <c r="AP12" s="1634" t="s">
        <v>1321</v>
      </c>
      <c r="AQ12" s="1634" t="s">
        <v>1321</v>
      </c>
      <c r="AR12" s="1634" t="s">
        <v>1321</v>
      </c>
      <c r="AS12" s="1634" t="s">
        <v>3135</v>
      </c>
      <c r="AT12" s="1634">
        <f t="shared" si="0"/>
        <v>26990.466250604164</v>
      </c>
    </row>
    <row r="13" spans="1:46">
      <c r="A13" s="1634" t="s">
        <v>3215</v>
      </c>
      <c r="B13" s="1634" t="s">
        <v>3118</v>
      </c>
      <c r="C13" s="1634" t="s">
        <v>3119</v>
      </c>
      <c r="D13" s="1634" t="s">
        <v>3120</v>
      </c>
      <c r="E13" s="1634" t="s">
        <v>1321</v>
      </c>
      <c r="F13" s="1634" t="s">
        <v>3215</v>
      </c>
      <c r="G13" s="1634" t="s">
        <v>3121</v>
      </c>
      <c r="H13" s="1634" t="s">
        <v>3216</v>
      </c>
      <c r="I13" s="1634" t="s">
        <v>3123</v>
      </c>
      <c r="J13" s="1634">
        <v>10530.6</v>
      </c>
      <c r="K13" s="1634">
        <v>47387.7</v>
      </c>
      <c r="L13" s="1634" t="s">
        <v>3209</v>
      </c>
      <c r="M13" s="1634" t="s">
        <v>1321</v>
      </c>
      <c r="N13" s="1634" t="s">
        <v>3217</v>
      </c>
      <c r="O13" s="1634" t="s">
        <v>3218</v>
      </c>
      <c r="P13" s="1634" t="s">
        <v>1321</v>
      </c>
      <c r="Q13" s="1634" t="s">
        <v>1321</v>
      </c>
      <c r="R13" s="1634" t="s">
        <v>1321</v>
      </c>
      <c r="S13" s="1634" t="s">
        <v>1321</v>
      </c>
      <c r="T13" s="1634" t="s">
        <v>1321</v>
      </c>
      <c r="U13" s="1634" t="s">
        <v>1321</v>
      </c>
      <c r="V13" s="1634" t="s">
        <v>1321</v>
      </c>
      <c r="W13" s="1634" t="s">
        <v>3127</v>
      </c>
      <c r="X13" s="1634" t="s">
        <v>3212</v>
      </c>
      <c r="Y13" s="1634" t="s">
        <v>3203</v>
      </c>
      <c r="Z13" s="1634" t="s">
        <v>3204</v>
      </c>
      <c r="AA13" s="1634" t="s">
        <v>3204</v>
      </c>
      <c r="AB13" s="1634" t="s">
        <v>3219</v>
      </c>
      <c r="AC13" s="1634" t="s">
        <v>3132</v>
      </c>
      <c r="AD13" s="1634" t="s">
        <v>3220</v>
      </c>
      <c r="AE13" s="1634">
        <v>16258</v>
      </c>
      <c r="AF13" s="1634" t="s">
        <v>1321</v>
      </c>
      <c r="AG13" s="1634">
        <v>38200</v>
      </c>
      <c r="AH13" s="1634" t="s">
        <v>1321</v>
      </c>
      <c r="AI13" s="1634">
        <v>2418.35</v>
      </c>
      <c r="AJ13" s="1634" t="s">
        <v>1321</v>
      </c>
      <c r="AK13" s="1634">
        <v>8061.15</v>
      </c>
      <c r="AL13" s="1634" t="s">
        <v>1321</v>
      </c>
      <c r="AM13" s="1634" t="s">
        <v>1321</v>
      </c>
      <c r="AN13" s="1634" t="s">
        <v>1321</v>
      </c>
      <c r="AO13" s="1634" t="s">
        <v>3134</v>
      </c>
      <c r="AP13" s="1634" t="s">
        <v>1321</v>
      </c>
      <c r="AQ13" s="1634" t="s">
        <v>1321</v>
      </c>
      <c r="AR13" s="1634" t="s">
        <v>1321</v>
      </c>
      <c r="AS13" s="1634" t="s">
        <v>3135</v>
      </c>
      <c r="AT13" s="1634">
        <f t="shared" si="0"/>
        <v>36275.23597895656</v>
      </c>
    </row>
    <row r="14" spans="1:46" s="2957" customFormat="1">
      <c r="A14" s="2957" t="s">
        <v>3221</v>
      </c>
      <c r="B14" s="2957" t="s">
        <v>3118</v>
      </c>
      <c r="C14" s="2957" t="s">
        <v>3119</v>
      </c>
      <c r="D14" s="2957" t="s">
        <v>3222</v>
      </c>
      <c r="E14" s="2957" t="s">
        <v>1321</v>
      </c>
      <c r="F14" s="2957" t="s">
        <v>3221</v>
      </c>
      <c r="G14" s="2957" t="s">
        <v>3121</v>
      </c>
      <c r="H14" s="2957" t="s">
        <v>3223</v>
      </c>
      <c r="I14" s="2957" t="s">
        <v>3224</v>
      </c>
      <c r="J14" s="2957">
        <v>2865.2</v>
      </c>
      <c r="K14" s="2957">
        <v>1146.08</v>
      </c>
      <c r="L14" s="2957" t="s">
        <v>3225</v>
      </c>
      <c r="M14" s="2957" t="s">
        <v>1321</v>
      </c>
      <c r="N14" s="2957" t="s">
        <v>3190</v>
      </c>
      <c r="O14" s="2957" t="s">
        <v>3226</v>
      </c>
      <c r="P14" s="2957" t="s">
        <v>1321</v>
      </c>
      <c r="Q14" s="2957" t="s">
        <v>1321</v>
      </c>
      <c r="R14" s="2957" t="s">
        <v>1321</v>
      </c>
      <c r="S14" s="2957" t="s">
        <v>1321</v>
      </c>
      <c r="T14" s="2957" t="s">
        <v>1321</v>
      </c>
      <c r="U14" s="2957" t="s">
        <v>1321</v>
      </c>
      <c r="V14" s="2957" t="s">
        <v>1321</v>
      </c>
      <c r="W14" s="2957" t="s">
        <v>3227</v>
      </c>
      <c r="X14" s="2957" t="s">
        <v>3228</v>
      </c>
      <c r="Y14" s="2957" t="s">
        <v>3229</v>
      </c>
      <c r="Z14" s="2957" t="s">
        <v>3230</v>
      </c>
      <c r="AA14" s="2957" t="s">
        <v>3230</v>
      </c>
      <c r="AB14" s="2957" t="s">
        <v>3231</v>
      </c>
      <c r="AC14" s="2957" t="s">
        <v>3132</v>
      </c>
      <c r="AD14" s="2957" t="s">
        <v>3232</v>
      </c>
      <c r="AE14" s="2957">
        <v>623</v>
      </c>
      <c r="AF14" s="2957">
        <v>1038.3399999999999</v>
      </c>
      <c r="AG14" s="2957">
        <v>1150</v>
      </c>
      <c r="AH14" s="2957">
        <v>241.6</v>
      </c>
      <c r="AI14" s="2957">
        <v>267.58</v>
      </c>
      <c r="AJ14" s="2957">
        <v>9060.01</v>
      </c>
      <c r="AK14" s="2957">
        <v>10034.200000000001</v>
      </c>
      <c r="AL14" s="2957" t="s">
        <v>1321</v>
      </c>
      <c r="AM14" s="2957" t="s">
        <v>1321</v>
      </c>
      <c r="AN14" s="2957">
        <v>10.75</v>
      </c>
      <c r="AO14" s="2957" t="s">
        <v>3134</v>
      </c>
      <c r="AP14" s="2957" t="s">
        <v>1321</v>
      </c>
      <c r="AQ14" s="2957" t="s">
        <v>1321</v>
      </c>
      <c r="AR14" s="2957" t="s">
        <v>1321</v>
      </c>
      <c r="AS14" s="2957" t="s">
        <v>3147</v>
      </c>
      <c r="AT14" s="2957">
        <f t="shared" si="0"/>
        <v>4013.6814184001119</v>
      </c>
    </row>
    <row r="15" spans="1:46">
      <c r="A15" s="1634" t="s">
        <v>3233</v>
      </c>
      <c r="B15" s="1634" t="s">
        <v>3118</v>
      </c>
      <c r="C15" s="1634" t="s">
        <v>3119</v>
      </c>
      <c r="D15" s="1634" t="s">
        <v>3222</v>
      </c>
      <c r="E15" s="1634" t="s">
        <v>1321</v>
      </c>
      <c r="F15" s="1634" t="s">
        <v>3233</v>
      </c>
      <c r="G15" s="1634" t="s">
        <v>3121</v>
      </c>
      <c r="H15" s="1634" t="s">
        <v>3234</v>
      </c>
      <c r="I15" s="1634" t="s">
        <v>3235</v>
      </c>
      <c r="J15" s="1634">
        <v>8481.24</v>
      </c>
      <c r="K15" s="1634">
        <v>5597.62</v>
      </c>
      <c r="L15" s="1634" t="s">
        <v>3236</v>
      </c>
      <c r="M15" s="1634" t="s">
        <v>1321</v>
      </c>
      <c r="N15" s="1634" t="s">
        <v>3217</v>
      </c>
      <c r="O15" s="1634" t="s">
        <v>3226</v>
      </c>
      <c r="P15" s="1634" t="s">
        <v>1321</v>
      </c>
      <c r="Q15" s="1634" t="s">
        <v>1321</v>
      </c>
      <c r="R15" s="1634" t="s">
        <v>1321</v>
      </c>
      <c r="S15" s="1634" t="s">
        <v>1321</v>
      </c>
      <c r="T15" s="1634" t="s">
        <v>1321</v>
      </c>
      <c r="U15" s="1634" t="s">
        <v>1321</v>
      </c>
      <c r="V15" s="1634" t="s">
        <v>1321</v>
      </c>
      <c r="W15" s="1634" t="s">
        <v>3227</v>
      </c>
      <c r="X15" s="1634" t="s">
        <v>3228</v>
      </c>
      <c r="Y15" s="1634" t="s">
        <v>3237</v>
      </c>
      <c r="Z15" s="1634" t="s">
        <v>3238</v>
      </c>
      <c r="AA15" s="1634" t="s">
        <v>3238</v>
      </c>
      <c r="AB15" s="1634" t="s">
        <v>3239</v>
      </c>
      <c r="AC15" s="1634" t="s">
        <v>3132</v>
      </c>
      <c r="AD15" s="1634" t="s">
        <v>3240</v>
      </c>
      <c r="AE15" s="1634">
        <v>2467</v>
      </c>
      <c r="AF15" s="1634">
        <v>4110.8500000000004</v>
      </c>
      <c r="AG15" s="1634">
        <v>4350</v>
      </c>
      <c r="AH15" s="1634">
        <v>323.13</v>
      </c>
      <c r="AI15" s="1634">
        <v>341.93</v>
      </c>
      <c r="AJ15" s="1634">
        <v>7343.94</v>
      </c>
      <c r="AK15" s="1634">
        <v>7771.15</v>
      </c>
      <c r="AL15" s="1634" t="s">
        <v>1321</v>
      </c>
      <c r="AM15" s="1634" t="s">
        <v>1321</v>
      </c>
      <c r="AN15" s="1634">
        <v>5.82</v>
      </c>
      <c r="AO15" s="1634" t="s">
        <v>3134</v>
      </c>
      <c r="AP15" s="1634" t="s">
        <v>1321</v>
      </c>
      <c r="AQ15" s="1634" t="s">
        <v>1321</v>
      </c>
      <c r="AR15" s="1634" t="s">
        <v>1321</v>
      </c>
      <c r="AS15" s="1634" t="s">
        <v>3147</v>
      </c>
      <c r="AT15" s="1634">
        <f t="shared" si="0"/>
        <v>5128.9669906758918</v>
      </c>
    </row>
    <row r="16" spans="1:46">
      <c r="A16" s="1634" t="s">
        <v>3241</v>
      </c>
      <c r="B16" s="1634" t="s">
        <v>3118</v>
      </c>
      <c r="C16" s="1634" t="s">
        <v>3119</v>
      </c>
      <c r="D16" s="1634" t="s">
        <v>3120</v>
      </c>
      <c r="E16" s="1634" t="s">
        <v>1321</v>
      </c>
      <c r="F16" s="1634" t="s">
        <v>3241</v>
      </c>
      <c r="G16" s="1634" t="s">
        <v>3121</v>
      </c>
      <c r="H16" s="1634" t="s">
        <v>3242</v>
      </c>
      <c r="I16" s="1634" t="s">
        <v>3123</v>
      </c>
      <c r="J16" s="1634">
        <v>13561.47</v>
      </c>
      <c r="K16" s="1634">
        <v>37972.120000000003</v>
      </c>
      <c r="L16" s="1634" t="s">
        <v>3243</v>
      </c>
      <c r="M16" s="1634" t="s">
        <v>1321</v>
      </c>
      <c r="N16" s="1634" t="s">
        <v>3244</v>
      </c>
      <c r="O16" s="1634" t="s">
        <v>3245</v>
      </c>
      <c r="P16" s="1634" t="s">
        <v>1321</v>
      </c>
      <c r="Q16" s="1634" t="s">
        <v>1321</v>
      </c>
      <c r="R16" s="1634" t="s">
        <v>1321</v>
      </c>
      <c r="S16" s="1634" t="s">
        <v>1321</v>
      </c>
      <c r="T16" s="1634" t="s">
        <v>1321</v>
      </c>
      <c r="U16" s="1634" t="s">
        <v>1321</v>
      </c>
      <c r="V16" s="1634" t="s">
        <v>1321</v>
      </c>
      <c r="W16" s="1634" t="s">
        <v>3227</v>
      </c>
      <c r="X16" s="1634" t="s">
        <v>3228</v>
      </c>
      <c r="Y16" s="1634" t="s">
        <v>3237</v>
      </c>
      <c r="Z16" s="1634" t="s">
        <v>3238</v>
      </c>
      <c r="AA16" s="1634" t="s">
        <v>3238</v>
      </c>
      <c r="AB16" s="1634" t="s">
        <v>3246</v>
      </c>
      <c r="AC16" s="1634" t="s">
        <v>3132</v>
      </c>
      <c r="AD16" s="1634" t="s">
        <v>3247</v>
      </c>
      <c r="AE16" s="1634">
        <v>28553</v>
      </c>
      <c r="AF16" s="1634">
        <v>18901.97</v>
      </c>
      <c r="AG16" s="1634">
        <v>19072</v>
      </c>
      <c r="AH16" s="1634">
        <v>929.2</v>
      </c>
      <c r="AI16" s="1634">
        <v>937.56</v>
      </c>
      <c r="AJ16" s="1634">
        <v>4977.8500000000004</v>
      </c>
      <c r="AK16" s="1634">
        <v>5022.63</v>
      </c>
      <c r="AL16" s="1634" t="s">
        <v>1321</v>
      </c>
      <c r="AM16" s="1634" t="s">
        <v>1321</v>
      </c>
      <c r="AN16" s="1634">
        <v>0.9</v>
      </c>
      <c r="AO16" s="1634" t="s">
        <v>3134</v>
      </c>
      <c r="AP16" s="1634" t="s">
        <v>1321</v>
      </c>
      <c r="AQ16" s="1634" t="s">
        <v>1321</v>
      </c>
      <c r="AR16" s="1634" t="s">
        <v>1321</v>
      </c>
      <c r="AS16" s="1634" t="s">
        <v>3135</v>
      </c>
      <c r="AT16" s="1634">
        <f t="shared" si="0"/>
        <v>14063.372186053577</v>
      </c>
    </row>
    <row r="17" spans="1:46">
      <c r="A17" s="1634" t="s">
        <v>3248</v>
      </c>
      <c r="B17" s="1634" t="s">
        <v>3118</v>
      </c>
      <c r="C17" s="1634" t="s">
        <v>3119</v>
      </c>
      <c r="D17" s="1634" t="s">
        <v>3120</v>
      </c>
      <c r="E17" s="1634" t="s">
        <v>1321</v>
      </c>
      <c r="F17" s="1634" t="s">
        <v>3248</v>
      </c>
      <c r="G17" s="1634" t="s">
        <v>3121</v>
      </c>
      <c r="H17" s="1634" t="s">
        <v>3242</v>
      </c>
      <c r="I17" s="1634" t="s">
        <v>3123</v>
      </c>
      <c r="J17" s="1634">
        <v>6643.77</v>
      </c>
      <c r="K17" s="1634">
        <v>18602.560000000001</v>
      </c>
      <c r="L17" s="1634" t="s">
        <v>3243</v>
      </c>
      <c r="M17" s="1634" t="s">
        <v>1321</v>
      </c>
      <c r="N17" s="1634" t="s">
        <v>3244</v>
      </c>
      <c r="O17" s="1634" t="s">
        <v>3245</v>
      </c>
      <c r="P17" s="1634" t="s">
        <v>1321</v>
      </c>
      <c r="Q17" s="1634" t="s">
        <v>1321</v>
      </c>
      <c r="R17" s="1634" t="s">
        <v>1321</v>
      </c>
      <c r="S17" s="1634" t="s">
        <v>1321</v>
      </c>
      <c r="T17" s="1634" t="s">
        <v>1321</v>
      </c>
      <c r="U17" s="1634" t="s">
        <v>1321</v>
      </c>
      <c r="V17" s="1634" t="s">
        <v>1321</v>
      </c>
      <c r="W17" s="1634" t="s">
        <v>3227</v>
      </c>
      <c r="X17" s="1634" t="s">
        <v>3228</v>
      </c>
      <c r="Y17" s="1634" t="s">
        <v>3237</v>
      </c>
      <c r="Z17" s="1634" t="s">
        <v>3238</v>
      </c>
      <c r="AA17" s="1634" t="s">
        <v>3238</v>
      </c>
      <c r="AB17" s="1634" t="s">
        <v>3249</v>
      </c>
      <c r="AC17" s="1634" t="s">
        <v>3132</v>
      </c>
      <c r="AD17" s="1634" t="s">
        <v>3247</v>
      </c>
      <c r="AE17" s="1634">
        <v>28553</v>
      </c>
      <c r="AF17" s="1634">
        <v>9262.07</v>
      </c>
      <c r="AG17" s="1634">
        <v>9433</v>
      </c>
      <c r="AH17" s="1634">
        <v>929.4</v>
      </c>
      <c r="AI17" s="1634">
        <v>946.55</v>
      </c>
      <c r="AJ17" s="1634">
        <v>4978.92</v>
      </c>
      <c r="AK17" s="1634">
        <v>5070.8100000000004</v>
      </c>
      <c r="AL17" s="1634" t="s">
        <v>1321</v>
      </c>
      <c r="AM17" s="1634" t="s">
        <v>1321</v>
      </c>
      <c r="AN17" s="1634">
        <v>1.85</v>
      </c>
      <c r="AO17" s="1634" t="s">
        <v>3134</v>
      </c>
      <c r="AP17" s="1634" t="s">
        <v>1321</v>
      </c>
      <c r="AQ17" s="1634" t="s">
        <v>1321</v>
      </c>
      <c r="AR17" s="1634" t="s">
        <v>1321</v>
      </c>
      <c r="AS17" s="1634" t="s">
        <v>3135</v>
      </c>
      <c r="AT17" s="1634">
        <f t="shared" si="0"/>
        <v>14198.263937493321</v>
      </c>
    </row>
    <row r="18" spans="1:46">
      <c r="A18" s="1634" t="s">
        <v>3250</v>
      </c>
      <c r="B18" s="1634" t="s">
        <v>3118</v>
      </c>
      <c r="C18" s="1634" t="s">
        <v>3119</v>
      </c>
      <c r="D18" s="1634" t="s">
        <v>3120</v>
      </c>
      <c r="E18" s="1634" t="s">
        <v>1321</v>
      </c>
      <c r="F18" s="1634" t="s">
        <v>3250</v>
      </c>
      <c r="G18" s="1634" t="s">
        <v>3121</v>
      </c>
      <c r="H18" s="1634" t="s">
        <v>3242</v>
      </c>
      <c r="I18" s="1634" t="s">
        <v>3123</v>
      </c>
      <c r="J18" s="1634">
        <v>11719.46</v>
      </c>
      <c r="K18" s="1634">
        <v>42190.06</v>
      </c>
      <c r="L18" s="1634" t="s">
        <v>3251</v>
      </c>
      <c r="M18" s="1634" t="s">
        <v>1321</v>
      </c>
      <c r="N18" s="1634" t="s">
        <v>1321</v>
      </c>
      <c r="O18" s="1634" t="s">
        <v>3252</v>
      </c>
      <c r="P18" s="1634" t="s">
        <v>1321</v>
      </c>
      <c r="Q18" s="1634" t="s">
        <v>1321</v>
      </c>
      <c r="R18" s="1634" t="s">
        <v>1321</v>
      </c>
      <c r="S18" s="1634" t="s">
        <v>1321</v>
      </c>
      <c r="T18" s="1634" t="s">
        <v>1321</v>
      </c>
      <c r="U18" s="1634" t="s">
        <v>1321</v>
      </c>
      <c r="V18" s="1634" t="s">
        <v>1321</v>
      </c>
      <c r="W18" s="1634" t="s">
        <v>3227</v>
      </c>
      <c r="X18" s="1634" t="s">
        <v>3228</v>
      </c>
      <c r="Y18" s="1634" t="s">
        <v>3237</v>
      </c>
      <c r="Z18" s="1634" t="s">
        <v>3238</v>
      </c>
      <c r="AA18" s="1634" t="s">
        <v>3238</v>
      </c>
      <c r="AB18" s="1634" t="s">
        <v>3253</v>
      </c>
      <c r="AC18" s="1634" t="s">
        <v>3132</v>
      </c>
      <c r="AD18" s="1634" t="s">
        <v>3247</v>
      </c>
      <c r="AE18" s="1634">
        <v>28553</v>
      </c>
      <c r="AF18" s="1634">
        <v>19423.830000000002</v>
      </c>
      <c r="AG18" s="1634">
        <v>19595</v>
      </c>
      <c r="AH18" s="1634">
        <v>1104.93</v>
      </c>
      <c r="AI18" s="1634">
        <v>1114.67</v>
      </c>
      <c r="AJ18" s="1634">
        <v>4603.88</v>
      </c>
      <c r="AK18" s="1634">
        <v>4644.46</v>
      </c>
      <c r="AL18" s="1634" t="s">
        <v>1321</v>
      </c>
      <c r="AM18" s="1634" t="s">
        <v>1321</v>
      </c>
      <c r="AN18" s="1634">
        <v>0.88</v>
      </c>
      <c r="AO18" s="1634" t="s">
        <v>3134</v>
      </c>
      <c r="AP18" s="1634" t="s">
        <v>1321</v>
      </c>
      <c r="AQ18" s="1634" t="s">
        <v>1321</v>
      </c>
      <c r="AR18" s="1634" t="s">
        <v>1321</v>
      </c>
      <c r="AS18" s="1634" t="s">
        <v>3135</v>
      </c>
      <c r="AT18" s="1634">
        <f t="shared" si="0"/>
        <v>16720.053654349264</v>
      </c>
    </row>
    <row r="19" spans="1:46">
      <c r="A19" s="1634" t="s">
        <v>3254</v>
      </c>
      <c r="B19" s="1634" t="s">
        <v>3118</v>
      </c>
      <c r="C19" s="1634" t="s">
        <v>3119</v>
      </c>
      <c r="D19" s="1634" t="s">
        <v>3255</v>
      </c>
      <c r="E19" s="1634" t="s">
        <v>1321</v>
      </c>
      <c r="F19" s="1634" t="s">
        <v>3254</v>
      </c>
      <c r="G19" s="1634" t="s">
        <v>3121</v>
      </c>
      <c r="H19" s="1634" t="s">
        <v>3256</v>
      </c>
      <c r="I19" s="1634" t="s">
        <v>3235</v>
      </c>
      <c r="J19" s="1634">
        <v>8679.57</v>
      </c>
      <c r="K19" s="1634">
        <v>11283.44</v>
      </c>
      <c r="L19" s="1634" t="s">
        <v>3257</v>
      </c>
      <c r="M19" s="1634" t="s">
        <v>1321</v>
      </c>
      <c r="N19" s="1634" t="s">
        <v>3190</v>
      </c>
      <c r="O19" s="1634" t="s">
        <v>3258</v>
      </c>
      <c r="P19" s="1634" t="s">
        <v>1321</v>
      </c>
      <c r="Q19" s="1634" t="s">
        <v>1321</v>
      </c>
      <c r="R19" s="1634" t="s">
        <v>1321</v>
      </c>
      <c r="S19" s="1634" t="s">
        <v>1321</v>
      </c>
      <c r="T19" s="1634" t="s">
        <v>1321</v>
      </c>
      <c r="U19" s="1634" t="s">
        <v>1321</v>
      </c>
      <c r="V19" s="1634" t="s">
        <v>1321</v>
      </c>
      <c r="W19" s="1634" t="s">
        <v>3227</v>
      </c>
      <c r="X19" s="1634" t="s">
        <v>3259</v>
      </c>
      <c r="Y19" s="1634" t="s">
        <v>3260</v>
      </c>
      <c r="Z19" s="1634" t="s">
        <v>3261</v>
      </c>
      <c r="AA19" s="1634" t="s">
        <v>3261</v>
      </c>
      <c r="AB19" s="1634" t="s">
        <v>3262</v>
      </c>
      <c r="AC19" s="1634" t="s">
        <v>3132</v>
      </c>
      <c r="AD19" s="1634" t="s">
        <v>3263</v>
      </c>
      <c r="AE19" s="1634">
        <v>2170</v>
      </c>
      <c r="AF19" s="1634" t="s">
        <v>1321</v>
      </c>
      <c r="AG19" s="1634">
        <v>3820</v>
      </c>
      <c r="AH19" s="1634" t="s">
        <v>1321</v>
      </c>
      <c r="AI19" s="1634">
        <v>293.41000000000003</v>
      </c>
      <c r="AJ19" s="1634" t="s">
        <v>1321</v>
      </c>
      <c r="AK19" s="1634">
        <v>3385.48</v>
      </c>
      <c r="AL19" s="1634" t="s">
        <v>1321</v>
      </c>
      <c r="AM19" s="1634" t="s">
        <v>1321</v>
      </c>
      <c r="AN19" s="1634" t="s">
        <v>1321</v>
      </c>
      <c r="AO19" s="1634" t="s">
        <v>3134</v>
      </c>
      <c r="AP19" s="1634" t="s">
        <v>1321</v>
      </c>
      <c r="AQ19" s="1634" t="s">
        <v>1321</v>
      </c>
      <c r="AR19" s="1634" t="s">
        <v>1321</v>
      </c>
      <c r="AS19" s="1634" t="s">
        <v>3264</v>
      </c>
      <c r="AT19" s="1634">
        <f t="shared" si="0"/>
        <v>4401.139687795594</v>
      </c>
    </row>
    <row r="20" spans="1:46">
      <c r="A20" s="1634" t="s">
        <v>3265</v>
      </c>
      <c r="B20" s="1634" t="s">
        <v>3118</v>
      </c>
      <c r="C20" s="1634" t="s">
        <v>3119</v>
      </c>
      <c r="D20" s="1634" t="s">
        <v>3255</v>
      </c>
      <c r="E20" s="1634" t="s">
        <v>1321</v>
      </c>
      <c r="F20" s="1634" t="s">
        <v>3265</v>
      </c>
      <c r="G20" s="1634" t="s">
        <v>3121</v>
      </c>
      <c r="H20" s="1634" t="s">
        <v>3266</v>
      </c>
      <c r="I20" s="1634" t="s">
        <v>3224</v>
      </c>
      <c r="J20" s="1634">
        <v>103410</v>
      </c>
      <c r="K20" s="1634">
        <v>56875.49</v>
      </c>
      <c r="L20" s="1634" t="s">
        <v>3267</v>
      </c>
      <c r="M20" s="1634" t="s">
        <v>1321</v>
      </c>
      <c r="N20" s="1634" t="s">
        <v>3190</v>
      </c>
      <c r="O20" s="1634" t="s">
        <v>3268</v>
      </c>
      <c r="P20" s="1634" t="s">
        <v>1321</v>
      </c>
      <c r="Q20" s="1634" t="s">
        <v>1321</v>
      </c>
      <c r="R20" s="1634" t="s">
        <v>1321</v>
      </c>
      <c r="S20" s="1634" t="s">
        <v>1321</v>
      </c>
      <c r="T20" s="1634" t="s">
        <v>1321</v>
      </c>
      <c r="U20" s="1634" t="s">
        <v>1321</v>
      </c>
      <c r="V20" s="1634" t="s">
        <v>1321</v>
      </c>
      <c r="W20" s="1634" t="s">
        <v>3227</v>
      </c>
      <c r="X20" s="1634" t="s">
        <v>3269</v>
      </c>
      <c r="Y20" s="1634" t="s">
        <v>3270</v>
      </c>
      <c r="Z20" s="1634" t="s">
        <v>3259</v>
      </c>
      <c r="AA20" s="1634" t="s">
        <v>3259</v>
      </c>
      <c r="AB20" s="1634" t="s">
        <v>3271</v>
      </c>
      <c r="AC20" s="1634" t="s">
        <v>3132</v>
      </c>
      <c r="AD20" s="1634" t="s">
        <v>3272</v>
      </c>
      <c r="AE20" s="1634">
        <v>12676</v>
      </c>
      <c r="AF20" s="1634">
        <v>21126.65</v>
      </c>
      <c r="AG20" s="1634">
        <v>22220</v>
      </c>
      <c r="AH20" s="1634">
        <v>136.19999999999999</v>
      </c>
      <c r="AI20" s="1634">
        <v>143.25</v>
      </c>
      <c r="AJ20" s="1634">
        <v>3714.54</v>
      </c>
      <c r="AK20" s="1634">
        <v>3906.78</v>
      </c>
      <c r="AL20" s="1634" t="s">
        <v>1321</v>
      </c>
      <c r="AM20" s="1634" t="s">
        <v>1321</v>
      </c>
      <c r="AN20" s="1634">
        <v>5.18</v>
      </c>
      <c r="AO20" s="1634" t="s">
        <v>3134</v>
      </c>
      <c r="AP20" s="1634" t="s">
        <v>1321</v>
      </c>
      <c r="AQ20" s="1634" t="s">
        <v>1321</v>
      </c>
      <c r="AR20" s="1634" t="s">
        <v>1321</v>
      </c>
      <c r="AS20" s="1634" t="s">
        <v>3156</v>
      </c>
      <c r="AT20" s="1634">
        <f t="shared" si="0"/>
        <v>2148.7283628275795</v>
      </c>
    </row>
    <row r="21" spans="1:46" s="2957" customFormat="1">
      <c r="A21" s="2957" t="s">
        <v>3273</v>
      </c>
      <c r="B21" s="2957" t="s">
        <v>3118</v>
      </c>
      <c r="C21" s="2957" t="s">
        <v>3119</v>
      </c>
      <c r="D21" s="2957" t="s">
        <v>3255</v>
      </c>
      <c r="E21" s="2957" t="s">
        <v>1321</v>
      </c>
      <c r="F21" s="2957" t="s">
        <v>3273</v>
      </c>
      <c r="G21" s="2957" t="s">
        <v>3121</v>
      </c>
      <c r="H21" s="2957" t="s">
        <v>3274</v>
      </c>
      <c r="I21" s="2957" t="s">
        <v>3275</v>
      </c>
      <c r="J21" s="2957">
        <v>66057.919999999998</v>
      </c>
      <c r="K21" s="2957">
        <v>36331.86</v>
      </c>
      <c r="L21" s="2957" t="s">
        <v>3267</v>
      </c>
      <c r="M21" s="2957" t="s">
        <v>1321</v>
      </c>
      <c r="N21" s="2957" t="s">
        <v>3217</v>
      </c>
      <c r="O21" s="2957" t="s">
        <v>3191</v>
      </c>
      <c r="P21" s="2957" t="s">
        <v>1321</v>
      </c>
      <c r="Q21" s="2957" t="s">
        <v>1321</v>
      </c>
      <c r="R21" s="2957" t="s">
        <v>1321</v>
      </c>
      <c r="S21" s="2957" t="s">
        <v>1321</v>
      </c>
      <c r="T21" s="2957" t="s">
        <v>1321</v>
      </c>
      <c r="U21" s="2957" t="s">
        <v>1321</v>
      </c>
      <c r="V21" s="2957" t="s">
        <v>1321</v>
      </c>
      <c r="W21" s="2957" t="s">
        <v>3227</v>
      </c>
      <c r="X21" s="2957" t="s">
        <v>3269</v>
      </c>
      <c r="Y21" s="2957" t="s">
        <v>3270</v>
      </c>
      <c r="Z21" s="2957" t="s">
        <v>3259</v>
      </c>
      <c r="AA21" s="2957" t="s">
        <v>3259</v>
      </c>
      <c r="AB21" s="2957" t="s">
        <v>3276</v>
      </c>
      <c r="AC21" s="2957" t="s">
        <v>3132</v>
      </c>
      <c r="AD21" s="2957" t="s">
        <v>3277</v>
      </c>
      <c r="AE21" s="2957">
        <v>15062</v>
      </c>
      <c r="AF21" s="2957">
        <v>25102</v>
      </c>
      <c r="AG21" s="2957">
        <v>27120</v>
      </c>
      <c r="AH21" s="2957">
        <v>253.33</v>
      </c>
      <c r="AI21" s="2957">
        <v>273.7</v>
      </c>
      <c r="AJ21" s="2957">
        <v>6909.09</v>
      </c>
      <c r="AK21" s="2957">
        <v>7464.52</v>
      </c>
      <c r="AL21" s="2957" t="s">
        <v>1321</v>
      </c>
      <c r="AM21" s="2957" t="s">
        <v>1321</v>
      </c>
      <c r="AN21" s="2957">
        <v>8.0399999999999991</v>
      </c>
      <c r="AO21" s="2957" t="s">
        <v>3134</v>
      </c>
      <c r="AP21" s="2957" t="s">
        <v>1321</v>
      </c>
      <c r="AQ21" s="2957" t="s">
        <v>1321</v>
      </c>
      <c r="AR21" s="2957" t="s">
        <v>1321</v>
      </c>
      <c r="AS21" s="2957" t="s">
        <v>3156</v>
      </c>
      <c r="AT21" s="2957">
        <f t="shared" si="0"/>
        <v>4105.4880323207271</v>
      </c>
    </row>
    <row r="22" spans="1:46">
      <c r="A22" s="1634" t="s">
        <v>3278</v>
      </c>
      <c r="B22" s="1634" t="s">
        <v>3118</v>
      </c>
      <c r="C22" s="1634" t="s">
        <v>3119</v>
      </c>
      <c r="D22" s="1634" t="s">
        <v>3222</v>
      </c>
      <c r="E22" s="1634" t="s">
        <v>1321</v>
      </c>
      <c r="F22" s="1634" t="s">
        <v>3278</v>
      </c>
      <c r="G22" s="1634" t="s">
        <v>3121</v>
      </c>
      <c r="H22" s="1634" t="s">
        <v>3279</v>
      </c>
      <c r="I22" s="1634" t="s">
        <v>3235</v>
      </c>
      <c r="J22" s="1634">
        <v>74514.399999999994</v>
      </c>
      <c r="K22" s="1634">
        <v>89417.279999999999</v>
      </c>
      <c r="L22" s="1634" t="s">
        <v>3280</v>
      </c>
      <c r="M22" s="1634" t="s">
        <v>1321</v>
      </c>
      <c r="N22" s="1634" t="s">
        <v>3217</v>
      </c>
      <c r="O22" s="1634" t="s">
        <v>3218</v>
      </c>
      <c r="P22" s="1634" t="s">
        <v>1321</v>
      </c>
      <c r="Q22" s="1634" t="s">
        <v>1321</v>
      </c>
      <c r="R22" s="1634" t="s">
        <v>1321</v>
      </c>
      <c r="S22" s="1634" t="s">
        <v>1321</v>
      </c>
      <c r="T22" s="1634" t="s">
        <v>1321</v>
      </c>
      <c r="U22" s="1634" t="s">
        <v>1321</v>
      </c>
      <c r="V22" s="1634" t="s">
        <v>1321</v>
      </c>
      <c r="W22" s="1634" t="s">
        <v>3227</v>
      </c>
      <c r="X22" s="1634" t="s">
        <v>3281</v>
      </c>
      <c r="Y22" s="1634" t="s">
        <v>3282</v>
      </c>
      <c r="Z22" s="1634" t="s">
        <v>3283</v>
      </c>
      <c r="AA22" s="1634" t="s">
        <v>3283</v>
      </c>
      <c r="AB22" s="1634" t="s">
        <v>3284</v>
      </c>
      <c r="AC22" s="1634" t="s">
        <v>3132</v>
      </c>
      <c r="AD22" s="1634" t="s">
        <v>3285</v>
      </c>
      <c r="AE22" s="1634">
        <v>44258</v>
      </c>
      <c r="AF22" s="1634">
        <v>61459.48</v>
      </c>
      <c r="AG22" s="1634">
        <v>63949</v>
      </c>
      <c r="AH22" s="1634">
        <v>549.87</v>
      </c>
      <c r="AI22" s="1634">
        <v>572.14</v>
      </c>
      <c r="AJ22" s="1634">
        <v>6873.33</v>
      </c>
      <c r="AK22" s="1634">
        <v>7151.75</v>
      </c>
      <c r="AL22" s="1634" t="s">
        <v>1321</v>
      </c>
      <c r="AM22" s="1634" t="s">
        <v>1321</v>
      </c>
      <c r="AN22" s="1634">
        <v>4.05</v>
      </c>
      <c r="AO22" s="1634" t="s">
        <v>3134</v>
      </c>
      <c r="AP22" s="1634" t="s">
        <v>1321</v>
      </c>
      <c r="AQ22" s="1634" t="s">
        <v>1321</v>
      </c>
      <c r="AR22" s="1634" t="s">
        <v>1321</v>
      </c>
      <c r="AS22" s="1634" t="s">
        <v>3147</v>
      </c>
      <c r="AT22" s="1634">
        <f t="shared" si="0"/>
        <v>8582.0995673319521</v>
      </c>
    </row>
    <row r="23" spans="1:46">
      <c r="A23" s="1634" t="s">
        <v>3286</v>
      </c>
      <c r="B23" s="1634" t="s">
        <v>3118</v>
      </c>
      <c r="C23" s="1634" t="s">
        <v>3119</v>
      </c>
      <c r="D23" s="1634" t="s">
        <v>3120</v>
      </c>
      <c r="E23" s="1634" t="s">
        <v>1321</v>
      </c>
      <c r="F23" s="1634" t="s">
        <v>3286</v>
      </c>
      <c r="G23" s="1634" t="s">
        <v>3121</v>
      </c>
      <c r="H23" s="1634" t="s">
        <v>3287</v>
      </c>
      <c r="I23" s="1634" t="s">
        <v>3235</v>
      </c>
      <c r="J23" s="1634">
        <v>5039.78</v>
      </c>
      <c r="K23" s="1634">
        <v>15068.94</v>
      </c>
      <c r="L23" s="1634" t="s">
        <v>3288</v>
      </c>
      <c r="M23" s="1634" t="s">
        <v>1321</v>
      </c>
      <c r="N23" s="1634" t="s">
        <v>3244</v>
      </c>
      <c r="O23" s="1634" t="s">
        <v>3245</v>
      </c>
      <c r="P23" s="1634" t="s">
        <v>1321</v>
      </c>
      <c r="Q23" s="1634" t="s">
        <v>1321</v>
      </c>
      <c r="R23" s="1634" t="s">
        <v>1321</v>
      </c>
      <c r="S23" s="1634" t="s">
        <v>1321</v>
      </c>
      <c r="T23" s="1634" t="s">
        <v>1321</v>
      </c>
      <c r="U23" s="1634" t="s">
        <v>1321</v>
      </c>
      <c r="V23" s="1634" t="s">
        <v>1321</v>
      </c>
      <c r="W23" s="1634" t="s">
        <v>3227</v>
      </c>
      <c r="X23" s="1634" t="s">
        <v>3289</v>
      </c>
      <c r="Y23" s="1634" t="s">
        <v>3290</v>
      </c>
      <c r="Z23" s="1634" t="s">
        <v>3291</v>
      </c>
      <c r="AA23" s="1634" t="s">
        <v>3291</v>
      </c>
      <c r="AB23" s="1634" t="s">
        <v>3292</v>
      </c>
      <c r="AC23" s="1634" t="s">
        <v>3132</v>
      </c>
      <c r="AD23" s="1634" t="s">
        <v>3293</v>
      </c>
      <c r="AE23" s="1634">
        <v>7449</v>
      </c>
      <c r="AF23" s="1634">
        <v>7449</v>
      </c>
      <c r="AG23" s="1634">
        <v>8950</v>
      </c>
      <c r="AH23" s="1634">
        <v>985.36</v>
      </c>
      <c r="AI23" s="1634">
        <v>1183.9100000000001</v>
      </c>
      <c r="AJ23" s="1634">
        <v>4943.28</v>
      </c>
      <c r="AK23" s="1634">
        <v>5939.36</v>
      </c>
      <c r="AL23" s="1634" t="s">
        <v>1321</v>
      </c>
      <c r="AM23" s="1634" t="s">
        <v>1321</v>
      </c>
      <c r="AN23" s="1634">
        <v>20.149999999999999</v>
      </c>
      <c r="AO23" s="1634" t="s">
        <v>3134</v>
      </c>
      <c r="AP23" s="1634" t="s">
        <v>1321</v>
      </c>
      <c r="AQ23" s="1634" t="s">
        <v>1321</v>
      </c>
      <c r="AR23" s="1634" t="s">
        <v>1321</v>
      </c>
      <c r="AS23" s="1634" t="s">
        <v>3135</v>
      </c>
      <c r="AT23" s="1634">
        <f t="shared" si="0"/>
        <v>17758.711689795986</v>
      </c>
    </row>
    <row r="24" spans="1:46">
      <c r="A24" s="1634" t="s">
        <v>3294</v>
      </c>
      <c r="B24" s="1634" t="s">
        <v>3118</v>
      </c>
      <c r="C24" s="1634" t="s">
        <v>3119</v>
      </c>
      <c r="D24" s="1634" t="s">
        <v>3222</v>
      </c>
      <c r="E24" s="1634" t="s">
        <v>1321</v>
      </c>
      <c r="F24" s="1634" t="s">
        <v>3294</v>
      </c>
      <c r="G24" s="1634" t="s">
        <v>3121</v>
      </c>
      <c r="H24" s="1634" t="s">
        <v>3295</v>
      </c>
      <c r="I24" s="1634" t="s">
        <v>3224</v>
      </c>
      <c r="J24" s="1634">
        <v>143540.9</v>
      </c>
      <c r="K24" s="1634">
        <v>100478.6</v>
      </c>
      <c r="L24" s="1634" t="s">
        <v>3296</v>
      </c>
      <c r="M24" s="1634" t="s">
        <v>1321</v>
      </c>
      <c r="N24" s="1634" t="s">
        <v>3244</v>
      </c>
      <c r="O24" s="1634" t="s">
        <v>3297</v>
      </c>
      <c r="P24" s="1634" t="s">
        <v>1321</v>
      </c>
      <c r="Q24" s="1634" t="s">
        <v>1321</v>
      </c>
      <c r="R24" s="1634" t="s">
        <v>1321</v>
      </c>
      <c r="S24" s="1634" t="s">
        <v>1321</v>
      </c>
      <c r="T24" s="1634" t="s">
        <v>1321</v>
      </c>
      <c r="U24" s="1634" t="s">
        <v>1321</v>
      </c>
      <c r="V24" s="1634" t="s">
        <v>1321</v>
      </c>
      <c r="W24" s="1634" t="s">
        <v>3227</v>
      </c>
      <c r="X24" s="1634" t="s">
        <v>3298</v>
      </c>
      <c r="Y24" s="1634" t="s">
        <v>3299</v>
      </c>
      <c r="Z24" s="1634" t="s">
        <v>3300</v>
      </c>
      <c r="AA24" s="1634" t="s">
        <v>3300</v>
      </c>
      <c r="AB24" s="1634" t="s">
        <v>3301</v>
      </c>
      <c r="AC24" s="1634" t="s">
        <v>3132</v>
      </c>
      <c r="AD24" s="1634" t="s">
        <v>3302</v>
      </c>
      <c r="AE24" s="1634">
        <v>49953</v>
      </c>
      <c r="AF24" s="1634" t="s">
        <v>1321</v>
      </c>
      <c r="AG24" s="1634">
        <v>84458</v>
      </c>
      <c r="AH24" s="1634" t="s">
        <v>1321</v>
      </c>
      <c r="AI24" s="1634">
        <v>392.26</v>
      </c>
      <c r="AJ24" s="1634" t="s">
        <v>1321</v>
      </c>
      <c r="AK24" s="1634">
        <v>8405.56</v>
      </c>
      <c r="AL24" s="1634" t="s">
        <v>1321</v>
      </c>
      <c r="AM24" s="1634" t="s">
        <v>1321</v>
      </c>
      <c r="AN24" s="1634" t="s">
        <v>1321</v>
      </c>
      <c r="AO24" s="1634" t="s">
        <v>3134</v>
      </c>
      <c r="AP24" s="1634" t="s">
        <v>1321</v>
      </c>
      <c r="AQ24" s="1634" t="s">
        <v>1321</v>
      </c>
      <c r="AR24" s="1634" t="s">
        <v>1321</v>
      </c>
      <c r="AS24" s="1634" t="s">
        <v>3147</v>
      </c>
      <c r="AT24" s="1634">
        <f t="shared" si="0"/>
        <v>5883.8978994837007</v>
      </c>
    </row>
    <row r="25" spans="1:46">
      <c r="A25" s="1634" t="s">
        <v>3303</v>
      </c>
      <c r="B25" s="1634" t="s">
        <v>3118</v>
      </c>
      <c r="C25" s="1634" t="s">
        <v>3119</v>
      </c>
      <c r="D25" s="1634" t="s">
        <v>3120</v>
      </c>
      <c r="E25" s="1634" t="s">
        <v>1321</v>
      </c>
      <c r="F25" s="1634" t="s">
        <v>3303</v>
      </c>
      <c r="G25" s="1634" t="s">
        <v>3121</v>
      </c>
      <c r="H25" s="1634" t="s">
        <v>3304</v>
      </c>
      <c r="I25" s="1634" t="s">
        <v>3275</v>
      </c>
      <c r="J25" s="1634">
        <v>3101.42</v>
      </c>
      <c r="K25" s="1634">
        <v>1240.57</v>
      </c>
      <c r="L25" s="1634" t="s">
        <v>3225</v>
      </c>
      <c r="M25" s="1634" t="s">
        <v>1321</v>
      </c>
      <c r="N25" s="1634" t="s">
        <v>3190</v>
      </c>
      <c r="O25" s="1634" t="s">
        <v>3305</v>
      </c>
      <c r="P25" s="1634" t="s">
        <v>1321</v>
      </c>
      <c r="Q25" s="1634" t="s">
        <v>1321</v>
      </c>
      <c r="R25" s="1634" t="s">
        <v>1321</v>
      </c>
      <c r="S25" s="1634" t="s">
        <v>1321</v>
      </c>
      <c r="T25" s="1634" t="s">
        <v>1321</v>
      </c>
      <c r="U25" s="1634" t="s">
        <v>1321</v>
      </c>
      <c r="V25" s="1634" t="s">
        <v>1321</v>
      </c>
      <c r="W25" s="1634" t="s">
        <v>3227</v>
      </c>
      <c r="X25" s="1634" t="s">
        <v>3306</v>
      </c>
      <c r="Y25" s="1634" t="s">
        <v>3307</v>
      </c>
      <c r="Z25" s="1634" t="s">
        <v>3308</v>
      </c>
      <c r="AA25" s="1634" t="s">
        <v>3308</v>
      </c>
      <c r="AB25" s="1634" t="s">
        <v>3309</v>
      </c>
      <c r="AC25" s="1634" t="s">
        <v>3132</v>
      </c>
      <c r="AD25" s="1634" t="s">
        <v>3310</v>
      </c>
      <c r="AE25" s="1634">
        <v>514</v>
      </c>
      <c r="AF25" s="1634" t="s">
        <v>1321</v>
      </c>
      <c r="AG25" s="1634">
        <v>4780</v>
      </c>
      <c r="AH25" s="1634" t="s">
        <v>1321</v>
      </c>
      <c r="AI25" s="1634">
        <v>1027.49</v>
      </c>
      <c r="AJ25" s="1634" t="s">
        <v>1321</v>
      </c>
      <c r="AK25" s="1634">
        <v>38530.68</v>
      </c>
      <c r="AL25" s="1634" t="s">
        <v>1321</v>
      </c>
      <c r="AM25" s="1634" t="s">
        <v>1321</v>
      </c>
      <c r="AN25" s="1634" t="s">
        <v>1321</v>
      </c>
      <c r="AO25" s="1634" t="s">
        <v>3134</v>
      </c>
      <c r="AP25" s="1634" t="s">
        <v>1321</v>
      </c>
      <c r="AQ25" s="1634" t="s">
        <v>1321</v>
      </c>
      <c r="AR25" s="1634" t="s">
        <v>1321</v>
      </c>
      <c r="AS25" s="1634" t="s">
        <v>3264</v>
      </c>
      <c r="AT25" s="1634">
        <f t="shared" si="0"/>
        <v>15412.295013251993</v>
      </c>
    </row>
    <row r="26" spans="1:46">
      <c r="A26" s="1634" t="s">
        <v>3311</v>
      </c>
      <c r="B26" s="1634" t="s">
        <v>3118</v>
      </c>
      <c r="C26" s="1634" t="s">
        <v>3119</v>
      </c>
      <c r="D26" s="1634" t="s">
        <v>3255</v>
      </c>
      <c r="E26" s="1634" t="s">
        <v>1321</v>
      </c>
      <c r="F26" s="1634" t="s">
        <v>3311</v>
      </c>
      <c r="G26" s="1634" t="s">
        <v>3121</v>
      </c>
      <c r="H26" s="1634" t="s">
        <v>3312</v>
      </c>
      <c r="I26" s="1634" t="s">
        <v>3123</v>
      </c>
      <c r="J26" s="1634">
        <v>20077.669999999998</v>
      </c>
      <c r="K26" s="1634">
        <v>30116.5</v>
      </c>
      <c r="L26" s="1634" t="s">
        <v>3313</v>
      </c>
      <c r="M26" s="1634" t="s">
        <v>1321</v>
      </c>
      <c r="N26" s="1634" t="s">
        <v>3217</v>
      </c>
      <c r="O26" s="1634" t="s">
        <v>3297</v>
      </c>
      <c r="P26" s="1634" t="s">
        <v>1321</v>
      </c>
      <c r="Q26" s="1634" t="s">
        <v>1321</v>
      </c>
      <c r="R26" s="1634" t="s">
        <v>1321</v>
      </c>
      <c r="S26" s="1634" t="s">
        <v>1321</v>
      </c>
      <c r="T26" s="1634" t="s">
        <v>1321</v>
      </c>
      <c r="U26" s="1634" t="s">
        <v>1321</v>
      </c>
      <c r="V26" s="1634" t="s">
        <v>1321</v>
      </c>
      <c r="W26" s="1634" t="s">
        <v>3227</v>
      </c>
      <c r="X26" s="1634" t="s">
        <v>3314</v>
      </c>
      <c r="Y26" s="1634" t="s">
        <v>3315</v>
      </c>
      <c r="Z26" s="1634" t="s">
        <v>3316</v>
      </c>
      <c r="AA26" s="1634" t="s">
        <v>3316</v>
      </c>
      <c r="AB26" s="1634" t="s">
        <v>3317</v>
      </c>
      <c r="AC26" s="1634" t="s">
        <v>3132</v>
      </c>
      <c r="AD26" s="1634" t="s">
        <v>3318</v>
      </c>
      <c r="AE26" s="1634">
        <v>7096</v>
      </c>
      <c r="AF26" s="1634" t="s">
        <v>1321</v>
      </c>
      <c r="AG26" s="1634">
        <v>11880</v>
      </c>
      <c r="AH26" s="1634" t="s">
        <v>1321</v>
      </c>
      <c r="AI26" s="1634">
        <v>394.47</v>
      </c>
      <c r="AJ26" s="1634" t="s">
        <v>1321</v>
      </c>
      <c r="AK26" s="1634">
        <v>3944.67</v>
      </c>
      <c r="AL26" s="1634" t="s">
        <v>1321</v>
      </c>
      <c r="AM26" s="1634" t="s">
        <v>1321</v>
      </c>
      <c r="AN26" s="1634" t="s">
        <v>1321</v>
      </c>
      <c r="AO26" s="1634" t="s">
        <v>3134</v>
      </c>
      <c r="AP26" s="1634" t="s">
        <v>1321</v>
      </c>
      <c r="AQ26" s="1634" t="s">
        <v>1321</v>
      </c>
      <c r="AR26" s="1634" t="s">
        <v>1321</v>
      </c>
      <c r="AS26" s="1634" t="s">
        <v>3147</v>
      </c>
      <c r="AT26" s="1634">
        <f t="shared" si="0"/>
        <v>5917.0212479834572</v>
      </c>
    </row>
    <row r="27" spans="1:46">
      <c r="A27" s="1634" t="s">
        <v>3319</v>
      </c>
      <c r="B27" s="1634" t="s">
        <v>3118</v>
      </c>
      <c r="C27" s="1634" t="s">
        <v>3119</v>
      </c>
      <c r="D27" s="1634" t="s">
        <v>3255</v>
      </c>
      <c r="E27" s="1634" t="s">
        <v>1321</v>
      </c>
      <c r="F27" s="1634" t="s">
        <v>3319</v>
      </c>
      <c r="G27" s="1634" t="s">
        <v>3121</v>
      </c>
      <c r="H27" s="1634" t="s">
        <v>3320</v>
      </c>
      <c r="I27" s="1634" t="s">
        <v>3235</v>
      </c>
      <c r="J27" s="1634">
        <v>153624</v>
      </c>
      <c r="K27" s="1634">
        <v>384060</v>
      </c>
      <c r="L27" s="1634" t="s">
        <v>3321</v>
      </c>
      <c r="M27" s="1634" t="s">
        <v>1321</v>
      </c>
      <c r="N27" s="1634" t="s">
        <v>3217</v>
      </c>
      <c r="O27" s="1634" t="s">
        <v>3322</v>
      </c>
      <c r="P27" s="1634" t="s">
        <v>1321</v>
      </c>
      <c r="Q27" s="1634" t="s">
        <v>1321</v>
      </c>
      <c r="R27" s="1634" t="s">
        <v>1321</v>
      </c>
      <c r="S27" s="1634" t="s">
        <v>1321</v>
      </c>
      <c r="T27" s="1634" t="s">
        <v>1321</v>
      </c>
      <c r="U27" s="1634" t="s">
        <v>1321</v>
      </c>
      <c r="V27" s="1634" t="s">
        <v>1321</v>
      </c>
      <c r="W27" s="1634" t="s">
        <v>3227</v>
      </c>
      <c r="X27" s="1634" t="s">
        <v>3323</v>
      </c>
      <c r="Y27" s="1634" t="s">
        <v>3324</v>
      </c>
      <c r="Z27" s="1634" t="s">
        <v>3325</v>
      </c>
      <c r="AA27" s="1634" t="s">
        <v>3325</v>
      </c>
      <c r="AB27" s="1634" t="s">
        <v>3326</v>
      </c>
      <c r="AC27" s="1634" t="s">
        <v>3132</v>
      </c>
      <c r="AD27" s="1634" t="s">
        <v>3327</v>
      </c>
      <c r="AE27" s="1634">
        <v>287072</v>
      </c>
      <c r="AF27" s="1634" t="s">
        <v>1321</v>
      </c>
      <c r="AG27" s="1634">
        <v>520000</v>
      </c>
      <c r="AH27" s="1634" t="s">
        <v>1321</v>
      </c>
      <c r="AI27" s="1634">
        <v>2256.59</v>
      </c>
      <c r="AJ27" s="1634" t="s">
        <v>1321</v>
      </c>
      <c r="AK27" s="1634">
        <v>13539.54</v>
      </c>
      <c r="AL27" s="1634" t="s">
        <v>1321</v>
      </c>
      <c r="AM27" s="1634" t="s">
        <v>1321</v>
      </c>
      <c r="AN27" s="1634" t="s">
        <v>1321</v>
      </c>
      <c r="AO27" s="1634" t="s">
        <v>3134</v>
      </c>
      <c r="AP27" s="1634" t="s">
        <v>1321</v>
      </c>
      <c r="AQ27" s="1634" t="s">
        <v>1321</v>
      </c>
      <c r="AR27" s="1634" t="s">
        <v>1321</v>
      </c>
      <c r="AS27" s="1634" t="s">
        <v>3156</v>
      </c>
      <c r="AT27" s="1634">
        <f t="shared" si="0"/>
        <v>33848.877779513619</v>
      </c>
    </row>
    <row r="28" spans="1:46">
      <c r="A28" s="1634" t="s">
        <v>3328</v>
      </c>
      <c r="B28" s="1634" t="s">
        <v>3118</v>
      </c>
      <c r="C28" s="1634" t="s">
        <v>3119</v>
      </c>
      <c r="D28" s="1634" t="s">
        <v>3255</v>
      </c>
      <c r="E28" s="1634" t="s">
        <v>1321</v>
      </c>
      <c r="F28" s="1634" t="s">
        <v>3328</v>
      </c>
      <c r="G28" s="1634" t="s">
        <v>3121</v>
      </c>
      <c r="H28" s="1634" t="s">
        <v>3329</v>
      </c>
      <c r="I28" s="1634" t="s">
        <v>3123</v>
      </c>
      <c r="J28" s="1634">
        <v>33413.25</v>
      </c>
      <c r="K28" s="1634">
        <v>120287.7</v>
      </c>
      <c r="L28" s="1634" t="s">
        <v>3251</v>
      </c>
      <c r="M28" s="1634" t="s">
        <v>1321</v>
      </c>
      <c r="N28" s="1634" t="s">
        <v>3330</v>
      </c>
      <c r="O28" s="1634">
        <v>170</v>
      </c>
      <c r="P28" s="1634" t="s">
        <v>1321</v>
      </c>
      <c r="Q28" s="1634" t="s">
        <v>1321</v>
      </c>
      <c r="R28" s="1634" t="s">
        <v>1321</v>
      </c>
      <c r="S28" s="1634" t="s">
        <v>1321</v>
      </c>
      <c r="T28" s="1634" t="s">
        <v>1321</v>
      </c>
      <c r="U28" s="1634" t="s">
        <v>1321</v>
      </c>
      <c r="V28" s="1634" t="s">
        <v>1321</v>
      </c>
      <c r="W28" s="1634" t="s">
        <v>3227</v>
      </c>
      <c r="X28" s="1634" t="s">
        <v>3331</v>
      </c>
      <c r="Y28" s="1634" t="s">
        <v>3332</v>
      </c>
      <c r="Z28" s="1634" t="s">
        <v>3333</v>
      </c>
      <c r="AA28" s="1634" t="s">
        <v>3333</v>
      </c>
      <c r="AB28" s="1634" t="s">
        <v>3334</v>
      </c>
      <c r="AC28" s="1634" t="s">
        <v>3132</v>
      </c>
      <c r="AD28" s="1634" t="s">
        <v>3335</v>
      </c>
      <c r="AE28" s="1634">
        <v>24556</v>
      </c>
      <c r="AF28" s="1634" t="s">
        <v>1321</v>
      </c>
      <c r="AG28" s="1634">
        <v>41210</v>
      </c>
      <c r="AH28" s="1634" t="s">
        <v>1321</v>
      </c>
      <c r="AI28" s="1634">
        <v>822.23</v>
      </c>
      <c r="AJ28" s="1634" t="s">
        <v>1321</v>
      </c>
      <c r="AK28" s="1634">
        <v>3425.94</v>
      </c>
      <c r="AL28" s="1634" t="s">
        <v>1321</v>
      </c>
      <c r="AM28" s="1634" t="s">
        <v>1321</v>
      </c>
      <c r="AN28" s="1634" t="s">
        <v>1321</v>
      </c>
      <c r="AO28" s="1634" t="s">
        <v>3134</v>
      </c>
      <c r="AP28" s="1634" t="s">
        <v>1321</v>
      </c>
      <c r="AQ28" s="1634" t="s">
        <v>1321</v>
      </c>
      <c r="AR28" s="1634" t="s">
        <v>1321</v>
      </c>
      <c r="AS28" s="1634" t="s">
        <v>3135</v>
      </c>
      <c r="AT28" s="1634">
        <f t="shared" si="0"/>
        <v>12333.430600136173</v>
      </c>
    </row>
    <row r="29" spans="1:46">
      <c r="A29" s="1634" t="s">
        <v>3336</v>
      </c>
      <c r="B29" s="1634" t="s">
        <v>3118</v>
      </c>
      <c r="C29" s="1634" t="s">
        <v>3119</v>
      </c>
      <c r="D29" s="1634" t="s">
        <v>3222</v>
      </c>
      <c r="E29" s="1634" t="s">
        <v>1321</v>
      </c>
      <c r="F29" s="1634" t="s">
        <v>3336</v>
      </c>
      <c r="G29" s="1634" t="s">
        <v>3121</v>
      </c>
      <c r="H29" s="1634" t="s">
        <v>3337</v>
      </c>
      <c r="I29" s="1634" t="s">
        <v>3235</v>
      </c>
      <c r="J29" s="1634">
        <v>160639.6</v>
      </c>
      <c r="K29" s="1634">
        <v>77107.009999999995</v>
      </c>
      <c r="L29" s="1634" t="s">
        <v>3338</v>
      </c>
      <c r="M29" s="1634" t="s">
        <v>1321</v>
      </c>
      <c r="N29" s="1634" t="s">
        <v>3339</v>
      </c>
      <c r="O29" s="1634">
        <v>12</v>
      </c>
      <c r="P29" s="1634" t="s">
        <v>1321</v>
      </c>
      <c r="Q29" s="1634" t="s">
        <v>1321</v>
      </c>
      <c r="R29" s="1634" t="s">
        <v>1321</v>
      </c>
      <c r="S29" s="1634" t="s">
        <v>1321</v>
      </c>
      <c r="T29" s="1634" t="s">
        <v>1321</v>
      </c>
      <c r="U29" s="1634" t="s">
        <v>1321</v>
      </c>
      <c r="V29" s="1634" t="s">
        <v>1321</v>
      </c>
      <c r="W29" s="1634" t="s">
        <v>3340</v>
      </c>
      <c r="X29" s="1634" t="s">
        <v>3341</v>
      </c>
      <c r="Y29" s="1634" t="s">
        <v>3342</v>
      </c>
      <c r="Z29" s="1634" t="s">
        <v>3343</v>
      </c>
      <c r="AA29" s="1634" t="s">
        <v>3343</v>
      </c>
      <c r="AB29" s="1634" t="s">
        <v>3344</v>
      </c>
      <c r="AC29" s="1634" t="s">
        <v>3132</v>
      </c>
      <c r="AD29" s="1634" t="s">
        <v>3345</v>
      </c>
      <c r="AE29" s="1634">
        <v>38729</v>
      </c>
      <c r="AF29" s="1634" t="s">
        <v>1321</v>
      </c>
      <c r="AG29" s="1634">
        <v>64820</v>
      </c>
      <c r="AH29" s="1634" t="s">
        <v>1321</v>
      </c>
      <c r="AI29" s="1634">
        <v>269.01</v>
      </c>
      <c r="AJ29" s="1634" t="s">
        <v>1321</v>
      </c>
      <c r="AK29" s="1634">
        <v>8406.5</v>
      </c>
      <c r="AL29" s="1634" t="s">
        <v>1321</v>
      </c>
      <c r="AM29" s="1634" t="s">
        <v>1321</v>
      </c>
      <c r="AN29" s="1634" t="s">
        <v>1321</v>
      </c>
      <c r="AO29" s="1634" t="s">
        <v>3134</v>
      </c>
      <c r="AP29" s="1634" t="s">
        <v>1321</v>
      </c>
      <c r="AQ29" s="1634" t="s">
        <v>1321</v>
      </c>
      <c r="AR29" s="1634" t="s">
        <v>1321</v>
      </c>
      <c r="AS29" s="1634" t="s">
        <v>3147</v>
      </c>
      <c r="AT29" s="1634">
        <f t="shared" si="0"/>
        <v>4035.1196093615772</v>
      </c>
    </row>
    <row r="30" spans="1:46">
      <c r="A30" s="1634" t="s">
        <v>3346</v>
      </c>
      <c r="B30" s="1634" t="s">
        <v>3118</v>
      </c>
      <c r="C30" s="1634" t="s">
        <v>3119</v>
      </c>
      <c r="D30" s="1634" t="s">
        <v>3120</v>
      </c>
      <c r="E30" s="1634" t="s">
        <v>1321</v>
      </c>
      <c r="F30" s="1634" t="s">
        <v>3346</v>
      </c>
      <c r="G30" s="1634" t="s">
        <v>3121</v>
      </c>
      <c r="H30" s="1634" t="s">
        <v>3347</v>
      </c>
      <c r="I30" s="1634" t="s">
        <v>3224</v>
      </c>
      <c r="J30" s="1634">
        <v>174045.7</v>
      </c>
      <c r="K30" s="1634">
        <v>87022.85</v>
      </c>
      <c r="L30" s="1634" t="s">
        <v>3348</v>
      </c>
      <c r="M30" s="1634" t="s">
        <v>1321</v>
      </c>
      <c r="N30" s="1634" t="s">
        <v>3349</v>
      </c>
      <c r="O30" s="1634" t="s">
        <v>3305</v>
      </c>
      <c r="P30" s="1634" t="s">
        <v>1321</v>
      </c>
      <c r="Q30" s="1634" t="s">
        <v>1321</v>
      </c>
      <c r="R30" s="1634" t="s">
        <v>1321</v>
      </c>
      <c r="S30" s="1634" t="s">
        <v>1321</v>
      </c>
      <c r="T30" s="1634" t="s">
        <v>1321</v>
      </c>
      <c r="U30" s="1634" t="s">
        <v>1321</v>
      </c>
      <c r="V30" s="1634" t="s">
        <v>1321</v>
      </c>
      <c r="W30" s="1634" t="s">
        <v>3340</v>
      </c>
      <c r="X30" s="1634" t="s">
        <v>3350</v>
      </c>
      <c r="Y30" s="1634" t="s">
        <v>3351</v>
      </c>
      <c r="Z30" s="1634" t="s">
        <v>3352</v>
      </c>
      <c r="AA30" s="1634" t="s">
        <v>3352</v>
      </c>
      <c r="AB30" s="1634" t="s">
        <v>3353</v>
      </c>
      <c r="AC30" s="1634" t="s">
        <v>3132</v>
      </c>
      <c r="AD30" s="1634" t="s">
        <v>3354</v>
      </c>
      <c r="AE30" s="1634">
        <v>35757</v>
      </c>
      <c r="AF30" s="1634" t="s">
        <v>1321</v>
      </c>
      <c r="AG30" s="1634">
        <v>60006</v>
      </c>
      <c r="AH30" s="1634" t="s">
        <v>1321</v>
      </c>
      <c r="AI30" s="1634">
        <v>229.85</v>
      </c>
      <c r="AJ30" s="1634" t="s">
        <v>1321</v>
      </c>
      <c r="AK30" s="1634">
        <v>6895.43</v>
      </c>
      <c r="AL30" s="1634" t="s">
        <v>1321</v>
      </c>
      <c r="AM30" s="1634" t="s">
        <v>1321</v>
      </c>
      <c r="AN30" s="1634" t="s">
        <v>1321</v>
      </c>
      <c r="AO30" s="1634" t="s">
        <v>3134</v>
      </c>
      <c r="AP30" s="1634" t="s">
        <v>1321</v>
      </c>
      <c r="AQ30" s="1634" t="s">
        <v>1321</v>
      </c>
      <c r="AR30" s="1634" t="s">
        <v>1321</v>
      </c>
      <c r="AS30" s="1634" t="s">
        <v>3156</v>
      </c>
      <c r="AT30" s="1634">
        <f t="shared" si="0"/>
        <v>3447.7151690619185</v>
      </c>
    </row>
    <row r="31" spans="1:46">
      <c r="A31" s="1634" t="s">
        <v>3355</v>
      </c>
      <c r="B31" s="1634" t="s">
        <v>3118</v>
      </c>
      <c r="C31" s="1634" t="s">
        <v>3119</v>
      </c>
      <c r="D31" s="1634" t="s">
        <v>3222</v>
      </c>
      <c r="E31" s="1634" t="s">
        <v>1321</v>
      </c>
      <c r="F31" s="1634" t="s">
        <v>3355</v>
      </c>
      <c r="G31" s="1634" t="s">
        <v>3121</v>
      </c>
      <c r="H31" s="1634" t="s">
        <v>3356</v>
      </c>
      <c r="I31" s="1634" t="s">
        <v>3235</v>
      </c>
      <c r="J31" s="1634">
        <v>105521.3</v>
      </c>
      <c r="K31" s="1634">
        <v>63312.77</v>
      </c>
      <c r="L31" s="1634" t="s">
        <v>3357</v>
      </c>
      <c r="M31" s="1634" t="s">
        <v>1321</v>
      </c>
      <c r="N31" s="1634" t="s">
        <v>3330</v>
      </c>
      <c r="O31" s="1634" t="s">
        <v>3358</v>
      </c>
      <c r="P31" s="1634" t="s">
        <v>1321</v>
      </c>
      <c r="Q31" s="1634" t="s">
        <v>1321</v>
      </c>
      <c r="R31" s="1634" t="s">
        <v>1321</v>
      </c>
      <c r="S31" s="1634" t="s">
        <v>1321</v>
      </c>
      <c r="T31" s="1634" t="s">
        <v>1321</v>
      </c>
      <c r="U31" s="1634" t="s">
        <v>1321</v>
      </c>
      <c r="V31" s="1634" t="s">
        <v>1321</v>
      </c>
      <c r="W31" s="1634" t="s">
        <v>3340</v>
      </c>
      <c r="X31" s="1634" t="s">
        <v>3350</v>
      </c>
      <c r="Y31" s="1634" t="s">
        <v>3359</v>
      </c>
      <c r="Z31" s="1634" t="s">
        <v>3360</v>
      </c>
      <c r="AA31" s="1634" t="s">
        <v>3360</v>
      </c>
      <c r="AB31" s="1634" t="s">
        <v>3361</v>
      </c>
      <c r="AC31" s="1634" t="s">
        <v>3132</v>
      </c>
      <c r="AD31" s="1634" t="s">
        <v>3362</v>
      </c>
      <c r="AE31" s="1634">
        <v>25630</v>
      </c>
      <c r="AF31" s="1634" t="s">
        <v>1321</v>
      </c>
      <c r="AG31" s="1634">
        <v>44010</v>
      </c>
      <c r="AH31" s="1634" t="s">
        <v>1321</v>
      </c>
      <c r="AI31" s="1634">
        <v>278.05</v>
      </c>
      <c r="AJ31" s="1634" t="s">
        <v>1321</v>
      </c>
      <c r="AK31" s="1634">
        <v>6951.19</v>
      </c>
      <c r="AL31" s="1634" t="s">
        <v>1321</v>
      </c>
      <c r="AM31" s="1634" t="s">
        <v>1321</v>
      </c>
      <c r="AN31" s="1634" t="s">
        <v>1321</v>
      </c>
      <c r="AO31" s="1634" t="s">
        <v>3134</v>
      </c>
      <c r="AP31" s="1634" t="s">
        <v>1321</v>
      </c>
      <c r="AQ31" s="1634" t="s">
        <v>1321</v>
      </c>
      <c r="AR31" s="1634" t="s">
        <v>1321</v>
      </c>
      <c r="AS31" s="1634" t="s">
        <v>3147</v>
      </c>
      <c r="AT31" s="1634">
        <f t="shared" si="0"/>
        <v>4170.7219300747811</v>
      </c>
    </row>
    <row r="32" spans="1:46">
      <c r="A32" s="1634" t="s">
        <v>3363</v>
      </c>
      <c r="B32" s="1634" t="s">
        <v>3118</v>
      </c>
      <c r="C32" s="1634" t="s">
        <v>3119</v>
      </c>
      <c r="D32" s="1634" t="s">
        <v>3222</v>
      </c>
      <c r="E32" s="1634" t="s">
        <v>1321</v>
      </c>
      <c r="F32" s="1634" t="s">
        <v>3363</v>
      </c>
      <c r="G32" s="1634" t="s">
        <v>3121</v>
      </c>
      <c r="H32" s="1634" t="s">
        <v>3364</v>
      </c>
      <c r="I32" s="1634" t="s">
        <v>3235</v>
      </c>
      <c r="J32" s="1634">
        <v>71313.179999999993</v>
      </c>
      <c r="K32" s="1634">
        <v>28525.27</v>
      </c>
      <c r="L32" s="1634" t="s">
        <v>3225</v>
      </c>
      <c r="M32" s="1634" t="s">
        <v>1321</v>
      </c>
      <c r="N32" s="1634" t="s">
        <v>3349</v>
      </c>
      <c r="O32" s="1634" t="s">
        <v>3339</v>
      </c>
      <c r="P32" s="1634" t="s">
        <v>1321</v>
      </c>
      <c r="Q32" s="1634" t="s">
        <v>1321</v>
      </c>
      <c r="R32" s="1634" t="s">
        <v>1321</v>
      </c>
      <c r="S32" s="1634" t="s">
        <v>1321</v>
      </c>
      <c r="T32" s="1634" t="s">
        <v>1321</v>
      </c>
      <c r="U32" s="1634" t="s">
        <v>1321</v>
      </c>
      <c r="V32" s="1634" t="s">
        <v>1321</v>
      </c>
      <c r="W32" s="1634" t="s">
        <v>3340</v>
      </c>
      <c r="X32" s="1634" t="s">
        <v>3350</v>
      </c>
      <c r="Y32" s="1634" t="s">
        <v>3359</v>
      </c>
      <c r="Z32" s="1634" t="s">
        <v>3360</v>
      </c>
      <c r="AA32" s="1634" t="s">
        <v>3360</v>
      </c>
      <c r="AB32" s="1634" t="s">
        <v>3365</v>
      </c>
      <c r="AC32" s="1634" t="s">
        <v>3132</v>
      </c>
      <c r="AD32" s="1634" t="s">
        <v>3366</v>
      </c>
      <c r="AE32" s="1634">
        <v>18125</v>
      </c>
      <c r="AF32" s="1634" t="s">
        <v>1321</v>
      </c>
      <c r="AG32" s="1634">
        <v>31022</v>
      </c>
      <c r="AH32" s="1634" t="s">
        <v>1321</v>
      </c>
      <c r="AI32" s="1634">
        <v>290.01</v>
      </c>
      <c r="AJ32" s="1634" t="s">
        <v>1321</v>
      </c>
      <c r="AK32" s="1634">
        <v>10875.27</v>
      </c>
      <c r="AL32" s="1634" t="s">
        <v>1321</v>
      </c>
      <c r="AM32" s="1634" t="s">
        <v>1321</v>
      </c>
      <c r="AN32" s="1634" t="s">
        <v>1321</v>
      </c>
      <c r="AO32" s="1634" t="s">
        <v>3134</v>
      </c>
      <c r="AP32" s="1634" t="s">
        <v>1321</v>
      </c>
      <c r="AQ32" s="1634" t="s">
        <v>1321</v>
      </c>
      <c r="AR32" s="1634" t="s">
        <v>1321</v>
      </c>
      <c r="AS32" s="1634" t="s">
        <v>3147</v>
      </c>
      <c r="AT32" s="1634">
        <f t="shared" si="0"/>
        <v>4350.1075116829743</v>
      </c>
    </row>
    <row r="33" spans="1:46">
      <c r="A33" s="1634" t="s">
        <v>3367</v>
      </c>
      <c r="B33" s="1634" t="s">
        <v>3118</v>
      </c>
      <c r="C33" s="1634" t="s">
        <v>3119</v>
      </c>
      <c r="D33" s="1634" t="s">
        <v>3222</v>
      </c>
      <c r="E33" s="1634" t="s">
        <v>1321</v>
      </c>
      <c r="F33" s="1634" t="s">
        <v>3367</v>
      </c>
      <c r="G33" s="1634" t="s">
        <v>3121</v>
      </c>
      <c r="H33" s="1634" t="s">
        <v>3368</v>
      </c>
      <c r="I33" s="1634" t="s">
        <v>3235</v>
      </c>
      <c r="J33" s="1634">
        <v>119466.1</v>
      </c>
      <c r="K33" s="1634">
        <v>71679.679999999993</v>
      </c>
      <c r="L33" s="1634" t="s">
        <v>3357</v>
      </c>
      <c r="M33" s="1634" t="s">
        <v>1321</v>
      </c>
      <c r="N33" s="1634" t="s">
        <v>3330</v>
      </c>
      <c r="O33" s="1634" t="s">
        <v>3330</v>
      </c>
      <c r="P33" s="1634" t="s">
        <v>1321</v>
      </c>
      <c r="Q33" s="1634" t="s">
        <v>1321</v>
      </c>
      <c r="R33" s="1634" t="s">
        <v>1321</v>
      </c>
      <c r="S33" s="1634" t="s">
        <v>1321</v>
      </c>
      <c r="T33" s="1634" t="s">
        <v>1321</v>
      </c>
      <c r="U33" s="1634" t="s">
        <v>1321</v>
      </c>
      <c r="V33" s="1634" t="s">
        <v>1321</v>
      </c>
      <c r="W33" s="1634" t="s">
        <v>3340</v>
      </c>
      <c r="X33" s="1634" t="s">
        <v>3350</v>
      </c>
      <c r="Y33" s="1634" t="s">
        <v>3369</v>
      </c>
      <c r="Z33" s="1634" t="s">
        <v>3370</v>
      </c>
      <c r="AA33" s="1634" t="s">
        <v>3370</v>
      </c>
      <c r="AB33" s="1634" t="s">
        <v>3371</v>
      </c>
      <c r="AC33" s="1634" t="s">
        <v>3132</v>
      </c>
      <c r="AD33" s="1634" t="s">
        <v>3362</v>
      </c>
      <c r="AE33" s="1634">
        <v>24369</v>
      </c>
      <c r="AF33" s="1634" t="s">
        <v>1321</v>
      </c>
      <c r="AG33" s="1634">
        <v>42010</v>
      </c>
      <c r="AH33" s="1634" t="s">
        <v>1321</v>
      </c>
      <c r="AI33" s="1634">
        <v>234.43</v>
      </c>
      <c r="AJ33" s="1634" t="s">
        <v>1321</v>
      </c>
      <c r="AK33" s="1634">
        <v>5860.8</v>
      </c>
      <c r="AL33" s="1634" t="s">
        <v>1321</v>
      </c>
      <c r="AM33" s="1634" t="s">
        <v>1321</v>
      </c>
      <c r="AN33" s="1634" t="s">
        <v>1321</v>
      </c>
      <c r="AO33" s="1634" t="s">
        <v>3134</v>
      </c>
      <c r="AP33" s="1634" t="s">
        <v>1321</v>
      </c>
      <c r="AQ33" s="1634" t="s">
        <v>1321</v>
      </c>
      <c r="AR33" s="1634" t="s">
        <v>1321</v>
      </c>
      <c r="AS33" s="1634" t="s">
        <v>3147</v>
      </c>
      <c r="AT33" s="1634">
        <f t="shared" si="0"/>
        <v>3516.4787332975629</v>
      </c>
    </row>
    <row r="34" spans="1:46">
      <c r="A34" s="1634" t="s">
        <v>3372</v>
      </c>
      <c r="B34" s="1634" t="s">
        <v>3118</v>
      </c>
      <c r="C34" s="1634" t="s">
        <v>3119</v>
      </c>
      <c r="D34" s="1634" t="s">
        <v>3255</v>
      </c>
      <c r="E34" s="1634" t="s">
        <v>1321</v>
      </c>
      <c r="F34" s="1634" t="s">
        <v>3372</v>
      </c>
      <c r="G34" s="1634" t="s">
        <v>3121</v>
      </c>
      <c r="H34" s="1634" t="s">
        <v>3373</v>
      </c>
      <c r="I34" s="1634" t="s">
        <v>3235</v>
      </c>
      <c r="J34" s="1634">
        <v>3.93</v>
      </c>
      <c r="K34" s="1634">
        <v>7.86</v>
      </c>
      <c r="L34" s="1634" t="s">
        <v>3374</v>
      </c>
      <c r="M34" s="1634" t="s">
        <v>1321</v>
      </c>
      <c r="N34" s="1634" t="s">
        <v>3330</v>
      </c>
      <c r="O34" s="1634" t="s">
        <v>3375</v>
      </c>
      <c r="P34" s="1634" t="s">
        <v>1321</v>
      </c>
      <c r="Q34" s="1634" t="s">
        <v>1321</v>
      </c>
      <c r="R34" s="1634" t="s">
        <v>1321</v>
      </c>
      <c r="S34" s="1634" t="s">
        <v>1321</v>
      </c>
      <c r="T34" s="1634" t="s">
        <v>1321</v>
      </c>
      <c r="U34" s="1634" t="s">
        <v>1321</v>
      </c>
      <c r="V34" s="1634" t="s">
        <v>1321</v>
      </c>
      <c r="W34" s="1634" t="s">
        <v>3340</v>
      </c>
      <c r="X34" s="1634" t="s">
        <v>3376</v>
      </c>
      <c r="Y34" s="1634" t="s">
        <v>3377</v>
      </c>
      <c r="Z34" s="1634" t="s">
        <v>3378</v>
      </c>
      <c r="AA34" s="1634" t="s">
        <v>3378</v>
      </c>
      <c r="AB34" s="1634" t="s">
        <v>3379</v>
      </c>
      <c r="AC34" s="1634" t="s">
        <v>3132</v>
      </c>
      <c r="AD34" s="1634" t="s">
        <v>3380</v>
      </c>
      <c r="AE34" s="1634">
        <v>4.5999999999999996</v>
      </c>
      <c r="AF34" s="1634" t="s">
        <v>1321</v>
      </c>
      <c r="AG34" s="1634">
        <v>6.2</v>
      </c>
      <c r="AH34" s="1634" t="s">
        <v>1321</v>
      </c>
      <c r="AI34" s="1634">
        <v>1051.74</v>
      </c>
      <c r="AJ34" s="1634" t="s">
        <v>1321</v>
      </c>
      <c r="AK34" s="1634">
        <v>7888.03</v>
      </c>
      <c r="AL34" s="1634" t="s">
        <v>1321</v>
      </c>
      <c r="AM34" s="1634" t="s">
        <v>1321</v>
      </c>
      <c r="AN34" s="1634" t="s">
        <v>1321</v>
      </c>
      <c r="AO34" s="1634" t="s">
        <v>3134</v>
      </c>
      <c r="AP34" s="1634" t="s">
        <v>1321</v>
      </c>
      <c r="AQ34" s="1634" t="s">
        <v>1321</v>
      </c>
      <c r="AR34" s="1634" t="s">
        <v>1321</v>
      </c>
      <c r="AS34" s="1634" t="s">
        <v>3156</v>
      </c>
      <c r="AT34" s="1634">
        <f t="shared" si="0"/>
        <v>15776.081424936385</v>
      </c>
    </row>
    <row r="35" spans="1:46">
      <c r="A35" s="1634" t="s">
        <v>3381</v>
      </c>
      <c r="B35" s="1634" t="s">
        <v>3118</v>
      </c>
      <c r="C35" s="1634" t="s">
        <v>3119</v>
      </c>
      <c r="D35" s="1634" t="s">
        <v>3120</v>
      </c>
      <c r="E35" s="1634" t="s">
        <v>1321</v>
      </c>
      <c r="F35" s="1634" t="s">
        <v>3381</v>
      </c>
      <c r="G35" s="1634" t="s">
        <v>3121</v>
      </c>
      <c r="H35" s="1634" t="s">
        <v>3382</v>
      </c>
      <c r="I35" s="1634" t="s">
        <v>3235</v>
      </c>
      <c r="J35" s="1634">
        <v>136.24</v>
      </c>
      <c r="K35" s="1634">
        <v>265.67</v>
      </c>
      <c r="L35" s="1634" t="s">
        <v>3383</v>
      </c>
      <c r="M35" s="1634" t="s">
        <v>1321</v>
      </c>
      <c r="N35" s="1634" t="s">
        <v>3349</v>
      </c>
      <c r="O35" s="1634" t="s">
        <v>3384</v>
      </c>
      <c r="P35" s="1634" t="s">
        <v>1321</v>
      </c>
      <c r="Q35" s="1634" t="s">
        <v>1321</v>
      </c>
      <c r="R35" s="1634" t="s">
        <v>1321</v>
      </c>
      <c r="S35" s="1634" t="s">
        <v>1321</v>
      </c>
      <c r="T35" s="1634" t="s">
        <v>1321</v>
      </c>
      <c r="U35" s="1634" t="s">
        <v>1321</v>
      </c>
      <c r="V35" s="1634" t="s">
        <v>1321</v>
      </c>
      <c r="W35" s="1634" t="s">
        <v>3340</v>
      </c>
      <c r="X35" s="1634" t="s">
        <v>3376</v>
      </c>
      <c r="Y35" s="1634" t="s">
        <v>3377</v>
      </c>
      <c r="Z35" s="1634" t="s">
        <v>3378</v>
      </c>
      <c r="AA35" s="1634" t="s">
        <v>3378</v>
      </c>
      <c r="AB35" s="1634" t="s">
        <v>3385</v>
      </c>
      <c r="AC35" s="1634" t="s">
        <v>3132</v>
      </c>
      <c r="AD35" s="1634" t="s">
        <v>3380</v>
      </c>
      <c r="AE35" s="1634">
        <v>181</v>
      </c>
      <c r="AF35" s="1634" t="s">
        <v>1321</v>
      </c>
      <c r="AG35" s="1634">
        <v>192</v>
      </c>
      <c r="AH35" s="1634" t="s">
        <v>1321</v>
      </c>
      <c r="AI35" s="1634">
        <v>939.52</v>
      </c>
      <c r="AJ35" s="1634" t="s">
        <v>1321</v>
      </c>
      <c r="AK35" s="1634">
        <v>7227.01</v>
      </c>
      <c r="AL35" s="1634" t="s">
        <v>1321</v>
      </c>
      <c r="AM35" s="1634" t="s">
        <v>1321</v>
      </c>
      <c r="AN35" s="1634" t="s">
        <v>1321</v>
      </c>
      <c r="AO35" s="1634" t="s">
        <v>3134</v>
      </c>
      <c r="AP35" s="1634" t="s">
        <v>1321</v>
      </c>
      <c r="AQ35" s="1634" t="s">
        <v>1321</v>
      </c>
      <c r="AR35" s="1634" t="s">
        <v>1321</v>
      </c>
      <c r="AS35" s="1634" t="s">
        <v>3156</v>
      </c>
      <c r="AT35" s="1634">
        <f t="shared" si="0"/>
        <v>14092.777451556076</v>
      </c>
    </row>
    <row r="36" spans="1:46">
      <c r="A36" s="1634" t="s">
        <v>3386</v>
      </c>
      <c r="B36" s="1634" t="s">
        <v>3118</v>
      </c>
      <c r="C36" s="1634" t="s">
        <v>3119</v>
      </c>
      <c r="D36" s="1634" t="s">
        <v>3120</v>
      </c>
      <c r="E36" s="1634" t="s">
        <v>1321</v>
      </c>
      <c r="F36" s="1634" t="s">
        <v>3386</v>
      </c>
      <c r="G36" s="1634" t="s">
        <v>3121</v>
      </c>
      <c r="H36" s="1634" t="s">
        <v>3387</v>
      </c>
      <c r="I36" s="1634" t="s">
        <v>3235</v>
      </c>
      <c r="J36" s="1634">
        <v>57874.48</v>
      </c>
      <c r="K36" s="1634">
        <v>121536.4</v>
      </c>
      <c r="L36" s="1634" t="s">
        <v>3388</v>
      </c>
      <c r="M36" s="1634" t="s">
        <v>1321</v>
      </c>
      <c r="N36" s="1634" t="s">
        <v>3389</v>
      </c>
      <c r="O36" s="1634" t="s">
        <v>3389</v>
      </c>
      <c r="P36" s="1634" t="s">
        <v>1321</v>
      </c>
      <c r="Q36" s="1634" t="s">
        <v>1321</v>
      </c>
      <c r="R36" s="1634" t="s">
        <v>1321</v>
      </c>
      <c r="S36" s="1634" t="s">
        <v>1321</v>
      </c>
      <c r="T36" s="1634" t="s">
        <v>1321</v>
      </c>
      <c r="U36" s="1634" t="s">
        <v>1321</v>
      </c>
      <c r="V36" s="1634" t="s">
        <v>1321</v>
      </c>
      <c r="W36" s="1634" t="s">
        <v>3340</v>
      </c>
      <c r="X36" s="1634" t="s">
        <v>3390</v>
      </c>
      <c r="Y36" s="1634" t="s">
        <v>3391</v>
      </c>
      <c r="Z36" s="1634" t="s">
        <v>3392</v>
      </c>
      <c r="AA36" s="1634" t="s">
        <v>3392</v>
      </c>
      <c r="AB36" s="1634" t="s">
        <v>3393</v>
      </c>
      <c r="AC36" s="1634" t="s">
        <v>3132</v>
      </c>
      <c r="AD36" s="1634" t="s">
        <v>3394</v>
      </c>
      <c r="AE36" s="1634">
        <v>28294</v>
      </c>
      <c r="AF36" s="1634">
        <v>47157</v>
      </c>
      <c r="AG36" s="1634">
        <v>47628</v>
      </c>
      <c r="AH36" s="1634">
        <v>543.21</v>
      </c>
      <c r="AI36" s="1634">
        <v>548.64</v>
      </c>
      <c r="AJ36" s="1634">
        <v>3880.07</v>
      </c>
      <c r="AK36" s="1634">
        <v>3918.82</v>
      </c>
      <c r="AL36" s="1634" t="s">
        <v>1321</v>
      </c>
      <c r="AM36" s="1634" t="s">
        <v>1321</v>
      </c>
      <c r="AN36" s="1634">
        <v>1</v>
      </c>
      <c r="AO36" s="1634" t="s">
        <v>3134</v>
      </c>
      <c r="AP36" s="1634" t="s">
        <v>1321</v>
      </c>
      <c r="AQ36" s="1634" t="s">
        <v>1321</v>
      </c>
      <c r="AR36" s="1634" t="s">
        <v>1321</v>
      </c>
      <c r="AS36" s="1634" t="s">
        <v>3156</v>
      </c>
      <c r="AT36" s="1634">
        <f t="shared" si="0"/>
        <v>8229.5339845818053</v>
      </c>
    </row>
    <row r="37" spans="1:46">
      <c r="A37" s="1634" t="s">
        <v>3395</v>
      </c>
      <c r="B37" s="1634" t="s">
        <v>3118</v>
      </c>
      <c r="C37" s="1634" t="s">
        <v>3119</v>
      </c>
      <c r="D37" s="1634" t="s">
        <v>3222</v>
      </c>
      <c r="E37" s="1634" t="s">
        <v>1321</v>
      </c>
      <c r="F37" s="1634" t="s">
        <v>3395</v>
      </c>
      <c r="G37" s="1634" t="s">
        <v>3121</v>
      </c>
      <c r="H37" s="1634" t="s">
        <v>3396</v>
      </c>
      <c r="I37" s="1634" t="s">
        <v>3224</v>
      </c>
      <c r="J37" s="1634">
        <v>183920.2</v>
      </c>
      <c r="K37" s="1634">
        <v>73568.070000000007</v>
      </c>
      <c r="L37" s="1634" t="s">
        <v>3225</v>
      </c>
      <c r="M37" s="1634" t="s">
        <v>1321</v>
      </c>
      <c r="N37" s="1634" t="s">
        <v>3305</v>
      </c>
      <c r="O37" s="1634" t="s">
        <v>3305</v>
      </c>
      <c r="P37" s="1634" t="s">
        <v>1321</v>
      </c>
      <c r="Q37" s="1634" t="s">
        <v>1321</v>
      </c>
      <c r="R37" s="1634" t="s">
        <v>1321</v>
      </c>
      <c r="S37" s="1634" t="s">
        <v>1321</v>
      </c>
      <c r="T37" s="1634" t="s">
        <v>1321</v>
      </c>
      <c r="U37" s="1634" t="s">
        <v>1321</v>
      </c>
      <c r="V37" s="1634" t="s">
        <v>1321</v>
      </c>
      <c r="W37" s="1634" t="s">
        <v>3340</v>
      </c>
      <c r="X37" s="1634" t="s">
        <v>3397</v>
      </c>
      <c r="Y37" s="1634" t="s">
        <v>3398</v>
      </c>
      <c r="Z37" s="1634" t="s">
        <v>3399</v>
      </c>
      <c r="AA37" s="1634" t="s">
        <v>3399</v>
      </c>
      <c r="AB37" s="1634" t="s">
        <v>3400</v>
      </c>
      <c r="AC37" s="1634" t="s">
        <v>3132</v>
      </c>
      <c r="AD37" s="1634" t="s">
        <v>3401</v>
      </c>
      <c r="AE37" s="1634">
        <v>43493</v>
      </c>
      <c r="AF37" s="1634" t="s">
        <v>1321</v>
      </c>
      <c r="AG37" s="1634">
        <v>73040</v>
      </c>
      <c r="AH37" s="1634" t="s">
        <v>1321</v>
      </c>
      <c r="AI37" s="1634">
        <v>264.75</v>
      </c>
      <c r="AJ37" s="1634" t="s">
        <v>1321</v>
      </c>
      <c r="AK37" s="1634">
        <v>9928.2099999999991</v>
      </c>
      <c r="AL37" s="1634" t="s">
        <v>1321</v>
      </c>
      <c r="AM37" s="1634" t="s">
        <v>1321</v>
      </c>
      <c r="AN37" s="1634" t="s">
        <v>1321</v>
      </c>
      <c r="AO37" s="1634" t="s">
        <v>3134</v>
      </c>
      <c r="AP37" s="1634" t="s">
        <v>1321</v>
      </c>
      <c r="AQ37" s="1634" t="s">
        <v>1321</v>
      </c>
      <c r="AR37" s="1634" t="s">
        <v>1321</v>
      </c>
      <c r="AS37" s="1634" t="s">
        <v>3147</v>
      </c>
      <c r="AT37" s="1634">
        <f t="shared" si="0"/>
        <v>3971.2875475342021</v>
      </c>
    </row>
    <row r="38" spans="1:46">
      <c r="A38" s="1634" t="s">
        <v>3402</v>
      </c>
      <c r="B38" s="1634" t="s">
        <v>3118</v>
      </c>
      <c r="C38" s="1634" t="s">
        <v>3119</v>
      </c>
      <c r="D38" s="1634" t="s">
        <v>3120</v>
      </c>
      <c r="E38" s="1634" t="s">
        <v>1321</v>
      </c>
      <c r="F38" s="1634" t="s">
        <v>3402</v>
      </c>
      <c r="G38" s="1634" t="s">
        <v>3121</v>
      </c>
      <c r="H38" s="1634" t="s">
        <v>3403</v>
      </c>
      <c r="I38" s="1634" t="s">
        <v>3235</v>
      </c>
      <c r="J38" s="1634">
        <v>9725.5400000000009</v>
      </c>
      <c r="K38" s="1634">
        <v>1945.11</v>
      </c>
      <c r="L38" s="1634" t="s">
        <v>3404</v>
      </c>
      <c r="M38" s="1634" t="s">
        <v>1321</v>
      </c>
      <c r="N38" s="1634" t="s">
        <v>3305</v>
      </c>
      <c r="O38" s="1634" t="s">
        <v>3405</v>
      </c>
      <c r="P38" s="1634" t="s">
        <v>1321</v>
      </c>
      <c r="Q38" s="1634" t="s">
        <v>1321</v>
      </c>
      <c r="R38" s="1634" t="s">
        <v>1321</v>
      </c>
      <c r="S38" s="1634" t="s">
        <v>1321</v>
      </c>
      <c r="T38" s="1634" t="s">
        <v>1321</v>
      </c>
      <c r="U38" s="1634" t="s">
        <v>1321</v>
      </c>
      <c r="V38" s="1634" t="s">
        <v>1321</v>
      </c>
      <c r="W38" s="1634" t="s">
        <v>3340</v>
      </c>
      <c r="X38" s="1634" t="s">
        <v>3406</v>
      </c>
      <c r="Y38" s="1634" t="s">
        <v>3407</v>
      </c>
      <c r="Z38" s="1634" t="s">
        <v>3408</v>
      </c>
      <c r="AA38" s="1634" t="s">
        <v>3408</v>
      </c>
      <c r="AB38" s="1634" t="s">
        <v>3409</v>
      </c>
      <c r="AC38" s="1634" t="s">
        <v>3132</v>
      </c>
      <c r="AD38" s="1634" t="s">
        <v>3410</v>
      </c>
      <c r="AE38" s="1634">
        <v>3174</v>
      </c>
      <c r="AF38" s="1634" t="s">
        <v>1321</v>
      </c>
      <c r="AG38" s="1634">
        <v>3260</v>
      </c>
      <c r="AH38" s="1634" t="s">
        <v>1321</v>
      </c>
      <c r="AI38" s="1634">
        <v>223.47</v>
      </c>
      <c r="AJ38" s="1634" t="s">
        <v>1321</v>
      </c>
      <c r="AK38" s="1634">
        <v>16759.97</v>
      </c>
      <c r="AL38" s="1634" t="s">
        <v>1321</v>
      </c>
      <c r="AM38" s="1634" t="s">
        <v>1321</v>
      </c>
      <c r="AN38" s="1634" t="s">
        <v>1321</v>
      </c>
      <c r="AO38" s="1634" t="s">
        <v>3134</v>
      </c>
      <c r="AP38" s="1634" t="s">
        <v>1321</v>
      </c>
      <c r="AQ38" s="1634" t="s">
        <v>1321</v>
      </c>
      <c r="AR38" s="1634" t="s">
        <v>1321</v>
      </c>
      <c r="AS38" s="1634" t="s">
        <v>3156</v>
      </c>
      <c r="AT38" s="1634">
        <f t="shared" si="0"/>
        <v>3351.9989635536945</v>
      </c>
    </row>
    <row r="39" spans="1:46">
      <c r="A39" s="1634" t="s">
        <v>3411</v>
      </c>
      <c r="B39" s="1634" t="s">
        <v>3118</v>
      </c>
      <c r="C39" s="1634" t="s">
        <v>3119</v>
      </c>
      <c r="D39" s="1634" t="s">
        <v>3222</v>
      </c>
      <c r="E39" s="1634" t="s">
        <v>1321</v>
      </c>
      <c r="F39" s="1634" t="s">
        <v>3411</v>
      </c>
      <c r="G39" s="1634" t="s">
        <v>3121</v>
      </c>
      <c r="H39" s="1634" t="s">
        <v>3412</v>
      </c>
      <c r="I39" s="1634" t="s">
        <v>3413</v>
      </c>
      <c r="J39" s="1634">
        <v>151906.6</v>
      </c>
      <c r="K39" s="1634">
        <v>194109</v>
      </c>
      <c r="L39" s="1634" t="s">
        <v>3414</v>
      </c>
      <c r="M39" s="1634" t="s">
        <v>1321</v>
      </c>
      <c r="N39" s="1634" t="s">
        <v>3415</v>
      </c>
      <c r="O39" s="1634" t="s">
        <v>3416</v>
      </c>
      <c r="P39" s="1634" t="s">
        <v>1321</v>
      </c>
      <c r="Q39" s="1634" t="s">
        <v>1321</v>
      </c>
      <c r="R39" s="1634" t="s">
        <v>1321</v>
      </c>
      <c r="S39" s="1634" t="s">
        <v>1321</v>
      </c>
      <c r="T39" s="1634" t="s">
        <v>1321</v>
      </c>
      <c r="U39" s="1634" t="s">
        <v>1321</v>
      </c>
      <c r="V39" s="1634" t="s">
        <v>1321</v>
      </c>
      <c r="W39" s="1634" t="s">
        <v>3340</v>
      </c>
      <c r="X39" s="1634" t="s">
        <v>3417</v>
      </c>
      <c r="Y39" s="1634" t="s">
        <v>3418</v>
      </c>
      <c r="Z39" s="1634" t="s">
        <v>3419</v>
      </c>
      <c r="AA39" s="1634" t="s">
        <v>3419</v>
      </c>
      <c r="AB39" s="1634" t="s">
        <v>3420</v>
      </c>
      <c r="AC39" s="1634" t="s">
        <v>3132</v>
      </c>
      <c r="AD39" s="1634" t="s">
        <v>3421</v>
      </c>
      <c r="AE39" s="1634">
        <v>29223</v>
      </c>
      <c r="AF39" s="1634">
        <v>48705</v>
      </c>
      <c r="AG39" s="1634">
        <v>49100</v>
      </c>
      <c r="AH39" s="1634">
        <v>213.75</v>
      </c>
      <c r="AI39" s="1634">
        <v>215.48</v>
      </c>
      <c r="AJ39" s="1634">
        <v>2509.15</v>
      </c>
      <c r="AK39" s="1634">
        <v>2529.5100000000002</v>
      </c>
      <c r="AL39" s="1634" t="s">
        <v>1321</v>
      </c>
      <c r="AM39" s="1634" t="s">
        <v>1321</v>
      </c>
      <c r="AN39" s="1634">
        <v>0.81</v>
      </c>
      <c r="AO39" s="1634" t="s">
        <v>3422</v>
      </c>
      <c r="AP39" s="1634" t="s">
        <v>1321</v>
      </c>
      <c r="AQ39" s="1634" t="s">
        <v>1321</v>
      </c>
      <c r="AR39" s="1634" t="s">
        <v>1321</v>
      </c>
      <c r="AS39" s="1634" t="s">
        <v>3156</v>
      </c>
      <c r="AT39" s="1634">
        <f t="shared" si="0"/>
        <v>3232.2492900242651</v>
      </c>
    </row>
    <row r="40" spans="1:46">
      <c r="A40" s="1634" t="s">
        <v>3423</v>
      </c>
      <c r="B40" s="1634" t="s">
        <v>3118</v>
      </c>
      <c r="C40" s="1634" t="s">
        <v>3119</v>
      </c>
      <c r="D40" s="1634" t="s">
        <v>3222</v>
      </c>
      <c r="E40" s="1634" t="s">
        <v>1321</v>
      </c>
      <c r="F40" s="1634" t="s">
        <v>3423</v>
      </c>
      <c r="G40" s="1634" t="s">
        <v>3121</v>
      </c>
      <c r="H40" s="1634" t="s">
        <v>3424</v>
      </c>
      <c r="I40" s="1634" t="s">
        <v>3235</v>
      </c>
      <c r="J40" s="1634">
        <v>119085.6</v>
      </c>
      <c r="K40" s="1634">
        <v>71451.37</v>
      </c>
      <c r="L40" s="1634" t="s">
        <v>3357</v>
      </c>
      <c r="M40" s="1634" t="s">
        <v>1321</v>
      </c>
      <c r="N40" s="1634" t="s">
        <v>3330</v>
      </c>
      <c r="O40" s="1634" t="s">
        <v>3358</v>
      </c>
      <c r="P40" s="1634" t="s">
        <v>1321</v>
      </c>
      <c r="Q40" s="1634" t="s">
        <v>1321</v>
      </c>
      <c r="R40" s="1634" t="s">
        <v>1321</v>
      </c>
      <c r="S40" s="1634" t="s">
        <v>1321</v>
      </c>
      <c r="T40" s="1634" t="s">
        <v>1321</v>
      </c>
      <c r="U40" s="1634" t="s">
        <v>1321</v>
      </c>
      <c r="V40" s="1634" t="s">
        <v>1321</v>
      </c>
      <c r="W40" s="1634" t="s">
        <v>3340</v>
      </c>
      <c r="X40" s="1634" t="s">
        <v>3425</v>
      </c>
      <c r="Y40" s="1634" t="s">
        <v>3426</v>
      </c>
      <c r="Z40" s="1634" t="s">
        <v>3427</v>
      </c>
      <c r="AA40" s="1634" t="s">
        <v>3427</v>
      </c>
      <c r="AB40" s="1634" t="s">
        <v>3428</v>
      </c>
      <c r="AC40" s="1634" t="s">
        <v>3132</v>
      </c>
      <c r="AD40" s="1634" t="s">
        <v>3429</v>
      </c>
      <c r="AE40" s="1634">
        <v>34732</v>
      </c>
      <c r="AF40" s="1634" t="s">
        <v>1321</v>
      </c>
      <c r="AG40" s="1634">
        <v>58188</v>
      </c>
      <c r="AH40" s="1634" t="s">
        <v>1321</v>
      </c>
      <c r="AI40" s="1634">
        <v>325.75</v>
      </c>
      <c r="AJ40" s="1634" t="s">
        <v>1321</v>
      </c>
      <c r="AK40" s="1634">
        <v>8143.72</v>
      </c>
      <c r="AL40" s="1634" t="s">
        <v>1321</v>
      </c>
      <c r="AM40" s="1634" t="s">
        <v>1321</v>
      </c>
      <c r="AN40" s="1634" t="s">
        <v>1321</v>
      </c>
      <c r="AO40" s="1634" t="s">
        <v>3134</v>
      </c>
      <c r="AP40" s="1634" t="s">
        <v>1321</v>
      </c>
      <c r="AQ40" s="1634" t="s">
        <v>1321</v>
      </c>
      <c r="AR40" s="1634" t="s">
        <v>1321</v>
      </c>
      <c r="AS40" s="1634" t="s">
        <v>3156</v>
      </c>
      <c r="AT40" s="1634">
        <f t="shared" si="0"/>
        <v>4886.2330961929911</v>
      </c>
    </row>
    <row r="41" spans="1:46">
      <c r="A41" s="1634" t="s">
        <v>3430</v>
      </c>
      <c r="B41" s="1634" t="s">
        <v>3118</v>
      </c>
      <c r="C41" s="1634" t="s">
        <v>3119</v>
      </c>
      <c r="D41" s="1634" t="s">
        <v>3222</v>
      </c>
      <c r="E41" s="1634" t="s">
        <v>1321</v>
      </c>
      <c r="F41" s="1634" t="s">
        <v>3430</v>
      </c>
      <c r="G41" s="1634" t="s">
        <v>3121</v>
      </c>
      <c r="H41" s="1634" t="s">
        <v>3431</v>
      </c>
      <c r="I41" s="1634" t="s">
        <v>3235</v>
      </c>
      <c r="J41" s="1634">
        <v>166138.1</v>
      </c>
      <c r="K41" s="1634">
        <v>99682.85</v>
      </c>
      <c r="L41" s="1634" t="s">
        <v>3357</v>
      </c>
      <c r="M41" s="1634" t="s">
        <v>1321</v>
      </c>
      <c r="N41" s="1634" t="s">
        <v>3432</v>
      </c>
      <c r="O41" s="1634" t="s">
        <v>3405</v>
      </c>
      <c r="P41" s="1634" t="s">
        <v>1321</v>
      </c>
      <c r="Q41" s="1634" t="s">
        <v>1321</v>
      </c>
      <c r="R41" s="1634" t="s">
        <v>1321</v>
      </c>
      <c r="S41" s="1634" t="s">
        <v>1321</v>
      </c>
      <c r="T41" s="1634" t="s">
        <v>1321</v>
      </c>
      <c r="U41" s="1634" t="s">
        <v>1321</v>
      </c>
      <c r="V41" s="1634" t="s">
        <v>1321</v>
      </c>
      <c r="W41" s="1634" t="s">
        <v>3340</v>
      </c>
      <c r="X41" s="1634" t="s">
        <v>3433</v>
      </c>
      <c r="Y41" s="1634" t="s">
        <v>3434</v>
      </c>
      <c r="Z41" s="1634" t="s">
        <v>3435</v>
      </c>
      <c r="AA41" s="1634" t="s">
        <v>3435</v>
      </c>
      <c r="AB41" s="1634" t="s">
        <v>3436</v>
      </c>
      <c r="AC41" s="1634" t="s">
        <v>3132</v>
      </c>
      <c r="AD41" s="1634" t="s">
        <v>3437</v>
      </c>
      <c r="AE41" s="1634">
        <v>45077</v>
      </c>
      <c r="AF41" s="1634">
        <v>75127</v>
      </c>
      <c r="AG41" s="1634">
        <v>75700</v>
      </c>
      <c r="AH41" s="1634">
        <v>301.45999999999998</v>
      </c>
      <c r="AI41" s="1634">
        <v>303.76</v>
      </c>
      <c r="AJ41" s="1634">
        <v>7536.6</v>
      </c>
      <c r="AK41" s="1634">
        <v>7594.07</v>
      </c>
      <c r="AL41" s="1634" t="s">
        <v>1321</v>
      </c>
      <c r="AM41" s="1634" t="s">
        <v>1321</v>
      </c>
      <c r="AN41" s="1634">
        <v>0.76</v>
      </c>
      <c r="AO41" s="1634" t="s">
        <v>3134</v>
      </c>
      <c r="AP41" s="1634" t="s">
        <v>1321</v>
      </c>
      <c r="AQ41" s="1634" t="s">
        <v>1321</v>
      </c>
      <c r="AR41" s="1634" t="s">
        <v>1321</v>
      </c>
      <c r="AS41" s="1634" t="s">
        <v>3156</v>
      </c>
      <c r="AT41" s="1634">
        <f t="shared" si="0"/>
        <v>4556.4503265656704</v>
      </c>
    </row>
    <row r="42" spans="1:46">
      <c r="A42" s="1634" t="s">
        <v>3438</v>
      </c>
      <c r="B42" s="1634" t="s">
        <v>3118</v>
      </c>
      <c r="C42" s="1634" t="s">
        <v>3119</v>
      </c>
      <c r="D42" s="1634" t="s">
        <v>3222</v>
      </c>
      <c r="E42" s="1634" t="s">
        <v>1321</v>
      </c>
      <c r="F42" s="1634" t="s">
        <v>3438</v>
      </c>
      <c r="G42" s="1634" t="s">
        <v>3121</v>
      </c>
      <c r="H42" s="1634" t="s">
        <v>3439</v>
      </c>
      <c r="I42" s="1634" t="s">
        <v>3235</v>
      </c>
      <c r="J42" s="1634">
        <v>122702.39999999999</v>
      </c>
      <c r="K42" s="1634">
        <v>122702.39999999999</v>
      </c>
      <c r="L42" s="1634" t="s">
        <v>3440</v>
      </c>
      <c r="M42" s="1634" t="s">
        <v>1321</v>
      </c>
      <c r="N42" s="1634" t="s">
        <v>3389</v>
      </c>
      <c r="O42" s="1634" t="s">
        <v>3305</v>
      </c>
      <c r="P42" s="1634" t="s">
        <v>1321</v>
      </c>
      <c r="Q42" s="1634" t="s">
        <v>1321</v>
      </c>
      <c r="R42" s="1634" t="s">
        <v>1321</v>
      </c>
      <c r="S42" s="1634" t="s">
        <v>1321</v>
      </c>
      <c r="T42" s="1634" t="s">
        <v>1321</v>
      </c>
      <c r="U42" s="1634" t="s">
        <v>1321</v>
      </c>
      <c r="V42" s="1634" t="s">
        <v>1321</v>
      </c>
      <c r="W42" s="1634" t="s">
        <v>3340</v>
      </c>
      <c r="X42" s="1634" t="s">
        <v>3441</v>
      </c>
      <c r="Y42" s="1634" t="s">
        <v>3442</v>
      </c>
      <c r="Z42" s="1634" t="s">
        <v>3443</v>
      </c>
      <c r="AA42" s="1634" t="s">
        <v>3443</v>
      </c>
      <c r="AB42" s="1634" t="s">
        <v>3444</v>
      </c>
      <c r="AC42" s="1634" t="s">
        <v>3132</v>
      </c>
      <c r="AD42" s="1634" t="s">
        <v>3445</v>
      </c>
      <c r="AE42" s="1634">
        <v>40352</v>
      </c>
      <c r="AF42" s="1634">
        <v>67253</v>
      </c>
      <c r="AG42" s="1634">
        <v>67800</v>
      </c>
      <c r="AH42" s="1634">
        <v>365.4</v>
      </c>
      <c r="AI42" s="1634">
        <v>368.37</v>
      </c>
      <c r="AJ42" s="1634">
        <v>5480.98</v>
      </c>
      <c r="AK42" s="1634">
        <v>5525.56</v>
      </c>
      <c r="AL42" s="1634" t="s">
        <v>1321</v>
      </c>
      <c r="AM42" s="1634" t="s">
        <v>1321</v>
      </c>
      <c r="AN42" s="1634">
        <v>0.81</v>
      </c>
      <c r="AO42" s="1634" t="s">
        <v>3134</v>
      </c>
      <c r="AP42" s="1634" t="s">
        <v>1321</v>
      </c>
      <c r="AQ42" s="1634" t="s">
        <v>1321</v>
      </c>
      <c r="AR42" s="1634" t="s">
        <v>1321</v>
      </c>
      <c r="AS42" s="1634" t="s">
        <v>3147</v>
      </c>
      <c r="AT42" s="1634">
        <f t="shared" si="0"/>
        <v>5525.5642921409853</v>
      </c>
    </row>
    <row r="43" spans="1:46">
      <c r="A43" s="1634" t="s">
        <v>3446</v>
      </c>
      <c r="B43" s="1634" t="s">
        <v>3118</v>
      </c>
      <c r="C43" s="1634" t="s">
        <v>3119</v>
      </c>
      <c r="D43" s="1634" t="s">
        <v>3222</v>
      </c>
      <c r="E43" s="1634" t="s">
        <v>1321</v>
      </c>
      <c r="F43" s="1634" t="s">
        <v>3446</v>
      </c>
      <c r="G43" s="1634" t="s">
        <v>3121</v>
      </c>
      <c r="H43" s="1634" t="s">
        <v>3447</v>
      </c>
      <c r="I43" s="1634" t="s">
        <v>3235</v>
      </c>
      <c r="J43" s="1634">
        <v>137453.79999999999</v>
      </c>
      <c r="K43" s="1634">
        <v>206180.7</v>
      </c>
      <c r="L43" s="1634" t="s">
        <v>3313</v>
      </c>
      <c r="M43" s="1634" t="s">
        <v>1321</v>
      </c>
      <c r="N43" s="1634" t="s">
        <v>3432</v>
      </c>
      <c r="O43" s="1634" t="s">
        <v>3448</v>
      </c>
      <c r="P43" s="1634" t="s">
        <v>1321</v>
      </c>
      <c r="Q43" s="1634" t="s">
        <v>1321</v>
      </c>
      <c r="R43" s="1634" t="s">
        <v>1321</v>
      </c>
      <c r="S43" s="1634" t="s">
        <v>1321</v>
      </c>
      <c r="T43" s="1634" t="s">
        <v>1321</v>
      </c>
      <c r="U43" s="1634" t="s">
        <v>1321</v>
      </c>
      <c r="V43" s="1634" t="s">
        <v>1321</v>
      </c>
      <c r="W43" s="1634" t="s">
        <v>3340</v>
      </c>
      <c r="X43" s="1634" t="s">
        <v>3449</v>
      </c>
      <c r="Y43" s="1634" t="s">
        <v>3450</v>
      </c>
      <c r="Z43" s="1634" t="s">
        <v>3451</v>
      </c>
      <c r="AA43" s="1634" t="s">
        <v>3451</v>
      </c>
      <c r="AB43" s="1634" t="s">
        <v>3452</v>
      </c>
      <c r="AC43" s="1634" t="s">
        <v>3132</v>
      </c>
      <c r="AD43" s="1634" t="s">
        <v>3453</v>
      </c>
      <c r="AE43" s="1634">
        <v>46000</v>
      </c>
      <c r="AF43" s="1634">
        <v>76542</v>
      </c>
      <c r="AG43" s="1634">
        <v>76896</v>
      </c>
      <c r="AH43" s="1634">
        <v>371.24</v>
      </c>
      <c r="AI43" s="1634">
        <v>372.95</v>
      </c>
      <c r="AJ43" s="1634">
        <v>3712.37</v>
      </c>
      <c r="AK43" s="1634">
        <v>3729.53</v>
      </c>
      <c r="AL43" s="1634" t="s">
        <v>1321</v>
      </c>
      <c r="AM43" s="1634" t="s">
        <v>1321</v>
      </c>
      <c r="AN43" s="1634">
        <v>0.46</v>
      </c>
      <c r="AO43" s="1634" t="s">
        <v>3134</v>
      </c>
      <c r="AP43" s="1634" t="s">
        <v>1321</v>
      </c>
      <c r="AQ43" s="1634" t="s">
        <v>1321</v>
      </c>
      <c r="AR43" s="1634" t="s">
        <v>1321</v>
      </c>
      <c r="AS43" s="1634" t="s">
        <v>3147</v>
      </c>
      <c r="AT43" s="1634">
        <f t="shared" si="0"/>
        <v>5594.3160538304519</v>
      </c>
    </row>
    <row r="44" spans="1:46">
      <c r="A44" s="1634" t="s">
        <v>3454</v>
      </c>
      <c r="B44" s="1634" t="s">
        <v>3118</v>
      </c>
      <c r="C44" s="1634" t="s">
        <v>3119</v>
      </c>
      <c r="D44" s="1634" t="s">
        <v>3222</v>
      </c>
      <c r="E44" s="1634" t="s">
        <v>1321</v>
      </c>
      <c r="F44" s="1634" t="s">
        <v>3454</v>
      </c>
      <c r="G44" s="1634" t="s">
        <v>3121</v>
      </c>
      <c r="H44" s="1634" t="s">
        <v>3455</v>
      </c>
      <c r="I44" s="1634" t="s">
        <v>3275</v>
      </c>
      <c r="J44" s="1634">
        <v>45714.879999999997</v>
      </c>
      <c r="K44" s="1634">
        <v>32000.42</v>
      </c>
      <c r="L44" s="1634" t="s">
        <v>3296</v>
      </c>
      <c r="M44" s="1634" t="s">
        <v>1321</v>
      </c>
      <c r="N44" s="1634" t="s">
        <v>3349</v>
      </c>
      <c r="O44" s="1634" t="s">
        <v>3305</v>
      </c>
      <c r="P44" s="1634" t="s">
        <v>1321</v>
      </c>
      <c r="Q44" s="1634" t="s">
        <v>1321</v>
      </c>
      <c r="R44" s="1634" t="s">
        <v>1321</v>
      </c>
      <c r="S44" s="1634" t="s">
        <v>1321</v>
      </c>
      <c r="T44" s="1634" t="s">
        <v>1321</v>
      </c>
      <c r="U44" s="1634" t="s">
        <v>1321</v>
      </c>
      <c r="V44" s="1634" t="s">
        <v>1321</v>
      </c>
      <c r="W44" s="1634" t="s">
        <v>3340</v>
      </c>
      <c r="X44" s="1634" t="s">
        <v>3456</v>
      </c>
      <c r="Y44" s="1634" t="s">
        <v>3457</v>
      </c>
      <c r="Z44" s="1634" t="s">
        <v>3458</v>
      </c>
      <c r="AA44" s="1634" t="s">
        <v>3458</v>
      </c>
      <c r="AB44" s="1634" t="s">
        <v>3459</v>
      </c>
      <c r="AC44" s="1634" t="s">
        <v>3132</v>
      </c>
      <c r="AD44" s="1634" t="s">
        <v>3460</v>
      </c>
      <c r="AE44" s="1634">
        <v>20773</v>
      </c>
      <c r="AF44" s="1634" t="s">
        <v>1321</v>
      </c>
      <c r="AG44" s="1634">
        <v>20961</v>
      </c>
      <c r="AH44" s="1634" t="s">
        <v>1321</v>
      </c>
      <c r="AI44" s="1634">
        <v>305.68</v>
      </c>
      <c r="AJ44" s="1634" t="s">
        <v>1321</v>
      </c>
      <c r="AK44" s="1634">
        <v>6550.22</v>
      </c>
      <c r="AL44" s="1634" t="s">
        <v>1321</v>
      </c>
      <c r="AM44" s="1634" t="s">
        <v>1321</v>
      </c>
      <c r="AN44" s="1634" t="s">
        <v>1321</v>
      </c>
      <c r="AO44" s="1634" t="s">
        <v>3134</v>
      </c>
      <c r="AP44" s="1634" t="s">
        <v>1321</v>
      </c>
      <c r="AQ44" s="1634" t="s">
        <v>1321</v>
      </c>
      <c r="AR44" s="1634" t="s">
        <v>1321</v>
      </c>
      <c r="AS44" s="1634" t="s">
        <v>3147</v>
      </c>
      <c r="AT44" s="1634">
        <f t="shared" si="0"/>
        <v>4585.159142931142</v>
      </c>
    </row>
    <row r="45" spans="1:46">
      <c r="A45" s="1634" t="s">
        <v>3461</v>
      </c>
      <c r="B45" s="1634" t="s">
        <v>3118</v>
      </c>
      <c r="C45" s="1634" t="s">
        <v>3119</v>
      </c>
      <c r="D45" s="1634" t="s">
        <v>3222</v>
      </c>
      <c r="E45" s="1634" t="s">
        <v>1321</v>
      </c>
      <c r="F45" s="1634" t="s">
        <v>3461</v>
      </c>
      <c r="G45" s="1634" t="s">
        <v>3121</v>
      </c>
      <c r="H45" s="1634" t="s">
        <v>3462</v>
      </c>
      <c r="I45" s="1634" t="s">
        <v>3123</v>
      </c>
      <c r="J45" s="1634">
        <v>101766</v>
      </c>
      <c r="K45" s="1634">
        <v>40706.379999999997</v>
      </c>
      <c r="L45" s="1634" t="s">
        <v>3463</v>
      </c>
      <c r="M45" s="1634" t="s">
        <v>1321</v>
      </c>
      <c r="N45" s="1634" t="s">
        <v>3464</v>
      </c>
      <c r="O45" s="1634" t="s">
        <v>3465</v>
      </c>
      <c r="P45" s="1634" t="s">
        <v>1321</v>
      </c>
      <c r="Q45" s="1634" t="s">
        <v>1321</v>
      </c>
      <c r="R45" s="1634" t="s">
        <v>1321</v>
      </c>
      <c r="S45" s="1634" t="s">
        <v>1321</v>
      </c>
      <c r="T45" s="1634" t="s">
        <v>1321</v>
      </c>
      <c r="U45" s="1634" t="s">
        <v>1321</v>
      </c>
      <c r="V45" s="1634" t="s">
        <v>1321</v>
      </c>
      <c r="W45" s="1634" t="s">
        <v>3340</v>
      </c>
      <c r="X45" s="1634" t="s">
        <v>3466</v>
      </c>
      <c r="Y45" s="1634" t="s">
        <v>3467</v>
      </c>
      <c r="Z45" s="1634" t="s">
        <v>3468</v>
      </c>
      <c r="AA45" s="1634" t="s">
        <v>3468</v>
      </c>
      <c r="AB45" s="1634" t="s">
        <v>3469</v>
      </c>
      <c r="AC45" s="1634" t="s">
        <v>3132</v>
      </c>
      <c r="AD45" s="1634" t="s">
        <v>3366</v>
      </c>
      <c r="AE45" s="1634">
        <v>42345</v>
      </c>
      <c r="AF45" s="1634" t="s">
        <v>1321</v>
      </c>
      <c r="AG45" s="1634">
        <v>43000</v>
      </c>
      <c r="AH45" s="1634" t="s">
        <v>1321</v>
      </c>
      <c r="AI45" s="1634">
        <v>281.69</v>
      </c>
      <c r="AJ45" s="1634" t="s">
        <v>1321</v>
      </c>
      <c r="AK45" s="1634">
        <v>10563.45</v>
      </c>
      <c r="AL45" s="1634" t="s">
        <v>1321</v>
      </c>
      <c r="AM45" s="1634" t="s">
        <v>1321</v>
      </c>
      <c r="AN45" s="1634" t="s">
        <v>1321</v>
      </c>
      <c r="AO45" s="1634" t="s">
        <v>3134</v>
      </c>
      <c r="AP45" s="1634" t="s">
        <v>1321</v>
      </c>
      <c r="AQ45" s="1634" t="s">
        <v>1321</v>
      </c>
      <c r="AR45" s="1634" t="s">
        <v>1321</v>
      </c>
      <c r="AS45" s="1634" t="s">
        <v>3264</v>
      </c>
      <c r="AT45" s="1634">
        <f t="shared" si="0"/>
        <v>4225.3797928581253</v>
      </c>
    </row>
    <row r="46" spans="1:46">
      <c r="A46" s="1634" t="s">
        <v>3470</v>
      </c>
      <c r="B46" s="1634" t="s">
        <v>3118</v>
      </c>
      <c r="C46" s="1634" t="s">
        <v>3119</v>
      </c>
      <c r="D46" s="1634" t="s">
        <v>3120</v>
      </c>
      <c r="E46" s="1634" t="s">
        <v>1321</v>
      </c>
      <c r="F46" s="1634" t="s">
        <v>3470</v>
      </c>
      <c r="G46" s="1634" t="s">
        <v>3121</v>
      </c>
      <c r="H46" s="1634" t="s">
        <v>3471</v>
      </c>
      <c r="I46" s="1634" t="s">
        <v>3123</v>
      </c>
      <c r="J46" s="1634">
        <v>4913.5600000000004</v>
      </c>
      <c r="K46" s="1634">
        <v>10809.83</v>
      </c>
      <c r="L46" s="1634" t="s">
        <v>3472</v>
      </c>
      <c r="M46" s="1634" t="s">
        <v>1321</v>
      </c>
      <c r="N46" s="1634" t="s">
        <v>3473</v>
      </c>
      <c r="O46" s="1634" t="s">
        <v>3185</v>
      </c>
      <c r="P46" s="1634" t="s">
        <v>1321</v>
      </c>
      <c r="Q46" s="1634" t="s">
        <v>1321</v>
      </c>
      <c r="R46" s="1634" t="s">
        <v>1321</v>
      </c>
      <c r="S46" s="1634" t="s">
        <v>1321</v>
      </c>
      <c r="T46" s="1634" t="s">
        <v>1321</v>
      </c>
      <c r="U46" s="1634" t="s">
        <v>1321</v>
      </c>
      <c r="V46" s="1634" t="s">
        <v>1321</v>
      </c>
      <c r="W46" s="1634" t="s">
        <v>3340</v>
      </c>
      <c r="X46" s="1634" t="s">
        <v>3474</v>
      </c>
      <c r="Y46" s="1634" t="s">
        <v>3475</v>
      </c>
      <c r="Z46" s="1634" t="s">
        <v>3476</v>
      </c>
      <c r="AA46" s="1634" t="s">
        <v>3476</v>
      </c>
      <c r="AB46" s="1634" t="s">
        <v>3477</v>
      </c>
      <c r="AC46" s="1634" t="s">
        <v>3132</v>
      </c>
      <c r="AD46" s="1634" t="s">
        <v>3478</v>
      </c>
      <c r="AE46" s="1634">
        <v>2200</v>
      </c>
      <c r="AF46" s="1634" t="s">
        <v>1321</v>
      </c>
      <c r="AG46" s="1634">
        <v>3750</v>
      </c>
      <c r="AH46" s="1634" t="s">
        <v>1321</v>
      </c>
      <c r="AI46" s="1634">
        <v>508.8</v>
      </c>
      <c r="AJ46" s="1634" t="s">
        <v>1321</v>
      </c>
      <c r="AK46" s="1634">
        <v>3469.05</v>
      </c>
      <c r="AL46" s="1634" t="s">
        <v>1321</v>
      </c>
      <c r="AM46" s="1634" t="s">
        <v>1321</v>
      </c>
      <c r="AN46" s="1634" t="s">
        <v>1321</v>
      </c>
      <c r="AO46" s="1634" t="s">
        <v>3134</v>
      </c>
      <c r="AP46" s="1634" t="s">
        <v>1321</v>
      </c>
      <c r="AQ46" s="1634" t="s">
        <v>1321</v>
      </c>
      <c r="AR46" s="1634" t="s">
        <v>1321</v>
      </c>
      <c r="AS46" s="1634" t="s">
        <v>3135</v>
      </c>
      <c r="AT46" s="1634">
        <f t="shared" si="0"/>
        <v>7631.9409959377717</v>
      </c>
    </row>
    <row r="47" spans="1:46">
      <c r="A47" s="1634" t="s">
        <v>3479</v>
      </c>
      <c r="B47" s="1634" t="s">
        <v>3118</v>
      </c>
      <c r="C47" s="1634" t="s">
        <v>3119</v>
      </c>
      <c r="D47" s="1634" t="s">
        <v>3222</v>
      </c>
      <c r="E47" s="1634" t="s">
        <v>1321</v>
      </c>
      <c r="F47" s="1634" t="s">
        <v>3479</v>
      </c>
      <c r="G47" s="1634" t="s">
        <v>3121</v>
      </c>
      <c r="H47" s="1634" t="s">
        <v>3480</v>
      </c>
      <c r="I47" s="1634" t="s">
        <v>3275</v>
      </c>
      <c r="J47" s="1634">
        <v>4184.7700000000004</v>
      </c>
      <c r="K47" s="1634">
        <v>1255.43</v>
      </c>
      <c r="L47" s="1634" t="s">
        <v>3481</v>
      </c>
      <c r="M47" s="1634" t="s">
        <v>1321</v>
      </c>
      <c r="N47" s="1634" t="s">
        <v>3464</v>
      </c>
      <c r="O47" s="1634" t="s">
        <v>3465</v>
      </c>
      <c r="P47" s="1634" t="s">
        <v>1321</v>
      </c>
      <c r="Q47" s="1634" t="s">
        <v>1321</v>
      </c>
      <c r="R47" s="1634" t="s">
        <v>1321</v>
      </c>
      <c r="S47" s="1634" t="s">
        <v>1321</v>
      </c>
      <c r="T47" s="1634" t="s">
        <v>1321</v>
      </c>
      <c r="U47" s="1634" t="s">
        <v>1321</v>
      </c>
      <c r="V47" s="1634" t="s">
        <v>1321</v>
      </c>
      <c r="W47" s="1634" t="s">
        <v>3340</v>
      </c>
      <c r="X47" s="1634" t="s">
        <v>3482</v>
      </c>
      <c r="Y47" s="1634" t="s">
        <v>3483</v>
      </c>
      <c r="Z47" s="1634" t="s">
        <v>3484</v>
      </c>
      <c r="AA47" s="1634" t="s">
        <v>3484</v>
      </c>
      <c r="AB47" s="1634" t="s">
        <v>3485</v>
      </c>
      <c r="AC47" s="1634" t="s">
        <v>3132</v>
      </c>
      <c r="AD47" s="1634" t="s">
        <v>3486</v>
      </c>
      <c r="AE47" s="1634">
        <v>1214</v>
      </c>
      <c r="AF47" s="1634" t="s">
        <v>1321</v>
      </c>
      <c r="AG47" s="1634">
        <v>1265</v>
      </c>
      <c r="AH47" s="1634" t="s">
        <v>1321</v>
      </c>
      <c r="AI47" s="1634">
        <v>201.52</v>
      </c>
      <c r="AJ47" s="1634" t="s">
        <v>1321</v>
      </c>
      <c r="AK47" s="1634">
        <v>10076.219999999999</v>
      </c>
      <c r="AL47" s="1634" t="s">
        <v>1321</v>
      </c>
      <c r="AM47" s="1634" t="s">
        <v>1321</v>
      </c>
      <c r="AN47" s="1634" t="s">
        <v>1321</v>
      </c>
      <c r="AO47" s="1634" t="s">
        <v>3134</v>
      </c>
      <c r="AP47" s="1634" t="s">
        <v>1321</v>
      </c>
      <c r="AQ47" s="1634" t="s">
        <v>1321</v>
      </c>
      <c r="AR47" s="1634" t="s">
        <v>1321</v>
      </c>
      <c r="AS47" s="1634" t="s">
        <v>3264</v>
      </c>
      <c r="AT47" s="1634">
        <f t="shared" si="0"/>
        <v>3022.8662507138984</v>
      </c>
    </row>
    <row r="48" spans="1:46">
      <c r="A48" s="1634" t="s">
        <v>3487</v>
      </c>
      <c r="B48" s="1634" t="s">
        <v>3118</v>
      </c>
      <c r="C48" s="1634" t="s">
        <v>3119</v>
      </c>
      <c r="D48" s="1634" t="s">
        <v>3222</v>
      </c>
      <c r="E48" s="1634" t="s">
        <v>1321</v>
      </c>
      <c r="F48" s="1634" t="s">
        <v>3487</v>
      </c>
      <c r="G48" s="1634" t="s">
        <v>3121</v>
      </c>
      <c r="H48" s="1634" t="s">
        <v>3488</v>
      </c>
      <c r="I48" s="1634" t="s">
        <v>3275</v>
      </c>
      <c r="J48" s="1634">
        <v>2304.2600000000002</v>
      </c>
      <c r="K48" s="1634">
        <v>691.28</v>
      </c>
      <c r="L48" s="1634" t="s">
        <v>3481</v>
      </c>
      <c r="M48" s="1634" t="s">
        <v>1321</v>
      </c>
      <c r="N48" s="1634" t="s">
        <v>3464</v>
      </c>
      <c r="O48" s="1634" t="s">
        <v>3465</v>
      </c>
      <c r="P48" s="1634" t="s">
        <v>1321</v>
      </c>
      <c r="Q48" s="1634" t="s">
        <v>1321</v>
      </c>
      <c r="R48" s="1634" t="s">
        <v>1321</v>
      </c>
      <c r="S48" s="1634" t="s">
        <v>1321</v>
      </c>
      <c r="T48" s="1634" t="s">
        <v>1321</v>
      </c>
      <c r="U48" s="1634" t="s">
        <v>1321</v>
      </c>
      <c r="V48" s="1634" t="s">
        <v>1321</v>
      </c>
      <c r="W48" s="1634" t="s">
        <v>3340</v>
      </c>
      <c r="X48" s="1634" t="s">
        <v>3482</v>
      </c>
      <c r="Y48" s="1634" t="s">
        <v>3483</v>
      </c>
      <c r="Z48" s="1634" t="s">
        <v>3484</v>
      </c>
      <c r="AA48" s="1634" t="s">
        <v>3484</v>
      </c>
      <c r="AB48" s="1634" t="s">
        <v>3489</v>
      </c>
      <c r="AC48" s="1634" t="s">
        <v>3132</v>
      </c>
      <c r="AD48" s="1634" t="s">
        <v>3486</v>
      </c>
      <c r="AE48" s="1634">
        <v>685</v>
      </c>
      <c r="AF48" s="1634" t="s">
        <v>1321</v>
      </c>
      <c r="AG48" s="1634">
        <v>710</v>
      </c>
      <c r="AH48" s="1634" t="s">
        <v>1321</v>
      </c>
      <c r="AI48" s="1634">
        <v>205.42</v>
      </c>
      <c r="AJ48" s="1634" t="s">
        <v>1321</v>
      </c>
      <c r="AK48" s="1634">
        <v>10270.790000000001</v>
      </c>
      <c r="AL48" s="1634" t="s">
        <v>1321</v>
      </c>
      <c r="AM48" s="1634" t="s">
        <v>1321</v>
      </c>
      <c r="AN48" s="1634" t="s">
        <v>1321</v>
      </c>
      <c r="AO48" s="1634" t="s">
        <v>3134</v>
      </c>
      <c r="AP48" s="1634" t="s">
        <v>1321</v>
      </c>
      <c r="AQ48" s="1634" t="s">
        <v>1321</v>
      </c>
      <c r="AR48" s="1634" t="s">
        <v>1321</v>
      </c>
      <c r="AS48" s="1634" t="s">
        <v>3264</v>
      </c>
      <c r="AT48" s="1634">
        <f t="shared" si="0"/>
        <v>3081.2495117738449</v>
      </c>
    </row>
    <row r="49" spans="1:46">
      <c r="A49" s="1634" t="s">
        <v>3490</v>
      </c>
      <c r="B49" s="1634" t="s">
        <v>3118</v>
      </c>
      <c r="C49" s="1634" t="s">
        <v>3119</v>
      </c>
      <c r="D49" s="1634" t="s">
        <v>3491</v>
      </c>
      <c r="E49" s="1634" t="s">
        <v>1321</v>
      </c>
      <c r="F49" s="1634" t="s">
        <v>3490</v>
      </c>
      <c r="G49" s="1634" t="s">
        <v>3121</v>
      </c>
      <c r="H49" s="1634" t="s">
        <v>3492</v>
      </c>
      <c r="I49" s="1634" t="s">
        <v>3235</v>
      </c>
      <c r="J49" s="1634">
        <v>105586.2</v>
      </c>
      <c r="K49" s="1634">
        <v>79189.66</v>
      </c>
      <c r="L49" s="1634" t="s">
        <v>3493</v>
      </c>
      <c r="M49" s="1634" t="s">
        <v>1321</v>
      </c>
      <c r="N49" s="1634" t="s">
        <v>3494</v>
      </c>
      <c r="O49" s="1634" t="s">
        <v>3495</v>
      </c>
      <c r="P49" s="1634" t="s">
        <v>1321</v>
      </c>
      <c r="Q49" s="1634" t="s">
        <v>1321</v>
      </c>
      <c r="R49" s="1634" t="s">
        <v>1321</v>
      </c>
      <c r="S49" s="1634" t="s">
        <v>1321</v>
      </c>
      <c r="T49" s="1634" t="s">
        <v>1321</v>
      </c>
      <c r="U49" s="1634" t="s">
        <v>1321</v>
      </c>
      <c r="V49" s="1634" t="s">
        <v>1321</v>
      </c>
      <c r="W49" s="1634" t="s">
        <v>3340</v>
      </c>
      <c r="X49" s="1634" t="s">
        <v>3496</v>
      </c>
      <c r="Y49" s="1634" t="s">
        <v>3497</v>
      </c>
      <c r="Z49" s="1634" t="s">
        <v>3498</v>
      </c>
      <c r="AA49" s="1634" t="s">
        <v>3498</v>
      </c>
      <c r="AB49" s="1634" t="s">
        <v>3499</v>
      </c>
      <c r="AC49" s="1634" t="s">
        <v>3132</v>
      </c>
      <c r="AD49" s="1634" t="s">
        <v>3500</v>
      </c>
      <c r="AE49" s="1634">
        <v>4800</v>
      </c>
      <c r="AF49" s="1634" t="s">
        <v>1321</v>
      </c>
      <c r="AG49" s="1634">
        <v>24145</v>
      </c>
      <c r="AH49" s="1634" t="s">
        <v>1321</v>
      </c>
      <c r="AI49" s="1634">
        <v>152.44999999999999</v>
      </c>
      <c r="AJ49" s="1634" t="s">
        <v>1321</v>
      </c>
      <c r="AK49" s="1634">
        <v>3049.01</v>
      </c>
      <c r="AL49" s="1634" t="s">
        <v>1321</v>
      </c>
      <c r="AM49" s="1634" t="s">
        <v>1321</v>
      </c>
      <c r="AN49" s="1634" t="s">
        <v>1321</v>
      </c>
      <c r="AO49" s="1634" t="s">
        <v>3134</v>
      </c>
      <c r="AP49" s="1634" t="s">
        <v>1321</v>
      </c>
      <c r="AQ49" s="1634" t="s">
        <v>1321</v>
      </c>
      <c r="AR49" s="1634" t="s">
        <v>1321</v>
      </c>
      <c r="AS49" s="1634" t="s">
        <v>3501</v>
      </c>
      <c r="AT49" s="1634">
        <f t="shared" si="0"/>
        <v>2286.7571709181693</v>
      </c>
    </row>
    <row r="50" spans="1:46">
      <c r="A50" s="1634" t="s">
        <v>3502</v>
      </c>
      <c r="B50" s="1634" t="s">
        <v>3118</v>
      </c>
      <c r="C50" s="1634" t="s">
        <v>3119</v>
      </c>
      <c r="D50" s="1634" t="s">
        <v>3255</v>
      </c>
      <c r="E50" s="1634" t="s">
        <v>1321</v>
      </c>
      <c r="F50" s="1634" t="s">
        <v>3502</v>
      </c>
      <c r="G50" s="1634" t="s">
        <v>3121</v>
      </c>
      <c r="H50" s="1634" t="s">
        <v>3503</v>
      </c>
      <c r="I50" s="1634" t="s">
        <v>3235</v>
      </c>
      <c r="J50" s="1634">
        <v>1606.03</v>
      </c>
      <c r="K50" s="1634">
        <v>6745.33</v>
      </c>
      <c r="L50" s="1634" t="s">
        <v>3504</v>
      </c>
      <c r="M50" s="1634" t="s">
        <v>1321</v>
      </c>
      <c r="N50" s="1634" t="s">
        <v>1321</v>
      </c>
      <c r="O50" s="1634" t="s">
        <v>1321</v>
      </c>
      <c r="P50" s="1634" t="s">
        <v>1321</v>
      </c>
      <c r="Q50" s="1634" t="s">
        <v>1321</v>
      </c>
      <c r="R50" s="1634" t="s">
        <v>1321</v>
      </c>
      <c r="S50" s="1634" t="s">
        <v>1321</v>
      </c>
      <c r="T50" s="1634" t="s">
        <v>1321</v>
      </c>
      <c r="U50" s="1634" t="s">
        <v>1321</v>
      </c>
      <c r="V50" s="1634" t="s">
        <v>1321</v>
      </c>
      <c r="W50" s="1634" t="s">
        <v>3340</v>
      </c>
      <c r="X50" s="1634" t="s">
        <v>3505</v>
      </c>
      <c r="Y50" s="1634" t="s">
        <v>3506</v>
      </c>
      <c r="Z50" s="1634" t="s">
        <v>3507</v>
      </c>
      <c r="AA50" s="1634" t="s">
        <v>3507</v>
      </c>
      <c r="AB50" s="1634" t="s">
        <v>3508</v>
      </c>
      <c r="AC50" s="1634" t="s">
        <v>3132</v>
      </c>
      <c r="AD50" s="1634" t="s">
        <v>3509</v>
      </c>
      <c r="AE50" s="1634">
        <v>1097</v>
      </c>
      <c r="AF50" s="1634" t="s">
        <v>1321</v>
      </c>
      <c r="AG50" s="1634">
        <v>1147</v>
      </c>
      <c r="AH50" s="1634" t="s">
        <v>1321</v>
      </c>
      <c r="AI50" s="1634">
        <v>476.12</v>
      </c>
      <c r="AJ50" s="1634" t="s">
        <v>1321</v>
      </c>
      <c r="AK50" s="1634">
        <v>1700.44</v>
      </c>
      <c r="AL50" s="1634" t="s">
        <v>1321</v>
      </c>
      <c r="AM50" s="1634" t="s">
        <v>1321</v>
      </c>
      <c r="AN50" s="1634" t="s">
        <v>1321</v>
      </c>
      <c r="AO50" s="1634" t="s">
        <v>3510</v>
      </c>
      <c r="AP50" s="1634" t="s">
        <v>1321</v>
      </c>
      <c r="AQ50" s="1634" t="s">
        <v>1321</v>
      </c>
      <c r="AR50" s="1634" t="s">
        <v>1321</v>
      </c>
      <c r="AS50" s="1634" t="s">
        <v>3156</v>
      </c>
      <c r="AT50" s="1634">
        <f t="shared" si="0"/>
        <v>7141.8342123123475</v>
      </c>
    </row>
    <row r="51" spans="1:46">
      <c r="A51" s="1634" t="s">
        <v>3511</v>
      </c>
      <c r="B51" s="1634" t="s">
        <v>3118</v>
      </c>
      <c r="C51" s="1634" t="s">
        <v>3119</v>
      </c>
      <c r="D51" s="1634" t="s">
        <v>3491</v>
      </c>
      <c r="E51" s="1634" t="s">
        <v>1321</v>
      </c>
      <c r="F51" s="1634" t="s">
        <v>3511</v>
      </c>
      <c r="G51" s="1634" t="s">
        <v>3121</v>
      </c>
      <c r="H51" s="1634" t="s">
        <v>3512</v>
      </c>
      <c r="I51" s="1634" t="s">
        <v>3123</v>
      </c>
      <c r="J51" s="1634">
        <v>78830.899999999994</v>
      </c>
      <c r="K51" s="1634">
        <v>118246.39999999999</v>
      </c>
      <c r="L51" s="1634" t="s">
        <v>3513</v>
      </c>
      <c r="M51" s="1634" t="s">
        <v>1321</v>
      </c>
      <c r="N51" s="1634" t="s">
        <v>3514</v>
      </c>
      <c r="O51" s="1634" t="s">
        <v>3515</v>
      </c>
      <c r="P51" s="1634" t="s">
        <v>1321</v>
      </c>
      <c r="Q51" s="1634" t="s">
        <v>1321</v>
      </c>
      <c r="R51" s="1634" t="s">
        <v>1321</v>
      </c>
      <c r="S51" s="1634" t="s">
        <v>1321</v>
      </c>
      <c r="T51" s="1634" t="s">
        <v>1321</v>
      </c>
      <c r="U51" s="1634" t="s">
        <v>1321</v>
      </c>
      <c r="V51" s="1634" t="s">
        <v>1321</v>
      </c>
      <c r="W51" s="1634" t="s">
        <v>3340</v>
      </c>
      <c r="X51" s="1634" t="s">
        <v>3516</v>
      </c>
      <c r="Y51" s="1634" t="s">
        <v>3517</v>
      </c>
      <c r="Z51" s="1634" t="s">
        <v>3518</v>
      </c>
      <c r="AA51" s="1634" t="s">
        <v>3518</v>
      </c>
      <c r="AB51" s="1634" t="s">
        <v>3519</v>
      </c>
      <c r="AC51" s="1634" t="s">
        <v>3132</v>
      </c>
      <c r="AD51" s="1634" t="s">
        <v>3520</v>
      </c>
      <c r="AE51" s="1634">
        <v>29507</v>
      </c>
      <c r="AF51" s="1634" t="s">
        <v>1321</v>
      </c>
      <c r="AG51" s="1634">
        <v>29788</v>
      </c>
      <c r="AH51" s="1634" t="s">
        <v>1321</v>
      </c>
      <c r="AI51" s="1634">
        <v>251.91</v>
      </c>
      <c r="AJ51" s="1634" t="s">
        <v>1321</v>
      </c>
      <c r="AK51" s="1634">
        <v>2519.15</v>
      </c>
      <c r="AL51" s="1634" t="s">
        <v>1321</v>
      </c>
      <c r="AM51" s="1634" t="s">
        <v>1321</v>
      </c>
      <c r="AN51" s="1634" t="s">
        <v>1321</v>
      </c>
      <c r="AO51" s="1634" t="s">
        <v>3134</v>
      </c>
      <c r="AP51" s="1634" t="s">
        <v>1321</v>
      </c>
      <c r="AQ51" s="1634" t="s">
        <v>1321</v>
      </c>
      <c r="AR51" s="1634" t="s">
        <v>1321</v>
      </c>
      <c r="AS51" s="1634" t="s">
        <v>3501</v>
      </c>
      <c r="AT51" s="1634">
        <f t="shared" si="0"/>
        <v>3778.7212882258104</v>
      </c>
    </row>
  </sheetData>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2515</v>
      </c>
      <c r="B1" s="2580" t="s">
        <v>2516</v>
      </c>
      <c r="C1" s="1633" t="s">
        <v>2517</v>
      </c>
      <c r="D1" s="1620"/>
      <c r="E1" s="2581"/>
      <c r="F1" s="2582" t="s">
        <v>2518</v>
      </c>
      <c r="G1" s="1630" t="s">
        <v>2519</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1383</v>
      </c>
      <c r="B2" s="1418" t="e">
        <f ca="1">IF(C2="——",ROUND(C49*D3/10000,0),ROUND(C49*D3/10000,0)-D2)</f>
        <v>#DIV/0!</v>
      </c>
      <c r="C2" s="2584"/>
      <c r="D2" s="1365" t="e">
        <f ca="1">SUMIF(INDIRECT("'"&amp;F2&amp;"'"&amp;"!A:A"),"承租人权益价值",INDIRECT("'"&amp;F2&amp;"'"&amp;"!c:c"))</f>
        <v>#REF!</v>
      </c>
      <c r="E2" s="2585" t="s">
        <v>2520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1384</v>
      </c>
      <c r="B3" s="399" t="e">
        <f ca="1">IF(C2="——",C49,ROUND(B2*10000/D3,0))</f>
        <v>#DIV/0!</v>
      </c>
      <c r="C3" s="400" t="s">
        <v>2521</v>
      </c>
      <c r="D3" s="399">
        <f>IF(D1="",'数据-汇总表'!E3,SUMIF('数据-汇总表'!$C19:$C33,D1,'数据-汇总表'!$E19:$E33))</f>
        <v>57477.440000000002</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2522</v>
      </c>
      <c r="B4" s="402"/>
      <c r="C4" s="3196" t="s">
        <v>2523</v>
      </c>
      <c r="D4" s="3197"/>
      <c r="E4" s="3198" t="s">
        <v>2524</v>
      </c>
      <c r="F4" s="3199"/>
      <c r="G4" s="3196" t="s">
        <v>2525</v>
      </c>
      <c r="H4" s="3197"/>
      <c r="I4" s="3196" t="s">
        <v>2526</v>
      </c>
      <c r="J4" s="3197"/>
      <c r="K4" s="2594" t="s">
        <v>2527</v>
      </c>
      <c r="L4" s="1130"/>
      <c r="M4" s="1131"/>
      <c r="N4" s="1131"/>
      <c r="O4" s="1131"/>
      <c r="P4" s="3200" t="s">
        <v>2528</v>
      </c>
      <c r="Q4" s="3201"/>
      <c r="R4" s="3183" t="s">
        <v>2524</v>
      </c>
      <c r="S4" s="3184"/>
      <c r="T4" s="3183" t="s">
        <v>2525</v>
      </c>
      <c r="U4" s="3184"/>
      <c r="V4" s="3208" t="s">
        <v>2526</v>
      </c>
      <c r="W4" s="3208"/>
      <c r="X4" s="1812"/>
      <c r="Y4" s="3183" t="s">
        <v>2528</v>
      </c>
      <c r="Z4" s="3184"/>
      <c r="AA4" s="3178" t="s">
        <v>2524</v>
      </c>
      <c r="AB4" s="3178" t="s">
        <v>2525</v>
      </c>
      <c r="AC4" s="3178" t="s">
        <v>2526</v>
      </c>
    </row>
    <row r="5" spans="1:29">
      <c r="A5" s="404"/>
      <c r="B5" s="405"/>
      <c r="C5" s="3189" t="s">
        <v>2529</v>
      </c>
      <c r="D5" s="3190"/>
      <c r="E5" s="3187" t="s">
        <v>2530</v>
      </c>
      <c r="F5" s="3188"/>
      <c r="G5" s="3189" t="s">
        <v>2531</v>
      </c>
      <c r="H5" s="3190"/>
      <c r="I5" s="3189" t="s">
        <v>2532</v>
      </c>
      <c r="J5" s="3190"/>
      <c r="K5" s="2595"/>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191" t="s">
        <v>2533</v>
      </c>
      <c r="D6" s="3192"/>
      <c r="E6" s="3193" t="s">
        <v>2533</v>
      </c>
      <c r="F6" s="3194"/>
      <c r="G6" s="3191" t="s">
        <v>2533</v>
      </c>
      <c r="H6" s="3192"/>
      <c r="I6" s="3191" t="s">
        <v>2533</v>
      </c>
      <c r="J6" s="3192"/>
      <c r="K6" s="2595" t="s">
        <v>2534</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2535</v>
      </c>
      <c r="B7" s="409"/>
      <c r="C7" s="410">
        <f>'数据-取费表'!B2</f>
        <v>43768</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1" t="s">
        <v>2536</v>
      </c>
      <c r="Q7" s="3209"/>
      <c r="R7" s="770" t="s">
        <v>23</v>
      </c>
      <c r="S7" s="771">
        <f t="shared" ref="S7:S15" si="0">F7</f>
        <v>0</v>
      </c>
      <c r="T7" s="770" t="s">
        <v>23</v>
      </c>
      <c r="U7" s="771">
        <f t="shared" ref="U7:U15" si="1">H7</f>
        <v>0</v>
      </c>
      <c r="V7" s="770" t="s">
        <v>23</v>
      </c>
      <c r="W7" s="771">
        <f t="shared" ref="W7:W15" si="2">J7</f>
        <v>0</v>
      </c>
      <c r="X7" s="772"/>
      <c r="Y7" s="3181" t="s">
        <v>2536</v>
      </c>
      <c r="Z7" s="3182"/>
      <c r="AA7" s="773" t="e">
        <f>D7/F7</f>
        <v>#DIV/0!</v>
      </c>
      <c r="AB7" s="773" t="e">
        <f>D7/H7</f>
        <v>#DIV/0!</v>
      </c>
      <c r="AC7" s="773" t="e">
        <f>D7/J7</f>
        <v>#DIV/0!</v>
      </c>
    </row>
    <row r="8" spans="1:29" s="117" customFormat="1" ht="15" thickBot="1">
      <c r="A8" s="408" t="s">
        <v>2537</v>
      </c>
      <c r="B8" s="409"/>
      <c r="C8" s="414" t="s">
        <v>2538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1" t="s">
        <v>2539</v>
      </c>
      <c r="Q8" s="3182"/>
      <c r="R8" s="770" t="s">
        <v>23</v>
      </c>
      <c r="S8" s="771">
        <f t="shared" si="0"/>
        <v>0</v>
      </c>
      <c r="T8" s="770" t="s">
        <v>23</v>
      </c>
      <c r="U8" s="771">
        <f t="shared" si="1"/>
        <v>0</v>
      </c>
      <c r="V8" s="770" t="s">
        <v>23</v>
      </c>
      <c r="W8" s="771">
        <f t="shared" si="2"/>
        <v>0</v>
      </c>
      <c r="X8" s="772"/>
      <c r="Y8" s="3181" t="s">
        <v>2539</v>
      </c>
      <c r="Z8" s="3182"/>
      <c r="AA8" s="773" t="e">
        <f t="shared" ref="AA8:AA19" si="3">D8/F8</f>
        <v>#DIV/0!</v>
      </c>
      <c r="AB8" s="773" t="e">
        <f t="shared" ref="AB8:AB19" si="4">D8/H8</f>
        <v>#DIV/0!</v>
      </c>
      <c r="AC8" s="773" t="e">
        <f t="shared" ref="AC8:AC19" si="5">D8/J8</f>
        <v>#DIV/0!</v>
      </c>
    </row>
    <row r="9" spans="1:29" s="117" customFormat="1" ht="14.4">
      <c r="A9" s="415" t="s">
        <v>2540</v>
      </c>
      <c r="B9" s="71" t="s">
        <v>2541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5" t="s">
        <v>2542</v>
      </c>
      <c r="Q9" s="1794" t="str">
        <f t="shared" ref="Q9:Q15" si="6">B9</f>
        <v>用途</v>
      </c>
      <c r="R9" s="770" t="s">
        <v>17</v>
      </c>
      <c r="S9" s="771">
        <f t="shared" si="0"/>
        <v>100</v>
      </c>
      <c r="T9" s="770" t="s">
        <v>17</v>
      </c>
      <c r="U9" s="771">
        <f t="shared" si="1"/>
        <v>100</v>
      </c>
      <c r="V9" s="770" t="s">
        <v>17</v>
      </c>
      <c r="W9" s="771">
        <f t="shared" si="2"/>
        <v>100</v>
      </c>
      <c r="X9" s="772"/>
      <c r="Y9" s="3028" t="s">
        <v>2543</v>
      </c>
      <c r="Z9" s="55" t="str">
        <f t="shared" ref="Z9:Z15" si="7">Q9</f>
        <v>用途</v>
      </c>
      <c r="AA9" s="773">
        <f t="shared" si="3"/>
        <v>1</v>
      </c>
      <c r="AB9" s="773">
        <f t="shared" si="4"/>
        <v>1</v>
      </c>
      <c r="AC9" s="773">
        <f t="shared" si="5"/>
        <v>1</v>
      </c>
    </row>
    <row r="10" spans="1:29" s="427" customFormat="1" ht="28.8">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4"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5"/>
      <c r="Q12" s="1794">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5"/>
      <c r="Q13" s="1794">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5"/>
      <c r="Q14" s="1794">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15">
      <c r="A15" s="440" t="s">
        <v>2546</v>
      </c>
      <c r="B15" s="69" t="s">
        <v>2075</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2" t="s">
        <v>2547</v>
      </c>
      <c r="Q15" s="1809" t="str">
        <f t="shared" si="6"/>
        <v>居住社区成熟度</v>
      </c>
      <c r="R15" s="774" t="s">
        <v>21</v>
      </c>
      <c r="S15" s="775">
        <f t="shared" si="0"/>
        <v>100</v>
      </c>
      <c r="T15" s="774" t="s">
        <v>21</v>
      </c>
      <c r="U15" s="775">
        <f t="shared" si="1"/>
        <v>100</v>
      </c>
      <c r="V15" s="774" t="s">
        <v>21</v>
      </c>
      <c r="W15" s="775">
        <f t="shared" si="2"/>
        <v>100</v>
      </c>
      <c r="X15" s="1812"/>
      <c r="Y15" s="3215" t="s">
        <v>2547</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23"/>
      <c r="Q16" s="1809"/>
      <c r="R16" s="774"/>
      <c r="S16" s="775"/>
      <c r="T16" s="774"/>
      <c r="U16" s="775"/>
      <c r="V16" s="774"/>
      <c r="W16" s="775"/>
      <c r="X16" s="1812"/>
      <c r="Y16" s="3216"/>
      <c r="Z16" s="1813"/>
      <c r="AA16" s="1810">
        <v>1</v>
      </c>
      <c r="AB16" s="1810">
        <v>1</v>
      </c>
      <c r="AC16" s="1810">
        <v>1</v>
      </c>
    </row>
    <row r="17" spans="1:29" ht="15">
      <c r="A17" s="428"/>
      <c r="B17" s="451" t="s">
        <v>2084</v>
      </c>
      <c r="C17" s="260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3"/>
      <c r="Q17" s="1809" t="str">
        <f>B17</f>
        <v>交通便捷度</v>
      </c>
      <c r="R17" s="774" t="s">
        <v>21</v>
      </c>
      <c r="S17" s="775">
        <f>F17</f>
        <v>100</v>
      </c>
      <c r="T17" s="774" t="s">
        <v>21</v>
      </c>
      <c r="U17" s="775">
        <f>H17</f>
        <v>100</v>
      </c>
      <c r="V17" s="774" t="s">
        <v>21</v>
      </c>
      <c r="W17" s="775">
        <f>J17</f>
        <v>100</v>
      </c>
      <c r="X17" s="1812"/>
      <c r="Y17" s="3216"/>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23"/>
      <c r="Q18" s="1809"/>
      <c r="R18" s="774"/>
      <c r="S18" s="775"/>
      <c r="T18" s="774"/>
      <c r="U18" s="775"/>
      <c r="V18" s="774"/>
      <c r="W18" s="775"/>
      <c r="X18" s="1812"/>
      <c r="Y18" s="3216"/>
      <c r="Z18" s="1813"/>
      <c r="AA18" s="1810">
        <v>1</v>
      </c>
      <c r="AB18" s="1810">
        <v>1</v>
      </c>
      <c r="AC18" s="1810">
        <v>1</v>
      </c>
    </row>
    <row r="19" spans="1:29" ht="15">
      <c r="A19" s="428"/>
      <c r="B19" s="451" t="s">
        <v>2082</v>
      </c>
      <c r="C19" s="260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3"/>
      <c r="Q19" s="1809" t="str">
        <f>B19</f>
        <v>公共配套设施</v>
      </c>
      <c r="R19" s="774" t="s">
        <v>21</v>
      </c>
      <c r="S19" s="775">
        <f>F19</f>
        <v>100</v>
      </c>
      <c r="T19" s="774" t="s">
        <v>21</v>
      </c>
      <c r="U19" s="775">
        <f>H19</f>
        <v>100</v>
      </c>
      <c r="V19" s="774" t="s">
        <v>21</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23"/>
      <c r="Q20" s="1809"/>
      <c r="R20" s="774"/>
      <c r="S20" s="775"/>
      <c r="T20" s="774"/>
      <c r="U20" s="775"/>
      <c r="V20" s="774"/>
      <c r="W20" s="775"/>
      <c r="X20" s="1812"/>
      <c r="Y20" s="3216"/>
      <c r="Z20" s="1813"/>
      <c r="AA20" s="1810">
        <v>1</v>
      </c>
      <c r="AB20" s="1810">
        <v>1</v>
      </c>
      <c r="AC20" s="1810">
        <v>1</v>
      </c>
    </row>
    <row r="21" spans="1:29" ht="15">
      <c r="A21" s="428"/>
      <c r="B21" s="1384" t="s">
        <v>2085</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3"/>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23"/>
      <c r="Q22" s="1809"/>
      <c r="R22" s="774"/>
      <c r="S22" s="775"/>
      <c r="T22" s="774"/>
      <c r="U22" s="775"/>
      <c r="V22" s="774"/>
      <c r="W22" s="775"/>
      <c r="X22" s="1812"/>
      <c r="Y22" s="3216"/>
      <c r="Z22" s="1813"/>
      <c r="AA22" s="1810">
        <v>1</v>
      </c>
      <c r="AB22" s="1810">
        <v>1</v>
      </c>
      <c r="AC22" s="1810">
        <v>1</v>
      </c>
    </row>
    <row r="23" spans="1:29" ht="15">
      <c r="A23" s="428"/>
      <c r="B23" s="451" t="s">
        <v>2089</v>
      </c>
      <c r="C23" s="260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3"/>
      <c r="Q23" s="1809" t="str">
        <f>B23</f>
        <v>自然及人文环境</v>
      </c>
      <c r="R23" s="774" t="s">
        <v>21</v>
      </c>
      <c r="S23" s="775">
        <f>F23</f>
        <v>100</v>
      </c>
      <c r="T23" s="774" t="s">
        <v>21</v>
      </c>
      <c r="U23" s="775">
        <f>H23</f>
        <v>100</v>
      </c>
      <c r="V23" s="774" t="s">
        <v>21</v>
      </c>
      <c r="W23" s="775">
        <f>J23</f>
        <v>100</v>
      </c>
      <c r="X23" s="1812"/>
      <c r="Y23" s="3216"/>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23"/>
      <c r="Q24" s="1809"/>
      <c r="R24" s="774"/>
      <c r="S24" s="775"/>
      <c r="T24" s="774"/>
      <c r="U24" s="775"/>
      <c r="V24" s="774"/>
      <c r="W24" s="775"/>
      <c r="X24" s="1812"/>
      <c r="Y24" s="3216"/>
      <c r="Z24" s="1813"/>
      <c r="AA24" s="1810">
        <v>1</v>
      </c>
      <c r="AB24" s="1810">
        <v>1</v>
      </c>
      <c r="AC24" s="1810">
        <v>1</v>
      </c>
    </row>
    <row r="25" spans="1:29" ht="15">
      <c r="A25" s="428"/>
      <c r="B25" s="422" t="s">
        <v>2548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6"/>
      <c r="Z25" s="1813" t="str">
        <f>Q25</f>
        <v>楼层-1</v>
      </c>
      <c r="AA25" s="1810">
        <f t="shared" ref="AA25:AA46" si="15">D25/F25</f>
        <v>1</v>
      </c>
      <c r="AB25" s="1810">
        <f t="shared" ref="AB25:AB46" si="16">D25/H25</f>
        <v>1</v>
      </c>
      <c r="AC25" s="1810">
        <f t="shared" ref="AC25:AC46" si="17">D25/J25</f>
        <v>1</v>
      </c>
    </row>
    <row r="26" spans="1:29" ht="15">
      <c r="A26" s="428"/>
      <c r="B26" s="422" t="s">
        <v>2549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3"/>
      <c r="Q26" s="1809" t="str">
        <f t="shared" si="11"/>
        <v>朝向</v>
      </c>
      <c r="R26" s="774" t="s">
        <v>21</v>
      </c>
      <c r="S26" s="775">
        <f t="shared" si="12"/>
        <v>100</v>
      </c>
      <c r="T26" s="774" t="s">
        <v>21</v>
      </c>
      <c r="U26" s="775">
        <f t="shared" si="13"/>
        <v>100</v>
      </c>
      <c r="V26" s="774" t="s">
        <v>21</v>
      </c>
      <c r="W26" s="775">
        <f t="shared" si="14"/>
        <v>100</v>
      </c>
      <c r="X26" s="1812"/>
      <c r="Y26" s="3216"/>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3"/>
      <c r="Q27" s="1794">
        <f t="shared" si="11"/>
        <v>111</v>
      </c>
      <c r="R27" s="770" t="s">
        <v>21</v>
      </c>
      <c r="S27" s="771">
        <f t="shared" si="12"/>
        <v>100</v>
      </c>
      <c r="T27" s="770" t="s">
        <v>21</v>
      </c>
      <c r="U27" s="771">
        <f t="shared" si="13"/>
        <v>100</v>
      </c>
      <c r="V27" s="770" t="s">
        <v>21</v>
      </c>
      <c r="W27" s="771">
        <f t="shared" si="14"/>
        <v>100</v>
      </c>
      <c r="X27" s="772"/>
      <c r="Y27" s="3216"/>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3"/>
      <c r="Q28" s="1809">
        <f t="shared" si="11"/>
        <v>111</v>
      </c>
      <c r="R28" s="774" t="s">
        <v>21</v>
      </c>
      <c r="S28" s="775">
        <f t="shared" si="12"/>
        <v>100</v>
      </c>
      <c r="T28" s="774" t="s">
        <v>21</v>
      </c>
      <c r="U28" s="775">
        <f t="shared" si="13"/>
        <v>100</v>
      </c>
      <c r="V28" s="774" t="s">
        <v>21</v>
      </c>
      <c r="W28" s="775">
        <f t="shared" si="14"/>
        <v>100</v>
      </c>
      <c r="X28" s="1812"/>
      <c r="Y28" s="3216"/>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3"/>
      <c r="Q29" s="1809">
        <f t="shared" si="11"/>
        <v>111</v>
      </c>
      <c r="R29" s="774" t="s">
        <v>21</v>
      </c>
      <c r="S29" s="775">
        <f t="shared" si="12"/>
        <v>100</v>
      </c>
      <c r="T29" s="774" t="s">
        <v>21</v>
      </c>
      <c r="U29" s="775">
        <f t="shared" si="13"/>
        <v>100</v>
      </c>
      <c r="V29" s="774" t="s">
        <v>21</v>
      </c>
      <c r="W29" s="775">
        <f t="shared" si="14"/>
        <v>100</v>
      </c>
      <c r="X29" s="1812"/>
      <c r="Y29" s="3216"/>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3"/>
      <c r="Q30" s="1809">
        <f t="shared" si="11"/>
        <v>111</v>
      </c>
      <c r="R30" s="774" t="s">
        <v>21</v>
      </c>
      <c r="S30" s="775">
        <f t="shared" si="12"/>
        <v>100</v>
      </c>
      <c r="T30" s="774" t="s">
        <v>21</v>
      </c>
      <c r="U30" s="775">
        <f t="shared" si="13"/>
        <v>100</v>
      </c>
      <c r="V30" s="774" t="s">
        <v>21</v>
      </c>
      <c r="W30" s="775">
        <f t="shared" si="14"/>
        <v>100</v>
      </c>
      <c r="X30" s="1812"/>
      <c r="Y30" s="3216"/>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3"/>
      <c r="Q31" s="1809">
        <f t="shared" si="11"/>
        <v>111</v>
      </c>
      <c r="R31" s="774" t="s">
        <v>21</v>
      </c>
      <c r="S31" s="775">
        <f t="shared" si="12"/>
        <v>100</v>
      </c>
      <c r="T31" s="774" t="s">
        <v>21</v>
      </c>
      <c r="U31" s="775">
        <f t="shared" si="13"/>
        <v>100</v>
      </c>
      <c r="V31" s="774" t="s">
        <v>21</v>
      </c>
      <c r="W31" s="775">
        <f t="shared" si="14"/>
        <v>100</v>
      </c>
      <c r="X31" s="1812"/>
      <c r="Y31" s="3216"/>
      <c r="Z31" s="1813">
        <f t="shared" si="18"/>
        <v>111</v>
      </c>
      <c r="AA31" s="1810">
        <f t="shared" si="15"/>
        <v>1</v>
      </c>
      <c r="AB31" s="1810">
        <f t="shared" si="16"/>
        <v>1</v>
      </c>
      <c r="AC31" s="1810">
        <f t="shared" si="17"/>
        <v>1</v>
      </c>
    </row>
    <row r="32" spans="1:29" ht="15">
      <c r="A32" s="440" t="s">
        <v>2550</v>
      </c>
      <c r="B32" s="71" t="s">
        <v>2551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7" t="s">
        <v>2552</v>
      </c>
      <c r="Q32" s="1809" t="str">
        <f t="shared" si="11"/>
        <v>建筑类型</v>
      </c>
      <c r="R32" s="774" t="s">
        <v>21</v>
      </c>
      <c r="S32" s="775">
        <f t="shared" si="12"/>
        <v>100</v>
      </c>
      <c r="T32" s="774" t="s">
        <v>21</v>
      </c>
      <c r="U32" s="775">
        <f t="shared" si="13"/>
        <v>100</v>
      </c>
      <c r="V32" s="774" t="s">
        <v>21</v>
      </c>
      <c r="W32" s="775">
        <f t="shared" si="14"/>
        <v>100</v>
      </c>
      <c r="X32" s="1812"/>
      <c r="Y32" s="3220" t="s">
        <v>2552</v>
      </c>
      <c r="Z32" s="1813" t="str">
        <f t="shared" si="18"/>
        <v>建筑类型</v>
      </c>
      <c r="AA32" s="1810">
        <f t="shared" si="15"/>
        <v>1</v>
      </c>
      <c r="AB32" s="1810">
        <f t="shared" si="16"/>
        <v>1</v>
      </c>
      <c r="AC32" s="1810">
        <f t="shared" si="17"/>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0" t="e">
        <f t="shared" si="15"/>
        <v>#N/A</v>
      </c>
      <c r="AB33" s="1810" t="e">
        <f t="shared" si="16"/>
        <v>#N/A</v>
      </c>
      <c r="AC33" s="1810" t="e">
        <f t="shared" si="17"/>
        <v>#N/A</v>
      </c>
    </row>
    <row r="34" spans="1:29" ht="15">
      <c r="A34" s="472"/>
      <c r="B34" s="422" t="s">
        <v>2554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8"/>
      <c r="Q34" s="1809" t="str">
        <f t="shared" si="11"/>
        <v>建筑结构</v>
      </c>
      <c r="R34" s="774" t="s">
        <v>21</v>
      </c>
      <c r="S34" s="775">
        <f t="shared" si="12"/>
        <v>100</v>
      </c>
      <c r="T34" s="774" t="s">
        <v>21</v>
      </c>
      <c r="U34" s="775">
        <f t="shared" si="13"/>
        <v>100</v>
      </c>
      <c r="V34" s="774" t="s">
        <v>21</v>
      </c>
      <c r="W34" s="775">
        <f t="shared" si="14"/>
        <v>100</v>
      </c>
      <c r="X34" s="1812"/>
      <c r="Y34" s="3220"/>
      <c r="Z34" s="1813" t="str">
        <f t="shared" si="18"/>
        <v>建筑结构</v>
      </c>
      <c r="AA34" s="1810">
        <f t="shared" si="15"/>
        <v>1</v>
      </c>
      <c r="AB34" s="1810">
        <f t="shared" si="16"/>
        <v>1</v>
      </c>
      <c r="AC34" s="1810">
        <f t="shared" si="17"/>
        <v>1</v>
      </c>
    </row>
    <row r="35" spans="1:29" ht="15">
      <c r="A35" s="472"/>
      <c r="B35" s="422" t="s">
        <v>2555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8"/>
      <c r="Q35" s="1809" t="str">
        <f t="shared" si="11"/>
        <v>建筑品质</v>
      </c>
      <c r="R35" s="774" t="s">
        <v>21</v>
      </c>
      <c r="S35" s="775">
        <f t="shared" si="12"/>
        <v>100</v>
      </c>
      <c r="T35" s="774" t="s">
        <v>21</v>
      </c>
      <c r="U35" s="775">
        <f t="shared" si="13"/>
        <v>100</v>
      </c>
      <c r="V35" s="774" t="s">
        <v>21</v>
      </c>
      <c r="W35" s="775">
        <f t="shared" si="14"/>
        <v>100</v>
      </c>
      <c r="X35" s="1812"/>
      <c r="Y35" s="3220"/>
      <c r="Z35" s="1813" t="str">
        <f t="shared" si="18"/>
        <v>建筑品质</v>
      </c>
      <c r="AA35" s="1810">
        <f t="shared" si="15"/>
        <v>1</v>
      </c>
      <c r="AB35" s="1810">
        <f t="shared" si="16"/>
        <v>1</v>
      </c>
      <c r="AC35" s="1810">
        <f t="shared" si="17"/>
        <v>1</v>
      </c>
    </row>
    <row r="36" spans="1:29" ht="15">
      <c r="A36" s="472"/>
      <c r="B36" s="422" t="s">
        <v>2556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8"/>
      <c r="Q36" s="1809" t="str">
        <f t="shared" si="11"/>
        <v>公共部分装修</v>
      </c>
      <c r="R36" s="774" t="s">
        <v>21</v>
      </c>
      <c r="S36" s="775">
        <f t="shared" si="12"/>
        <v>100</v>
      </c>
      <c r="T36" s="774" t="s">
        <v>21</v>
      </c>
      <c r="U36" s="775">
        <f t="shared" si="13"/>
        <v>100</v>
      </c>
      <c r="V36" s="774" t="s">
        <v>21</v>
      </c>
      <c r="W36" s="775">
        <f t="shared" si="14"/>
        <v>100</v>
      </c>
      <c r="X36" s="1812"/>
      <c r="Y36" s="3220"/>
      <c r="Z36" s="1813" t="str">
        <f t="shared" si="18"/>
        <v>公共部分装修</v>
      </c>
      <c r="AA36" s="1810">
        <f t="shared" si="15"/>
        <v>1</v>
      </c>
      <c r="AB36" s="1810">
        <f t="shared" si="16"/>
        <v>1</v>
      </c>
      <c r="AC36" s="1810">
        <f t="shared" si="17"/>
        <v>1</v>
      </c>
    </row>
    <row r="37" spans="1:29" s="117" customFormat="1" ht="15">
      <c r="A37" s="473"/>
      <c r="B37" s="422" t="s">
        <v>2557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8"/>
      <c r="Q37" s="1794"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2558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8" t="s">
        <v>2552</v>
      </c>
      <c r="Q38" s="1809" t="str">
        <f t="shared" si="11"/>
        <v>物业管理</v>
      </c>
      <c r="R38" s="774" t="s">
        <v>21</v>
      </c>
      <c r="S38" s="775">
        <f t="shared" si="12"/>
        <v>100</v>
      </c>
      <c r="T38" s="774" t="s">
        <v>21</v>
      </c>
      <c r="U38" s="775">
        <f t="shared" si="13"/>
        <v>100</v>
      </c>
      <c r="V38" s="774" t="s">
        <v>21</v>
      </c>
      <c r="W38" s="775">
        <f t="shared" si="14"/>
        <v>100</v>
      </c>
      <c r="X38" s="1812"/>
      <c r="Y38" s="3220" t="s">
        <v>2552</v>
      </c>
      <c r="Z38" s="1813" t="str">
        <f t="shared" si="18"/>
        <v>物业管理</v>
      </c>
      <c r="AA38" s="1810">
        <f t="shared" si="15"/>
        <v>1</v>
      </c>
      <c r="AB38" s="1810">
        <f t="shared" si="16"/>
        <v>1</v>
      </c>
      <c r="AC38" s="1810">
        <f t="shared" si="17"/>
        <v>1</v>
      </c>
    </row>
    <row r="39" spans="1:29" ht="15">
      <c r="A39" s="472"/>
      <c r="B39" s="422" t="s">
        <v>2559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8"/>
      <c r="Q39" s="1809" t="str">
        <f t="shared" si="11"/>
        <v>市政基础设施</v>
      </c>
      <c r="R39" s="774" t="s">
        <v>21</v>
      </c>
      <c r="S39" s="775">
        <f t="shared" si="12"/>
        <v>100</v>
      </c>
      <c r="T39" s="774" t="s">
        <v>21</v>
      </c>
      <c r="U39" s="775">
        <f t="shared" si="13"/>
        <v>100</v>
      </c>
      <c r="V39" s="774" t="s">
        <v>21</v>
      </c>
      <c r="W39" s="775">
        <f t="shared" si="14"/>
        <v>100</v>
      </c>
      <c r="X39" s="1812"/>
      <c r="Y39" s="3220"/>
      <c r="Z39" s="1813" t="str">
        <f t="shared" si="18"/>
        <v>市政基础设施</v>
      </c>
      <c r="AA39" s="1810">
        <f t="shared" si="15"/>
        <v>1</v>
      </c>
      <c r="AB39" s="1810">
        <f t="shared" si="16"/>
        <v>1</v>
      </c>
      <c r="AC39" s="1810">
        <f t="shared" si="17"/>
        <v>1</v>
      </c>
    </row>
    <row r="40" spans="1:29" ht="15">
      <c r="A40" s="472"/>
      <c r="B40" s="422" t="s">
        <v>2560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8"/>
      <c r="Q40" s="1809" t="str">
        <f t="shared" si="11"/>
        <v>房型</v>
      </c>
      <c r="R40" s="774" t="s">
        <v>21</v>
      </c>
      <c r="S40" s="775">
        <f t="shared" si="12"/>
        <v>100</v>
      </c>
      <c r="T40" s="774" t="s">
        <v>21</v>
      </c>
      <c r="U40" s="775">
        <f t="shared" si="13"/>
        <v>100</v>
      </c>
      <c r="V40" s="774" t="s">
        <v>21</v>
      </c>
      <c r="W40" s="775">
        <f t="shared" si="14"/>
        <v>100</v>
      </c>
      <c r="X40" s="1812"/>
      <c r="Y40" s="3220"/>
      <c r="Z40" s="1813" t="str">
        <f t="shared" si="18"/>
        <v>房型</v>
      </c>
      <c r="AA40" s="1810">
        <f t="shared" si="15"/>
        <v>1</v>
      </c>
      <c r="AB40" s="1810">
        <f t="shared" si="16"/>
        <v>1</v>
      </c>
      <c r="AC40" s="1810">
        <f t="shared" si="17"/>
        <v>1</v>
      </c>
    </row>
    <row r="41" spans="1:29" s="471" customFormat="1" ht="28.8">
      <c r="A41" s="468"/>
      <c r="B41" s="422" t="s">
        <v>2561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0">
        <f t="shared" si="15"/>
        <v>1</v>
      </c>
      <c r="AB41" s="1810">
        <f t="shared" si="16"/>
        <v>1</v>
      </c>
      <c r="AC41" s="1810">
        <f t="shared" si="17"/>
        <v>1</v>
      </c>
    </row>
    <row r="42" spans="1:29" ht="15">
      <c r="A42" s="472"/>
      <c r="B42" s="422" t="s">
        <v>2562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8"/>
      <c r="Q42" s="1809" t="str">
        <f t="shared" si="11"/>
        <v>内部装修</v>
      </c>
      <c r="R42" s="774" t="s">
        <v>21</v>
      </c>
      <c r="S42" s="775">
        <f t="shared" si="12"/>
        <v>100</v>
      </c>
      <c r="T42" s="774" t="s">
        <v>21</v>
      </c>
      <c r="U42" s="775">
        <f t="shared" si="13"/>
        <v>100</v>
      </c>
      <c r="V42" s="774" t="s">
        <v>21</v>
      </c>
      <c r="W42" s="775">
        <f t="shared" si="14"/>
        <v>100</v>
      </c>
      <c r="X42" s="1812"/>
      <c r="Y42" s="3220"/>
      <c r="Z42" s="1813" t="str">
        <f t="shared" si="18"/>
        <v>内部装修</v>
      </c>
      <c r="AA42" s="1810">
        <f t="shared" si="15"/>
        <v>1</v>
      </c>
      <c r="AB42" s="1810">
        <f t="shared" si="16"/>
        <v>1</v>
      </c>
      <c r="AC42" s="1810">
        <f t="shared" si="17"/>
        <v>1</v>
      </c>
    </row>
    <row r="43" spans="1:29" ht="28.8">
      <c r="A43" s="472"/>
      <c r="B43" s="422" t="s">
        <v>2563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8"/>
      <c r="Q43" s="1809" t="str">
        <f t="shared" si="11"/>
        <v>内部装修维护情况</v>
      </c>
      <c r="R43" s="774" t="s">
        <v>21</v>
      </c>
      <c r="S43" s="775">
        <f t="shared" si="12"/>
        <v>100</v>
      </c>
      <c r="T43" s="774" t="s">
        <v>21</v>
      </c>
      <c r="U43" s="775">
        <f t="shared" si="13"/>
        <v>100</v>
      </c>
      <c r="V43" s="774" t="s">
        <v>21</v>
      </c>
      <c r="W43" s="775">
        <f t="shared" si="14"/>
        <v>100</v>
      </c>
      <c r="X43" s="1812"/>
      <c r="Y43" s="3220"/>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8"/>
      <c r="Q44" s="1794">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8"/>
      <c r="Q45" s="1809">
        <f t="shared" si="11"/>
        <v>111</v>
      </c>
      <c r="R45" s="774" t="s">
        <v>21</v>
      </c>
      <c r="S45" s="775">
        <f t="shared" si="12"/>
        <v>100</v>
      </c>
      <c r="T45" s="774" t="s">
        <v>21</v>
      </c>
      <c r="U45" s="775">
        <f t="shared" si="13"/>
        <v>100</v>
      </c>
      <c r="V45" s="774" t="s">
        <v>21</v>
      </c>
      <c r="W45" s="775">
        <f t="shared" si="14"/>
        <v>100</v>
      </c>
      <c r="X45" s="1812"/>
      <c r="Y45" s="3220"/>
      <c r="Z45" s="1813">
        <f t="shared" si="18"/>
        <v>111</v>
      </c>
      <c r="AA45" s="1810">
        <f t="shared" si="15"/>
        <v>1</v>
      </c>
      <c r="AB45" s="1810">
        <f t="shared" si="16"/>
        <v>1</v>
      </c>
      <c r="AC45" s="1810">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9"/>
      <c r="Q46" s="1809">
        <f t="shared" si="11"/>
        <v>111</v>
      </c>
      <c r="R46" s="774" t="s">
        <v>20</v>
      </c>
      <c r="S46" s="775">
        <f t="shared" si="12"/>
        <v>100</v>
      </c>
      <c r="T46" s="774" t="s">
        <v>20</v>
      </c>
      <c r="U46" s="775">
        <f t="shared" si="13"/>
        <v>100</v>
      </c>
      <c r="V46" s="774" t="s">
        <v>20</v>
      </c>
      <c r="W46" s="775">
        <f t="shared" si="14"/>
        <v>100</v>
      </c>
      <c r="X46" s="1812"/>
      <c r="Y46" s="3221"/>
      <c r="Z46" s="1813">
        <f t="shared" si="18"/>
        <v>111</v>
      </c>
      <c r="AA46" s="1810">
        <f t="shared" si="15"/>
        <v>1</v>
      </c>
      <c r="AB46" s="1810">
        <f t="shared" si="16"/>
        <v>1</v>
      </c>
      <c r="AC46" s="1810">
        <f t="shared" si="17"/>
        <v>1</v>
      </c>
    </row>
    <row r="47" spans="1:29" ht="14.4">
      <c r="A47" s="479" t="s">
        <v>2564</v>
      </c>
      <c r="B47" s="480"/>
      <c r="C47" s="1407" t="s">
        <v>19</v>
      </c>
      <c r="D47" s="1408"/>
      <c r="E47" s="1409"/>
      <c r="F47" s="1410"/>
      <c r="G47" s="1411"/>
      <c r="H47" s="1412"/>
      <c r="I47" s="1409"/>
      <c r="J47" s="1412"/>
      <c r="K47" s="2619"/>
      <c r="L47" s="1143"/>
      <c r="M47" s="1144"/>
      <c r="N47" s="1131"/>
      <c r="O47" s="1144"/>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 thickBot="1">
      <c r="A48" s="486" t="s">
        <v>2565</v>
      </c>
      <c r="B48" s="487"/>
      <c r="C48" s="1413" t="e">
        <f>R49</f>
        <v>#DIV/0!</v>
      </c>
      <c r="D48" s="1414"/>
      <c r="E48" s="1415" t="e">
        <f>R48</f>
        <v>#DIV/0!</v>
      </c>
      <c r="F48" s="1415"/>
      <c r="G48" s="1413" t="e">
        <f>T48</f>
        <v>#DIV/0!</v>
      </c>
      <c r="H48" s="1414"/>
      <c r="I48" s="1415" t="e">
        <f>V48</f>
        <v>#DIV/0!</v>
      </c>
      <c r="J48" s="1414"/>
      <c r="K48" s="2620"/>
      <c r="L48" s="1143"/>
      <c r="M48" s="1144"/>
      <c r="N48" s="1144"/>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 thickBot="1">
      <c r="A49" s="492" t="s">
        <v>2566</v>
      </c>
      <c r="B49" s="493"/>
      <c r="C49" s="1416" t="e">
        <f>R49</f>
        <v>#DIV/0!</v>
      </c>
      <c r="D49" s="1417"/>
      <c r="E49" s="1417"/>
      <c r="F49" s="1417"/>
      <c r="G49" s="1417"/>
      <c r="H49" s="1417"/>
      <c r="I49" s="1417"/>
      <c r="J49" s="1417"/>
      <c r="K49" s="2621"/>
      <c r="L49" s="1143"/>
      <c r="M49" s="1144"/>
      <c r="N49" s="1144"/>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2570</v>
      </c>
      <c r="B57" s="759"/>
      <c r="C57" s="764"/>
      <c r="D57" s="764"/>
      <c r="E57" s="764"/>
      <c r="F57" s="765"/>
      <c r="G57" s="765"/>
      <c r="H57" s="764"/>
      <c r="I57" s="764"/>
      <c r="J57" s="764"/>
      <c r="K57" s="1160"/>
      <c r="L57" s="1161"/>
      <c r="M57" s="1159"/>
      <c r="N57" s="1159"/>
      <c r="O57" s="1159"/>
      <c r="P57" s="2624"/>
      <c r="Q57" s="504"/>
    </row>
    <row r="58" spans="1:29" s="508" customFormat="1" ht="14.4">
      <c r="A58" s="505" t="s">
        <v>2571</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c r="A59" s="509"/>
      <c r="B59" s="2625"/>
      <c r="C59" s="1572">
        <v>100</v>
      </c>
      <c r="D59" s="511"/>
      <c r="E59" s="512"/>
      <c r="F59" s="512"/>
      <c r="G59" s="512"/>
      <c r="H59" s="512"/>
      <c r="I59" s="512"/>
      <c r="J59" s="512"/>
      <c r="K59" s="512"/>
      <c r="L59" s="512"/>
      <c r="M59" s="513"/>
      <c r="N59" s="512"/>
      <c r="O59" s="513"/>
      <c r="P59" s="2626"/>
    </row>
    <row r="60" spans="1:29" s="117" customFormat="1" ht="15" thickBot="1">
      <c r="A60" s="515" t="s">
        <v>2572</v>
      </c>
      <c r="B60" s="516"/>
      <c r="C60" s="517"/>
      <c r="D60" s="518"/>
      <c r="E60" s="518"/>
      <c r="F60" s="518"/>
      <c r="G60" s="518"/>
      <c r="H60" s="518"/>
      <c r="I60" s="518"/>
      <c r="J60" s="518"/>
      <c r="K60" s="518"/>
      <c r="L60" s="518"/>
      <c r="M60" s="519"/>
      <c r="N60" s="518"/>
      <c r="O60" s="519"/>
      <c r="P60" s="2626"/>
      <c r="Q60" s="504"/>
    </row>
    <row r="61" spans="1:29" s="117" customFormat="1" ht="14.4">
      <c r="A61" s="521" t="s">
        <v>2573</v>
      </c>
      <c r="B61" s="510"/>
      <c r="C61" s="522" t="s">
        <v>2574</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2575</v>
      </c>
      <c r="B63" s="528" t="s">
        <v>2541</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2544</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2545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2546</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2085</v>
      </c>
      <c r="C82" s="539" t="s">
        <v>2591</v>
      </c>
      <c r="D82" s="539" t="s">
        <v>2592</v>
      </c>
      <c r="E82" s="539" t="s">
        <v>2593</v>
      </c>
      <c r="F82" s="539" t="s">
        <v>2594</v>
      </c>
      <c r="G82" s="539" t="s">
        <v>2595</v>
      </c>
      <c r="H82" s="539"/>
      <c r="I82" s="539"/>
      <c r="J82" s="539"/>
      <c r="K82" s="539"/>
      <c r="L82" s="539"/>
      <c r="M82" s="1382"/>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2597</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2598</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2550</v>
      </c>
      <c r="B100" s="528" t="s">
        <v>2599</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2600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2601</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2602</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2603</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2604</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2605</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2606</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2561</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2607</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2609</v>
      </c>
    </row>
    <row r="137" spans="1:17" ht="15">
      <c r="B137" s="2636" t="s">
        <v>2610</v>
      </c>
      <c r="C137" s="2637"/>
      <c r="D137" s="2637"/>
      <c r="E137" s="2637"/>
      <c r="F137" s="2637"/>
      <c r="G137" s="2638"/>
      <c r="H137" s="2639"/>
      <c r="I137" s="2640" t="s">
        <v>2611</v>
      </c>
      <c r="J137" s="2637"/>
      <c r="K137" s="2641"/>
    </row>
    <row r="138" spans="1:17" ht="15">
      <c r="B138" s="2642"/>
      <c r="C138" s="146" t="s">
        <v>2612</v>
      </c>
      <c r="D138" s="146" t="s">
        <v>2613</v>
      </c>
      <c r="E138" s="2643" t="s">
        <v>2614</v>
      </c>
      <c r="F138" s="2644" t="s">
        <v>2615</v>
      </c>
      <c r="G138" s="146" t="s">
        <v>2613</v>
      </c>
      <c r="H138" s="147" t="s">
        <v>2614</v>
      </c>
      <c r="I138" s="2645"/>
      <c r="J138" s="146" t="s">
        <v>2616</v>
      </c>
      <c r="K138" s="147" t="s">
        <v>2617</v>
      </c>
    </row>
    <row r="139" spans="1:17" ht="15">
      <c r="B139" s="1084">
        <v>6</v>
      </c>
      <c r="C139" s="1085">
        <v>96</v>
      </c>
      <c r="D139" s="2646" t="s">
        <v>2618</v>
      </c>
      <c r="E139" s="1086">
        <v>100</v>
      </c>
      <c r="F139" s="1087">
        <v>102.5</v>
      </c>
      <c r="G139" s="2646" t="s">
        <v>2618</v>
      </c>
      <c r="H139" s="1088">
        <v>105</v>
      </c>
      <c r="I139" s="2647" t="s">
        <v>2619</v>
      </c>
      <c r="J139" s="1085">
        <v>20</v>
      </c>
      <c r="K139" s="1089">
        <f>C145/(J139-2)</f>
        <v>4.0555555555555553E-3</v>
      </c>
    </row>
    <row r="140" spans="1:17" ht="15">
      <c r="B140" s="1090">
        <v>5</v>
      </c>
      <c r="C140" s="1091">
        <v>100</v>
      </c>
      <c r="D140" s="1091"/>
      <c r="E140" s="1092"/>
      <c r="F140" s="1093">
        <v>102</v>
      </c>
      <c r="G140" s="1091"/>
      <c r="H140" s="1094"/>
      <c r="I140" s="2648" t="s">
        <v>2620</v>
      </c>
      <c r="J140" s="315">
        <f>ROUNDUP((J139-1)/2,0)</f>
        <v>10</v>
      </c>
      <c r="K140" s="1095">
        <v>100</v>
      </c>
    </row>
    <row r="141" spans="1:17" ht="15">
      <c r="B141" s="1090">
        <v>4</v>
      </c>
      <c r="C141" s="1091">
        <v>102</v>
      </c>
      <c r="D141" s="1091"/>
      <c r="E141" s="1092"/>
      <c r="F141" s="1093">
        <v>101.5</v>
      </c>
      <c r="G141" s="1091"/>
      <c r="H141" s="1094"/>
      <c r="I141" s="2648" t="s">
        <v>2621</v>
      </c>
      <c r="J141" s="315">
        <v>1</v>
      </c>
      <c r="K141" s="1096">
        <f>ROUND(100+(J141-J140)*K139*100,1)</f>
        <v>96.4</v>
      </c>
    </row>
    <row r="142" spans="1:17" ht="15">
      <c r="B142" s="1090">
        <v>3</v>
      </c>
      <c r="C142" s="1091">
        <v>103</v>
      </c>
      <c r="D142" s="1091"/>
      <c r="E142" s="1092"/>
      <c r="F142" s="1093">
        <v>101</v>
      </c>
      <c r="G142" s="1091"/>
      <c r="H142" s="1094"/>
      <c r="I142" s="2648" t="s">
        <v>2622</v>
      </c>
      <c r="J142" s="315">
        <f>J139</f>
        <v>20</v>
      </c>
      <c r="K142" s="1097">
        <v>95</v>
      </c>
    </row>
    <row r="143" spans="1:17" ht="15">
      <c r="B143" s="1090">
        <v>2</v>
      </c>
      <c r="C143" s="1091">
        <v>100</v>
      </c>
      <c r="D143" s="1091"/>
      <c r="E143" s="1092"/>
      <c r="F143" s="1093">
        <v>100.5</v>
      </c>
      <c r="G143" s="1091"/>
      <c r="H143" s="1094"/>
      <c r="I143" s="2648" t="s">
        <v>2623</v>
      </c>
      <c r="J143" s="1091">
        <v>15</v>
      </c>
      <c r="K143" s="1096">
        <f>ROUND(100+(J143-J140)*K139*100,1)</f>
        <v>102</v>
      </c>
    </row>
    <row r="144" spans="1:17" ht="15">
      <c r="B144" s="1090">
        <v>1</v>
      </c>
      <c r="C144" s="1091">
        <v>98</v>
      </c>
      <c r="D144" s="2649" t="s">
        <v>2624</v>
      </c>
      <c r="E144" s="1092">
        <v>102</v>
      </c>
      <c r="F144" s="1098">
        <v>100</v>
      </c>
      <c r="G144" s="2649" t="s">
        <v>2624</v>
      </c>
      <c r="H144" s="1094">
        <v>105</v>
      </c>
      <c r="I144" s="2648" t="s">
        <v>2623</v>
      </c>
      <c r="J144" s="1091">
        <v>18</v>
      </c>
      <c r="K144" s="1096">
        <f>ROUND(100+(J144-J140)*K139*100,1)</f>
        <v>103.2</v>
      </c>
    </row>
    <row r="145" spans="2:11" ht="16.2" thickBot="1">
      <c r="B145" s="2650" t="s">
        <v>2625</v>
      </c>
      <c r="C145" s="1099">
        <f>ROUND(MAX(C139:C144)/MIN(C139:C144)-1,3)</f>
        <v>7.2999999999999995E-2</v>
      </c>
      <c r="D145" s="1100"/>
      <c r="E145" s="1100"/>
      <c r="F145" s="2651" t="s">
        <v>2626</v>
      </c>
      <c r="G145" s="2652"/>
      <c r="H145" s="2653"/>
      <c r="I145" s="2654" t="s">
        <v>2623</v>
      </c>
      <c r="J145" s="1101">
        <v>8</v>
      </c>
      <c r="K145" s="1102">
        <f>ROUND(100+(J145-J140)*K139*100,1)</f>
        <v>99.2</v>
      </c>
    </row>
    <row r="147" spans="2:11" ht="14.4">
      <c r="B147" s="2635" t="s">
        <v>2627</v>
      </c>
    </row>
    <row r="148" spans="2:11" ht="14.4">
      <c r="B148" s="2635"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2515</v>
      </c>
      <c r="B1" s="2580" t="s">
        <v>2629</v>
      </c>
      <c r="C1" s="1633" t="s">
        <v>2517</v>
      </c>
      <c r="D1" s="1620"/>
      <c r="E1" s="2655"/>
      <c r="F1" s="2582"/>
      <c r="G1" s="1630" t="s">
        <v>2630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2314</v>
      </c>
      <c r="B2" s="1418" t="e">
        <f ca="1">IF(C2="——",ROUND(C49*D3/10000,0),ROUND(C49*D3/10000,0)-D2)</f>
        <v>#DIV/0!</v>
      </c>
      <c r="C2" s="2584"/>
      <c r="D2" s="1365" t="e">
        <f ca="1">SUMIF(INDIRECT("'"&amp;F2&amp;"'"&amp;"!A:A"),"承租人权益价值",INDIRECT("'"&amp;F2&amp;"'"&amp;"!c:c"))</f>
        <v>#REF!</v>
      </c>
      <c r="E2" s="2585" t="s">
        <v>2315</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2316</v>
      </c>
      <c r="B3" s="609" t="e">
        <f ca="1">IF(C2="——",C49,ROUND(B2*10000/D3,0))</f>
        <v>#DIV/0!</v>
      </c>
      <c r="C3" s="400" t="s">
        <v>2631</v>
      </c>
      <c r="D3" s="399">
        <f>IF(D1="",'数据-汇总表'!E3,SUMIF('数据-汇总表'!$C19:$C33,D1,'数据-汇总表'!$E19:$E33))</f>
        <v>57477.440000000002</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2632</v>
      </c>
      <c r="B4" s="402"/>
      <c r="C4" s="3196" t="s">
        <v>2633</v>
      </c>
      <c r="D4" s="3197"/>
      <c r="E4" s="3198" t="s">
        <v>2634</v>
      </c>
      <c r="F4" s="3199"/>
      <c r="G4" s="3196" t="s">
        <v>2635</v>
      </c>
      <c r="H4" s="3197"/>
      <c r="I4" s="3196" t="s">
        <v>2636</v>
      </c>
      <c r="J4" s="3197"/>
      <c r="K4" s="610" t="s">
        <v>2637</v>
      </c>
      <c r="L4" s="1130"/>
      <c r="M4" s="1131"/>
      <c r="N4" s="1131"/>
      <c r="O4" s="1131"/>
      <c r="P4" s="3200" t="s">
        <v>2638</v>
      </c>
      <c r="Q4" s="3201"/>
      <c r="R4" s="3183" t="s">
        <v>2634</v>
      </c>
      <c r="S4" s="3184"/>
      <c r="T4" s="3183" t="s">
        <v>2635</v>
      </c>
      <c r="U4" s="3184"/>
      <c r="V4" s="3208" t="s">
        <v>2636</v>
      </c>
      <c r="W4" s="3208"/>
      <c r="X4" s="1812"/>
      <c r="Y4" s="3183" t="s">
        <v>2638</v>
      </c>
      <c r="Z4" s="3184"/>
      <c r="AA4" s="3178" t="s">
        <v>2634</v>
      </c>
      <c r="AB4" s="3208" t="s">
        <v>2635</v>
      </c>
      <c r="AC4" s="3178" t="s">
        <v>2636</v>
      </c>
    </row>
    <row r="5" spans="1:29">
      <c r="A5" s="404"/>
      <c r="B5" s="405"/>
      <c r="C5" s="3189" t="s">
        <v>2529</v>
      </c>
      <c r="D5" s="3190"/>
      <c r="E5" s="3187" t="s">
        <v>2530</v>
      </c>
      <c r="F5" s="3188"/>
      <c r="G5" s="3189" t="s">
        <v>2531</v>
      </c>
      <c r="H5" s="3190"/>
      <c r="I5" s="3189" t="s">
        <v>2532</v>
      </c>
      <c r="J5" s="3190"/>
      <c r="K5" s="610"/>
      <c r="L5" s="1130"/>
      <c r="M5" s="1131"/>
      <c r="N5" s="1131"/>
      <c r="O5" s="1131"/>
      <c r="P5" s="3202"/>
      <c r="Q5" s="3203"/>
      <c r="R5" s="3185"/>
      <c r="S5" s="3186"/>
      <c r="T5" s="3185"/>
      <c r="U5" s="3186"/>
      <c r="V5" s="3208"/>
      <c r="W5" s="3208"/>
      <c r="X5" s="1812"/>
      <c r="Y5" s="3185"/>
      <c r="Z5" s="3186"/>
      <c r="AA5" s="3179"/>
      <c r="AB5" s="3208"/>
      <c r="AC5" s="3179"/>
    </row>
    <row r="6" spans="1:29" ht="15" thickBot="1">
      <c r="A6" s="406"/>
      <c r="B6" s="407"/>
      <c r="C6" s="3191" t="s">
        <v>2533</v>
      </c>
      <c r="D6" s="3192"/>
      <c r="E6" s="3193" t="s">
        <v>2533</v>
      </c>
      <c r="F6" s="3194"/>
      <c r="G6" s="3191" t="s">
        <v>2533</v>
      </c>
      <c r="H6" s="3192"/>
      <c r="I6" s="3191" t="s">
        <v>2533</v>
      </c>
      <c r="J6" s="3192"/>
      <c r="K6" s="610" t="s">
        <v>2534</v>
      </c>
      <c r="L6" s="1130"/>
      <c r="M6" s="1131"/>
      <c r="N6" s="1131"/>
      <c r="O6" s="1131"/>
      <c r="P6" s="3204"/>
      <c r="Q6" s="3205"/>
      <c r="R6" s="3185"/>
      <c r="S6" s="3186"/>
      <c r="T6" s="3206"/>
      <c r="U6" s="3207"/>
      <c r="V6" s="3208"/>
      <c r="W6" s="3208"/>
      <c r="X6" s="1812"/>
      <c r="Y6" s="3206"/>
      <c r="Z6" s="3207"/>
      <c r="AA6" s="3180"/>
      <c r="AB6" s="3208"/>
      <c r="AC6" s="3180"/>
    </row>
    <row r="7" spans="1:29" s="117" customFormat="1" ht="15" thickBot="1">
      <c r="A7" s="408" t="s">
        <v>2535</v>
      </c>
      <c r="B7" s="409"/>
      <c r="C7" s="410">
        <f>'数据-取费表'!B2</f>
        <v>43768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1" t="s">
        <v>2536</v>
      </c>
      <c r="Q7" s="3209"/>
      <c r="R7" s="770" t="s">
        <v>17</v>
      </c>
      <c r="S7" s="771">
        <f t="shared" ref="S7:S15" si="0">F7</f>
        <v>0</v>
      </c>
      <c r="T7" s="770" t="s">
        <v>17</v>
      </c>
      <c r="U7" s="771">
        <f t="shared" ref="U7:U15" si="1">H7</f>
        <v>0</v>
      </c>
      <c r="V7" s="770" t="s">
        <v>17</v>
      </c>
      <c r="W7" s="771">
        <f t="shared" ref="W7:W15" si="2">J7</f>
        <v>0</v>
      </c>
      <c r="X7" s="772"/>
      <c r="Y7" s="3181" t="s">
        <v>2536</v>
      </c>
      <c r="Z7" s="3182"/>
      <c r="AA7" s="773" t="e">
        <f>D7/F7</f>
        <v>#DIV/0!</v>
      </c>
      <c r="AB7" s="773" t="e">
        <f>D7/H7</f>
        <v>#DIV/0!</v>
      </c>
      <c r="AC7" s="773" t="e">
        <f>D7/J7</f>
        <v>#DIV/0!</v>
      </c>
    </row>
    <row r="8" spans="1:29" s="117" customFormat="1" ht="1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1" t="s">
        <v>2539</v>
      </c>
      <c r="Q8" s="3182"/>
      <c r="R8" s="770" t="s">
        <v>17</v>
      </c>
      <c r="S8" s="771">
        <f t="shared" si="0"/>
        <v>0</v>
      </c>
      <c r="T8" s="770" t="s">
        <v>17</v>
      </c>
      <c r="U8" s="771">
        <f t="shared" si="1"/>
        <v>0</v>
      </c>
      <c r="V8" s="770" t="s">
        <v>17</v>
      </c>
      <c r="W8" s="771">
        <f t="shared" si="2"/>
        <v>0</v>
      </c>
      <c r="X8" s="772"/>
      <c r="Y8" s="3181" t="s">
        <v>2539</v>
      </c>
      <c r="Z8" s="3182"/>
      <c r="AA8" s="773" t="e">
        <f t="shared" ref="AA8:AA46" si="3">D8/F8</f>
        <v>#DIV/0!</v>
      </c>
      <c r="AB8" s="773" t="e">
        <f t="shared" ref="AB8:AB46" si="4">D8/H8</f>
        <v>#DIV/0!</v>
      </c>
      <c r="AC8" s="773" t="e">
        <f t="shared" ref="AC8:AC46" si="5">D8/J8</f>
        <v>#DIV/0!</v>
      </c>
    </row>
    <row r="9" spans="1:29" s="117" customFormat="1" ht="14.4">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2542</v>
      </c>
      <c r="Q9" s="1794" t="str">
        <f t="shared" ref="Q9:Q15" si="6">B9</f>
        <v>用途</v>
      </c>
      <c r="R9" s="770" t="s">
        <v>17</v>
      </c>
      <c r="S9" s="771">
        <f t="shared" si="0"/>
        <v>100</v>
      </c>
      <c r="T9" s="770" t="s">
        <v>17</v>
      </c>
      <c r="U9" s="771">
        <f t="shared" si="1"/>
        <v>100</v>
      </c>
      <c r="V9" s="770" t="s">
        <v>17</v>
      </c>
      <c r="W9" s="771">
        <f t="shared" si="2"/>
        <v>100</v>
      </c>
      <c r="X9" s="772"/>
      <c r="Y9" s="3028" t="s">
        <v>2543</v>
      </c>
      <c r="Z9" s="55" t="str">
        <f t="shared" ref="Z9:Z15" si="7">Q9</f>
        <v>用途</v>
      </c>
      <c r="AA9" s="773">
        <f t="shared" si="3"/>
        <v>1</v>
      </c>
      <c r="AB9" s="773">
        <f t="shared" si="4"/>
        <v>1</v>
      </c>
      <c r="AC9" s="773">
        <f t="shared" si="5"/>
        <v>1</v>
      </c>
    </row>
    <row r="10" spans="1:29" s="427" customFormat="1" ht="28.8">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4"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4">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2546</v>
      </c>
      <c r="B15" s="69" t="s">
        <v>2640</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2" t="s">
        <v>2547</v>
      </c>
      <c r="Q15" s="1809" t="str">
        <f t="shared" si="6"/>
        <v>商业繁华度</v>
      </c>
      <c r="R15" s="774" t="s">
        <v>17</v>
      </c>
      <c r="S15" s="775">
        <f t="shared" si="0"/>
        <v>100</v>
      </c>
      <c r="T15" s="774" t="s">
        <v>17</v>
      </c>
      <c r="U15" s="775">
        <f t="shared" si="1"/>
        <v>100</v>
      </c>
      <c r="V15" s="774" t="s">
        <v>17</v>
      </c>
      <c r="W15" s="775">
        <f t="shared" si="2"/>
        <v>100</v>
      </c>
      <c r="X15" s="1812"/>
      <c r="Y15" s="3215" t="s">
        <v>2547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3"/>
      <c r="Q16" s="1809"/>
      <c r="R16" s="774"/>
      <c r="S16" s="775"/>
      <c r="T16" s="774"/>
      <c r="U16" s="775"/>
      <c r="V16" s="774"/>
      <c r="W16" s="775"/>
      <c r="X16" s="1812"/>
      <c r="Y16" s="3216"/>
      <c r="Z16" s="1813"/>
      <c r="AA16" s="1810">
        <v>1</v>
      </c>
      <c r="AB16" s="1810">
        <v>1</v>
      </c>
      <c r="AC16" s="1810">
        <v>1</v>
      </c>
    </row>
    <row r="17" spans="1:29" ht="15">
      <c r="A17" s="428"/>
      <c r="B17" s="451" t="s">
        <v>2084</v>
      </c>
      <c r="C17" s="260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3"/>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23"/>
      <c r="Q18" s="1809"/>
      <c r="R18" s="774"/>
      <c r="S18" s="775"/>
      <c r="T18" s="774"/>
      <c r="U18" s="775"/>
      <c r="V18" s="774"/>
      <c r="W18" s="775"/>
      <c r="X18" s="1812"/>
      <c r="Y18" s="3216"/>
      <c r="Z18" s="1813"/>
      <c r="AA18" s="1810">
        <v>1</v>
      </c>
      <c r="AB18" s="1810">
        <v>1</v>
      </c>
      <c r="AC18" s="1810">
        <v>1</v>
      </c>
    </row>
    <row r="19" spans="1:29" ht="15">
      <c r="A19" s="428"/>
      <c r="B19" s="451" t="s">
        <v>2641</v>
      </c>
      <c r="C19" s="260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3"/>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23"/>
      <c r="Q20" s="1809"/>
      <c r="R20" s="774"/>
      <c r="S20" s="775"/>
      <c r="T20" s="774"/>
      <c r="U20" s="775"/>
      <c r="V20" s="774"/>
      <c r="W20" s="775"/>
      <c r="X20" s="1812"/>
      <c r="Y20" s="3216"/>
      <c r="Z20" s="1813"/>
      <c r="AA20" s="1810">
        <v>1</v>
      </c>
      <c r="AB20" s="1810">
        <v>1</v>
      </c>
      <c r="AC20" s="1810">
        <v>1</v>
      </c>
    </row>
    <row r="21" spans="1:29" ht="15">
      <c r="A21" s="428"/>
      <c r="B21" s="1384" t="s">
        <v>2642</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3"/>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23"/>
      <c r="Q22" s="1809"/>
      <c r="R22" s="774"/>
      <c r="S22" s="775"/>
      <c r="T22" s="774"/>
      <c r="U22" s="775"/>
      <c r="V22" s="774"/>
      <c r="W22" s="775"/>
      <c r="X22" s="1812"/>
      <c r="Y22" s="3216"/>
      <c r="Z22" s="1813"/>
      <c r="AA22" s="1810">
        <v>1</v>
      </c>
      <c r="AB22" s="1810">
        <v>1</v>
      </c>
      <c r="AC22" s="1810">
        <v>1</v>
      </c>
    </row>
    <row r="23" spans="1:29" ht="15">
      <c r="A23" s="428"/>
      <c r="B23" s="451" t="s">
        <v>2089</v>
      </c>
      <c r="C23" s="266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3"/>
      <c r="Q23" s="1809" t="str">
        <f>B23</f>
        <v>自然及人文环境</v>
      </c>
      <c r="R23" s="774" t="s">
        <v>17</v>
      </c>
      <c r="S23" s="775">
        <f>F23</f>
        <v>100</v>
      </c>
      <c r="T23" s="774" t="s">
        <v>17</v>
      </c>
      <c r="U23" s="775">
        <f>H23</f>
        <v>100</v>
      </c>
      <c r="V23" s="774" t="s">
        <v>17</v>
      </c>
      <c r="W23" s="775">
        <f>J23</f>
        <v>100</v>
      </c>
      <c r="X23" s="1812"/>
      <c r="Y23" s="3216"/>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23"/>
      <c r="Q24" s="1809"/>
      <c r="R24" s="774"/>
      <c r="S24" s="775"/>
      <c r="T24" s="774"/>
      <c r="U24" s="775"/>
      <c r="V24" s="774"/>
      <c r="W24" s="775"/>
      <c r="X24" s="1812"/>
      <c r="Y24" s="3216"/>
      <c r="Z24" s="1813"/>
      <c r="AA24" s="1810">
        <v>1</v>
      </c>
      <c r="AB24" s="1810">
        <v>1</v>
      </c>
      <c r="AC24" s="1810">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3"/>
      <c r="Q25" s="1809" t="str">
        <f t="shared" ref="Q25:Q46" si="11">B25</f>
        <v>临街状况</v>
      </c>
      <c r="R25" s="774" t="s">
        <v>17</v>
      </c>
      <c r="S25" s="775">
        <f>F25</f>
        <v>100</v>
      </c>
      <c r="T25" s="774" t="s">
        <v>17</v>
      </c>
      <c r="U25" s="775">
        <f>H25</f>
        <v>100</v>
      </c>
      <c r="V25" s="774" t="s">
        <v>17</v>
      </c>
      <c r="W25" s="775">
        <f>J25</f>
        <v>100</v>
      </c>
      <c r="X25" s="1812"/>
      <c r="Y25" s="3216"/>
      <c r="Z25" s="1813" t="str">
        <f>Q25</f>
        <v>临街状况</v>
      </c>
      <c r="AA25" s="1810">
        <f t="shared" si="3"/>
        <v>1</v>
      </c>
      <c r="AB25" s="1810">
        <f t="shared" si="4"/>
        <v>1</v>
      </c>
      <c r="AC25" s="1810">
        <f t="shared" si="5"/>
        <v>1</v>
      </c>
    </row>
    <row r="26" spans="1:29" ht="15">
      <c r="A26" s="428"/>
      <c r="B26" s="1386" t="s">
        <v>2644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3"/>
      <c r="Q26" s="1809" t="str">
        <f t="shared" si="11"/>
        <v>平面位置/可视性</v>
      </c>
      <c r="R26" s="774" t="s">
        <v>17</v>
      </c>
      <c r="S26" s="775">
        <f>F26</f>
        <v>100</v>
      </c>
      <c r="T26" s="774" t="s">
        <v>17</v>
      </c>
      <c r="U26" s="775">
        <f>H26</f>
        <v>100</v>
      </c>
      <c r="V26" s="774" t="s">
        <v>17</v>
      </c>
      <c r="W26" s="775">
        <f>J26</f>
        <v>100</v>
      </c>
      <c r="X26" s="1812"/>
      <c r="Y26" s="3216"/>
      <c r="Z26" s="1813" t="str">
        <f>Q26</f>
        <v>平面位置/可视性</v>
      </c>
      <c r="AA26" s="1810">
        <f t="shared" si="3"/>
        <v>1</v>
      </c>
      <c r="AB26" s="1810">
        <f t="shared" si="4"/>
        <v>1</v>
      </c>
      <c r="AC26" s="1810">
        <f t="shared" si="5"/>
        <v>1</v>
      </c>
    </row>
    <row r="27" spans="1:29" s="117" customFormat="1" ht="15">
      <c r="A27" s="431"/>
      <c r="B27" s="451" t="s">
        <v>2645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3"/>
      <c r="Q27" s="1794" t="str">
        <f t="shared" si="11"/>
        <v>人流量</v>
      </c>
      <c r="R27" s="770" t="s">
        <v>17</v>
      </c>
      <c r="S27" s="771">
        <f>F27</f>
        <v>100</v>
      </c>
      <c r="T27" s="770" t="s">
        <v>17</v>
      </c>
      <c r="U27" s="771">
        <f>H27</f>
        <v>100</v>
      </c>
      <c r="V27" s="770" t="s">
        <v>17</v>
      </c>
      <c r="W27" s="771">
        <f>J27</f>
        <v>100</v>
      </c>
      <c r="X27" s="772"/>
      <c r="Y27" s="3216"/>
      <c r="Z27" s="55" t="str">
        <f>Q27</f>
        <v>人流量</v>
      </c>
      <c r="AA27" s="1810">
        <f>D27/F27</f>
        <v>1</v>
      </c>
      <c r="AB27" s="1810">
        <f>D27/H27</f>
        <v>1</v>
      </c>
      <c r="AC27" s="1810">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3"/>
      <c r="Q29" s="1809">
        <f t="shared" si="11"/>
        <v>111</v>
      </c>
      <c r="R29" s="774" t="s">
        <v>17</v>
      </c>
      <c r="S29" s="775">
        <f t="shared" si="12"/>
        <v>100</v>
      </c>
      <c r="T29" s="774" t="s">
        <v>17</v>
      </c>
      <c r="U29" s="775">
        <f t="shared" si="13"/>
        <v>100</v>
      </c>
      <c r="V29" s="774" t="s">
        <v>17</v>
      </c>
      <c r="W29" s="775">
        <f t="shared" si="14"/>
        <v>100</v>
      </c>
      <c r="X29" s="1812"/>
      <c r="Y29" s="321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3"/>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3"/>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1810">
        <f t="shared" si="5"/>
        <v>1</v>
      </c>
    </row>
    <row r="32" spans="1:29" ht="15">
      <c r="A32" s="440" t="s">
        <v>2550</v>
      </c>
      <c r="B32" s="71" t="s">
        <v>2647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7" t="s">
        <v>2552</v>
      </c>
      <c r="Q32" s="1809" t="str">
        <f t="shared" si="11"/>
        <v>商业类型</v>
      </c>
      <c r="R32" s="774" t="s">
        <v>17</v>
      </c>
      <c r="S32" s="775">
        <f t="shared" si="12"/>
        <v>100</v>
      </c>
      <c r="T32" s="774" t="s">
        <v>17</v>
      </c>
      <c r="U32" s="775">
        <f t="shared" si="13"/>
        <v>100</v>
      </c>
      <c r="V32" s="774" t="s">
        <v>17</v>
      </c>
      <c r="W32" s="775">
        <f t="shared" si="14"/>
        <v>100</v>
      </c>
      <c r="X32" s="1812"/>
      <c r="Y32" s="3220" t="s">
        <v>2552</v>
      </c>
      <c r="Z32" s="1813" t="str">
        <f t="shared" si="15"/>
        <v>商业类型</v>
      </c>
      <c r="AA32" s="1810">
        <f t="shared" si="3"/>
        <v>1</v>
      </c>
      <c r="AB32" s="1810">
        <f t="shared" si="4"/>
        <v>1</v>
      </c>
      <c r="AC32" s="1810">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0" t="e">
        <f t="shared" si="3"/>
        <v>#N/A</v>
      </c>
      <c r="AB33" s="1810" t="e">
        <f t="shared" si="4"/>
        <v>#N/A</v>
      </c>
      <c r="AC33" s="1810" t="e">
        <f t="shared" si="5"/>
        <v>#N/A</v>
      </c>
    </row>
    <row r="34" spans="1:29" ht="15">
      <c r="A34" s="472"/>
      <c r="B34" s="422" t="s">
        <v>2554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8"/>
      <c r="Q34" s="1809" t="str">
        <f t="shared" si="11"/>
        <v>建筑结构</v>
      </c>
      <c r="R34" s="774" t="s">
        <v>17</v>
      </c>
      <c r="S34" s="775">
        <f t="shared" si="12"/>
        <v>100</v>
      </c>
      <c r="T34" s="774" t="s">
        <v>17</v>
      </c>
      <c r="U34" s="775">
        <f t="shared" si="13"/>
        <v>100</v>
      </c>
      <c r="V34" s="774" t="s">
        <v>17</v>
      </c>
      <c r="W34" s="775">
        <f t="shared" si="14"/>
        <v>100</v>
      </c>
      <c r="X34" s="1812"/>
      <c r="Y34" s="3220"/>
      <c r="Z34" s="1813" t="str">
        <f t="shared" si="15"/>
        <v>建筑结构</v>
      </c>
      <c r="AA34" s="1810">
        <f t="shared" si="3"/>
        <v>1</v>
      </c>
      <c r="AB34" s="1810">
        <f t="shared" si="4"/>
        <v>1</v>
      </c>
      <c r="AC34" s="1810">
        <f t="shared" si="5"/>
        <v>1</v>
      </c>
    </row>
    <row r="35" spans="1:29" ht="15">
      <c r="A35" s="472"/>
      <c r="B35" s="422" t="s">
        <v>2648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8"/>
      <c r="Q35" s="1809" t="str">
        <f t="shared" si="11"/>
        <v>公共部分装修</v>
      </c>
      <c r="R35" s="774" t="s">
        <v>17</v>
      </c>
      <c r="S35" s="775">
        <f t="shared" si="12"/>
        <v>100</v>
      </c>
      <c r="T35" s="774" t="s">
        <v>17</v>
      </c>
      <c r="U35" s="775">
        <f t="shared" si="13"/>
        <v>100</v>
      </c>
      <c r="V35" s="774" t="s">
        <v>17</v>
      </c>
      <c r="W35" s="775">
        <f t="shared" si="14"/>
        <v>100</v>
      </c>
      <c r="X35" s="1812"/>
      <c r="Y35" s="3220"/>
      <c r="Z35" s="1813" t="str">
        <f t="shared" si="15"/>
        <v>公共部分装修</v>
      </c>
      <c r="AA35" s="1810">
        <f t="shared" si="3"/>
        <v>1</v>
      </c>
      <c r="AB35" s="1810">
        <f t="shared" si="4"/>
        <v>1</v>
      </c>
      <c r="AC35" s="1810">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8"/>
      <c r="Q36" s="1809" t="str">
        <f t="shared" si="11"/>
        <v>成新度</v>
      </c>
      <c r="R36" s="774" t="s">
        <v>17</v>
      </c>
      <c r="S36" s="775" t="e">
        <f t="shared" si="12"/>
        <v>#N/A</v>
      </c>
      <c r="T36" s="774" t="s">
        <v>17</v>
      </c>
      <c r="U36" s="775" t="e">
        <f t="shared" si="13"/>
        <v>#N/A</v>
      </c>
      <c r="V36" s="774" t="s">
        <v>17</v>
      </c>
      <c r="W36" s="775" t="e">
        <f t="shared" si="14"/>
        <v>#N/A</v>
      </c>
      <c r="X36" s="1812"/>
      <c r="Y36" s="3220"/>
      <c r="Z36" s="1813" t="str">
        <f t="shared" si="15"/>
        <v>成新度</v>
      </c>
      <c r="AA36" s="1810" t="e">
        <f t="shared" si="3"/>
        <v>#N/A</v>
      </c>
      <c r="AB36" s="1810" t="e">
        <f t="shared" si="4"/>
        <v>#N/A</v>
      </c>
      <c r="AC36" s="1810" t="e">
        <f t="shared" si="5"/>
        <v>#N/A</v>
      </c>
    </row>
    <row r="37" spans="1:29" s="117" customFormat="1" ht="15">
      <c r="A37" s="473"/>
      <c r="B37" s="422" t="s">
        <v>2650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8"/>
      <c r="Q37" s="1794"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2651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8" t="s">
        <v>2552</v>
      </c>
      <c r="Q38" s="1809" t="str">
        <f t="shared" si="11"/>
        <v>业态</v>
      </c>
      <c r="R38" s="774" t="s">
        <v>17</v>
      </c>
      <c r="S38" s="775">
        <f t="shared" si="12"/>
        <v>100</v>
      </c>
      <c r="T38" s="774" t="s">
        <v>17</v>
      </c>
      <c r="U38" s="775">
        <f t="shared" si="13"/>
        <v>100</v>
      </c>
      <c r="V38" s="774" t="s">
        <v>17</v>
      </c>
      <c r="W38" s="775">
        <f t="shared" si="14"/>
        <v>100</v>
      </c>
      <c r="X38" s="1812"/>
      <c r="Y38" s="3220" t="s">
        <v>2552</v>
      </c>
      <c r="Z38" s="1813" t="str">
        <f t="shared" si="15"/>
        <v>业态</v>
      </c>
      <c r="AA38" s="1810">
        <f t="shared" si="3"/>
        <v>1</v>
      </c>
      <c r="AB38" s="1810">
        <f t="shared" si="4"/>
        <v>1</v>
      </c>
      <c r="AC38" s="1810">
        <f t="shared" si="5"/>
        <v>1</v>
      </c>
    </row>
    <row r="39" spans="1:29" ht="15">
      <c r="A39" s="472"/>
      <c r="B39" s="422" t="s">
        <v>2652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8"/>
      <c r="Q39" s="1809" t="str">
        <f t="shared" si="11"/>
        <v>层高</v>
      </c>
      <c r="R39" s="774" t="s">
        <v>17</v>
      </c>
      <c r="S39" s="775">
        <f t="shared" si="12"/>
        <v>100</v>
      </c>
      <c r="T39" s="774" t="s">
        <v>17</v>
      </c>
      <c r="U39" s="775">
        <f t="shared" si="13"/>
        <v>100</v>
      </c>
      <c r="V39" s="774" t="s">
        <v>17</v>
      </c>
      <c r="W39" s="775">
        <f t="shared" si="14"/>
        <v>100</v>
      </c>
      <c r="X39" s="1812"/>
      <c r="Y39" s="3220"/>
      <c r="Z39" s="1813" t="str">
        <f t="shared" si="15"/>
        <v>层高</v>
      </c>
      <c r="AA39" s="1810">
        <f t="shared" si="3"/>
        <v>1</v>
      </c>
      <c r="AB39" s="1810">
        <f t="shared" si="4"/>
        <v>1</v>
      </c>
      <c r="AC39" s="1810">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8"/>
      <c r="Q40" s="1809" t="str">
        <f t="shared" si="11"/>
        <v>单套建筑面积</v>
      </c>
      <c r="R40" s="774" t="s">
        <v>17</v>
      </c>
      <c r="S40" s="775">
        <f t="shared" si="12"/>
        <v>100</v>
      </c>
      <c r="T40" s="774" t="s">
        <v>17</v>
      </c>
      <c r="U40" s="775">
        <f t="shared" si="13"/>
        <v>100</v>
      </c>
      <c r="V40" s="774" t="s">
        <v>17</v>
      </c>
      <c r="W40" s="775">
        <f t="shared" si="14"/>
        <v>100</v>
      </c>
      <c r="X40" s="1812"/>
      <c r="Y40" s="3220"/>
      <c r="Z40" s="1813" t="str">
        <f t="shared" si="15"/>
        <v>单套建筑面积</v>
      </c>
      <c r="AA40" s="1810">
        <f t="shared" si="3"/>
        <v>1</v>
      </c>
      <c r="AB40" s="1810">
        <f t="shared" si="4"/>
        <v>1</v>
      </c>
      <c r="AC40" s="1810">
        <f t="shared" si="5"/>
        <v>1</v>
      </c>
    </row>
    <row r="41" spans="1:29" s="471" customFormat="1" ht="15">
      <c r="A41" s="468"/>
      <c r="B41" s="1811"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0">
        <f t="shared" si="3"/>
        <v>1</v>
      </c>
      <c r="AB41" s="1810">
        <f t="shared" si="4"/>
        <v>1</v>
      </c>
      <c r="AC41" s="1810">
        <f t="shared" si="5"/>
        <v>1</v>
      </c>
    </row>
    <row r="42" spans="1:29" ht="15">
      <c r="A42" s="472"/>
      <c r="B42" s="422" t="s">
        <v>2655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8"/>
      <c r="Q42" s="1809" t="str">
        <f t="shared" si="11"/>
        <v>内部装修</v>
      </c>
      <c r="R42" s="774" t="s">
        <v>17</v>
      </c>
      <c r="S42" s="775">
        <f t="shared" si="12"/>
        <v>100</v>
      </c>
      <c r="T42" s="774" t="s">
        <v>17</v>
      </c>
      <c r="U42" s="775">
        <f t="shared" si="13"/>
        <v>100</v>
      </c>
      <c r="V42" s="774" t="s">
        <v>17</v>
      </c>
      <c r="W42" s="775">
        <f t="shared" si="14"/>
        <v>100</v>
      </c>
      <c r="X42" s="1812"/>
      <c r="Y42" s="3220"/>
      <c r="Z42" s="1813" t="str">
        <f t="shared" si="15"/>
        <v>内部装修</v>
      </c>
      <c r="AA42" s="1810">
        <f t="shared" si="3"/>
        <v>1</v>
      </c>
      <c r="AB42" s="1810">
        <f t="shared" si="4"/>
        <v>1</v>
      </c>
      <c r="AC42" s="1810">
        <f t="shared" si="5"/>
        <v>1</v>
      </c>
    </row>
    <row r="43" spans="1:29" ht="28.8">
      <c r="A43" s="472"/>
      <c r="B43" s="422" t="s">
        <v>2563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8"/>
      <c r="Q43" s="1809" t="str">
        <f t="shared" si="11"/>
        <v>内部装修维护情况</v>
      </c>
      <c r="R43" s="774" t="s">
        <v>17</v>
      </c>
      <c r="S43" s="775">
        <f t="shared" si="12"/>
        <v>100</v>
      </c>
      <c r="T43" s="774" t="s">
        <v>17</v>
      </c>
      <c r="U43" s="775">
        <f t="shared" si="13"/>
        <v>100</v>
      </c>
      <c r="V43" s="774" t="s">
        <v>17</v>
      </c>
      <c r="W43" s="775">
        <f t="shared" si="14"/>
        <v>100</v>
      </c>
      <c r="X43" s="1812"/>
      <c r="Y43" s="3220"/>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8"/>
      <c r="Q44" s="1794">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8"/>
      <c r="Q45" s="1809">
        <f t="shared" si="11"/>
        <v>111</v>
      </c>
      <c r="R45" s="774" t="s">
        <v>17</v>
      </c>
      <c r="S45" s="775">
        <f t="shared" si="12"/>
        <v>100</v>
      </c>
      <c r="T45" s="774" t="s">
        <v>17</v>
      </c>
      <c r="U45" s="775">
        <f t="shared" si="13"/>
        <v>100</v>
      </c>
      <c r="V45" s="774" t="s">
        <v>17</v>
      </c>
      <c r="W45" s="775">
        <f t="shared" si="14"/>
        <v>100</v>
      </c>
      <c r="X45" s="1812"/>
      <c r="Y45" s="3220"/>
      <c r="Z45" s="1813">
        <f t="shared" si="15"/>
        <v>111</v>
      </c>
      <c r="AA45" s="1810">
        <f t="shared" si="3"/>
        <v>1</v>
      </c>
      <c r="AB45" s="1810">
        <f t="shared" si="4"/>
        <v>1</v>
      </c>
      <c r="AC45" s="1810">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9"/>
      <c r="Q46" s="1809">
        <f t="shared" si="11"/>
        <v>111</v>
      </c>
      <c r="R46" s="774" t="s">
        <v>17</v>
      </c>
      <c r="S46" s="775">
        <f t="shared" si="12"/>
        <v>100</v>
      </c>
      <c r="T46" s="774" t="s">
        <v>17</v>
      </c>
      <c r="U46" s="775">
        <f t="shared" si="13"/>
        <v>100</v>
      </c>
      <c r="V46" s="774" t="s">
        <v>17</v>
      </c>
      <c r="W46" s="775">
        <f t="shared" si="14"/>
        <v>100</v>
      </c>
      <c r="X46" s="1812"/>
      <c r="Y46" s="3221"/>
      <c r="Z46" s="1813">
        <f t="shared" si="15"/>
        <v>111</v>
      </c>
      <c r="AA46" s="1810">
        <f t="shared" si="3"/>
        <v>1</v>
      </c>
      <c r="AB46" s="1810">
        <f t="shared" si="4"/>
        <v>1</v>
      </c>
      <c r="AC46" s="1810">
        <f t="shared" si="5"/>
        <v>1</v>
      </c>
    </row>
    <row r="47" spans="1:29" ht="14.4">
      <c r="A47" s="479" t="s">
        <v>2564</v>
      </c>
      <c r="B47" s="480"/>
      <c r="C47" s="1407" t="s">
        <v>1</v>
      </c>
      <c r="D47" s="1408"/>
      <c r="E47" s="1409"/>
      <c r="F47" s="1410"/>
      <c r="G47" s="1411"/>
      <c r="H47" s="1412"/>
      <c r="I47" s="1409"/>
      <c r="J47" s="1412"/>
      <c r="K47" s="783"/>
      <c r="L47" s="1143"/>
      <c r="M47" s="1144"/>
      <c r="N47" s="1131"/>
      <c r="O47" s="1144"/>
      <c r="P47" s="3213" t="str">
        <f>A47</f>
        <v>成交单价（元/平方米）</v>
      </c>
      <c r="Q47" s="3213"/>
      <c r="R47" s="3208">
        <f>E47</f>
        <v>0</v>
      </c>
      <c r="S47" s="3208"/>
      <c r="T47" s="3208">
        <f>G47</f>
        <v>0</v>
      </c>
      <c r="U47" s="3208"/>
      <c r="V47" s="3208">
        <f>I47</f>
        <v>0</v>
      </c>
      <c r="W47" s="3208"/>
      <c r="X47" s="759"/>
      <c r="Y47" s="781"/>
      <c r="Z47" s="759"/>
      <c r="AA47" s="759"/>
      <c r="AB47" s="759"/>
      <c r="AC47" s="759"/>
    </row>
    <row r="48" spans="1:29" ht="15" thickBot="1">
      <c r="A48" s="486" t="s">
        <v>2656</v>
      </c>
      <c r="B48" s="487"/>
      <c r="C48" s="1413" t="e">
        <f>R49</f>
        <v>#DIV/0!</v>
      </c>
      <c r="D48" s="1414"/>
      <c r="E48" s="1415" t="e">
        <f>R48</f>
        <v>#DIV/0!</v>
      </c>
      <c r="F48" s="1415"/>
      <c r="G48" s="1413" t="e">
        <f>T48</f>
        <v>#DIV/0!</v>
      </c>
      <c r="H48" s="1414"/>
      <c r="I48" s="1415" t="e">
        <f>V48</f>
        <v>#DIV/0!</v>
      </c>
      <c r="J48" s="1414"/>
      <c r="K48" s="784"/>
      <c r="L48" s="1143"/>
      <c r="M48" s="1144"/>
      <c r="N48" s="1131"/>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 thickBot="1">
      <c r="A49" s="492" t="s">
        <v>2657</v>
      </c>
      <c r="B49" s="493"/>
      <c r="C49" s="1417" t="e">
        <f>R49</f>
        <v>#DIV/0!</v>
      </c>
      <c r="D49" s="1417"/>
      <c r="E49" s="1417"/>
      <c r="F49" s="1417"/>
      <c r="G49" s="1417"/>
      <c r="H49" s="1417"/>
      <c r="I49" s="1417"/>
      <c r="J49" s="1417"/>
      <c r="K49" s="785"/>
      <c r="L49" s="1143"/>
      <c r="M49" s="1144"/>
      <c r="N49" s="1131"/>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2535</v>
      </c>
      <c r="B58" s="506"/>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2572</v>
      </c>
      <c r="B60" s="516"/>
      <c r="C60" s="517"/>
      <c r="D60" s="518"/>
      <c r="E60" s="518"/>
      <c r="F60" s="518"/>
      <c r="G60" s="518"/>
      <c r="H60" s="518"/>
      <c r="I60" s="518"/>
      <c r="J60" s="518"/>
      <c r="K60" s="518"/>
      <c r="L60" s="518"/>
      <c r="M60" s="519"/>
      <c r="N60" s="518"/>
      <c r="O60" s="519"/>
      <c r="P60" s="2626"/>
      <c r="Q60" s="504"/>
    </row>
    <row r="61" spans="1:29" s="117" customFormat="1" ht="14.4">
      <c r="A61" s="521" t="s">
        <v>2537</v>
      </c>
      <c r="B61" s="510"/>
      <c r="C61" s="522" t="s">
        <v>2639</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2575</v>
      </c>
      <c r="B63" s="528" t="s">
        <v>2541</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2544</v>
      </c>
      <c r="C65" s="539" t="s">
        <v>2576</v>
      </c>
      <c r="D65" s="539" t="s">
        <v>2577</v>
      </c>
      <c r="E65" s="539" t="s">
        <v>2578</v>
      </c>
      <c r="F65" s="539" t="s">
        <v>2579</v>
      </c>
      <c r="G65" s="539" t="s">
        <v>2580</v>
      </c>
      <c r="H65" s="539" t="s">
        <v>2581</v>
      </c>
      <c r="I65" s="539" t="s">
        <v>2582</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2546</v>
      </c>
      <c r="B76" s="528" t="s">
        <v>2583</v>
      </c>
      <c r="C76" s="573" t="s">
        <v>2584</v>
      </c>
      <c r="D76" s="573" t="s">
        <v>2585</v>
      </c>
      <c r="E76" s="573" t="s">
        <v>2586</v>
      </c>
      <c r="F76" s="573" t="s">
        <v>2587</v>
      </c>
      <c r="G76" s="573" t="s">
        <v>2588</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2589</v>
      </c>
      <c r="C78" s="578" t="s">
        <v>2584</v>
      </c>
      <c r="D78" s="578" t="s">
        <v>2585</v>
      </c>
      <c r="E78" s="578" t="s">
        <v>2586</v>
      </c>
      <c r="F78" s="578" t="s">
        <v>2587</v>
      </c>
      <c r="G78" s="578" t="s">
        <v>2588</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2590</v>
      </c>
      <c r="C80" s="578" t="s">
        <v>2584</v>
      </c>
      <c r="D80" s="578" t="s">
        <v>2585</v>
      </c>
      <c r="E80" s="578" t="s">
        <v>2586</v>
      </c>
      <c r="F80" s="578" t="s">
        <v>2587</v>
      </c>
      <c r="G80" s="578" t="s">
        <v>2588</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2642</v>
      </c>
      <c r="C82" s="660" t="s">
        <v>2662</v>
      </c>
      <c r="D82" s="660" t="s">
        <v>2663</v>
      </c>
      <c r="E82" s="660" t="s">
        <v>2664</v>
      </c>
      <c r="F82" s="660" t="s">
        <v>2665</v>
      </c>
      <c r="G82" s="660" t="s">
        <v>2666</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2596</v>
      </c>
      <c r="C84" s="578" t="s">
        <v>2584</v>
      </c>
      <c r="D84" s="578" t="s">
        <v>2585</v>
      </c>
      <c r="E84" s="578" t="s">
        <v>2586</v>
      </c>
      <c r="F84" s="578" t="s">
        <v>2587</v>
      </c>
      <c r="G84" s="578" t="s">
        <v>2588</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2667</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2550</v>
      </c>
      <c r="B100" s="528" t="s">
        <v>2668</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2601</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2603</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2605</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2669</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2670</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2671</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2672</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2607</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2608</v>
      </c>
      <c r="C124" s="578" t="s">
        <v>2584</v>
      </c>
      <c r="D124" s="578" t="s">
        <v>2585</v>
      </c>
      <c r="E124" s="578" t="s">
        <v>2586</v>
      </c>
      <c r="F124" s="578" t="s">
        <v>2587</v>
      </c>
      <c r="G124" s="578" t="s">
        <v>2588</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2515</v>
      </c>
      <c r="B1" s="2667" t="s">
        <v>2673</v>
      </c>
      <c r="C1" s="1619" t="s">
        <v>2517</v>
      </c>
      <c r="D1" s="1620"/>
      <c r="E1" s="1629"/>
      <c r="F1" s="2582"/>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IF(C2="——",ROUND(C50*D3/10000,0),ROUND(C50*D3/10000,0)-D2)</f>
        <v>#DIV/0!</v>
      </c>
      <c r="C2" s="2584"/>
      <c r="D2" s="1365" t="e">
        <f ca="1">SUMIF(INDIRECT("'"&amp;F2&amp;"'"&amp;"!A:A"),"承租人权益价值",INDIRECT("'"&amp;F2&amp;"'"&amp;"!c:c"))</f>
        <v>#REF!</v>
      </c>
      <c r="E2" s="2585" t="s">
        <v>2315</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2631</v>
      </c>
      <c r="D3" s="399">
        <f>IF(D1="",'数据-汇总表'!E3,SUMIF('数据-汇总表'!$C19:$C33,D1,'数据-汇总表'!$E19:$E33))</f>
        <v>57477.440000000002</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2632</v>
      </c>
      <c r="B4" s="402"/>
      <c r="C4" s="3196" t="s">
        <v>2633</v>
      </c>
      <c r="D4" s="3197"/>
      <c r="E4" s="3198" t="s">
        <v>2634</v>
      </c>
      <c r="F4" s="3199"/>
      <c r="G4" s="3196" t="s">
        <v>2635</v>
      </c>
      <c r="H4" s="3197"/>
      <c r="I4" s="3196" t="s">
        <v>2636</v>
      </c>
      <c r="J4" s="3197"/>
      <c r="K4" s="610" t="s">
        <v>2637</v>
      </c>
      <c r="L4" s="1130"/>
      <c r="M4" s="1131"/>
      <c r="N4" s="1131"/>
      <c r="O4" s="1131"/>
      <c r="P4" s="3230" t="s">
        <v>2638</v>
      </c>
      <c r="Q4" s="3231"/>
      <c r="R4" s="3225" t="s">
        <v>2634</v>
      </c>
      <c r="S4" s="3226"/>
      <c r="T4" s="3225" t="s">
        <v>2635</v>
      </c>
      <c r="U4" s="3226"/>
      <c r="V4" s="3234" t="s">
        <v>2636</v>
      </c>
      <c r="W4" s="3234"/>
      <c r="X4" s="2668"/>
      <c r="Y4" s="3225" t="s">
        <v>2638</v>
      </c>
      <c r="Z4" s="3226"/>
      <c r="AA4" s="3224" t="s">
        <v>2634</v>
      </c>
      <c r="AB4" s="3224" t="s">
        <v>2635</v>
      </c>
      <c r="AC4" s="3227" t="s">
        <v>2636</v>
      </c>
    </row>
    <row r="5" spans="1:29">
      <c r="A5" s="404"/>
      <c r="B5" s="405"/>
      <c r="C5" s="3189" t="s">
        <v>2529</v>
      </c>
      <c r="D5" s="3190"/>
      <c r="E5" s="3187" t="s">
        <v>2530</v>
      </c>
      <c r="F5" s="3188"/>
      <c r="G5" s="3189" t="s">
        <v>2531</v>
      </c>
      <c r="H5" s="3190"/>
      <c r="I5" s="3189" t="s">
        <v>2532</v>
      </c>
      <c r="J5" s="3190"/>
      <c r="K5" s="610"/>
      <c r="L5" s="1130"/>
      <c r="M5" s="1131"/>
      <c r="N5" s="1131"/>
      <c r="O5" s="1131"/>
      <c r="P5" s="3232"/>
      <c r="Q5" s="3203"/>
      <c r="R5" s="3185"/>
      <c r="S5" s="3186"/>
      <c r="T5" s="3185"/>
      <c r="U5" s="3186"/>
      <c r="V5" s="3208"/>
      <c r="W5" s="3208"/>
      <c r="X5" s="1812"/>
      <c r="Y5" s="3185"/>
      <c r="Z5" s="3186"/>
      <c r="AA5" s="3179"/>
      <c r="AB5" s="3179"/>
      <c r="AC5" s="3228"/>
    </row>
    <row r="6" spans="1:29" ht="15" thickBot="1">
      <c r="A6" s="406"/>
      <c r="B6" s="407"/>
      <c r="C6" s="3191" t="s">
        <v>2533</v>
      </c>
      <c r="D6" s="3192"/>
      <c r="E6" s="3193" t="s">
        <v>2533</v>
      </c>
      <c r="F6" s="3194"/>
      <c r="G6" s="3191" t="s">
        <v>2533</v>
      </c>
      <c r="H6" s="3192"/>
      <c r="I6" s="3191" t="s">
        <v>2533</v>
      </c>
      <c r="J6" s="3192"/>
      <c r="K6" s="610" t="s">
        <v>2534</v>
      </c>
      <c r="L6" s="1130"/>
      <c r="M6" s="1131"/>
      <c r="N6" s="1131"/>
      <c r="O6" s="1131"/>
      <c r="P6" s="3233"/>
      <c r="Q6" s="3205"/>
      <c r="R6" s="3185"/>
      <c r="S6" s="3186"/>
      <c r="T6" s="3206"/>
      <c r="U6" s="3207"/>
      <c r="V6" s="3208"/>
      <c r="W6" s="3208"/>
      <c r="X6" s="1812"/>
      <c r="Y6" s="3206"/>
      <c r="Z6" s="3207"/>
      <c r="AA6" s="3180"/>
      <c r="AB6" s="3180"/>
      <c r="AC6" s="3229"/>
    </row>
    <row r="7" spans="1:29" s="117" customFormat="1" ht="15" thickBot="1">
      <c r="A7" s="408" t="s">
        <v>2535</v>
      </c>
      <c r="B7" s="409"/>
      <c r="C7" s="410">
        <f>'数据-取费表'!B2</f>
        <v>43768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5" t="s">
        <v>2536</v>
      </c>
      <c r="Q7" s="3209"/>
      <c r="R7" s="770" t="s">
        <v>17</v>
      </c>
      <c r="S7" s="771">
        <f t="shared" ref="S7:S15" si="0">F7</f>
        <v>0</v>
      </c>
      <c r="T7" s="770" t="s">
        <v>17</v>
      </c>
      <c r="U7" s="771">
        <f t="shared" ref="U7:U15" si="1">H7</f>
        <v>0</v>
      </c>
      <c r="V7" s="770" t="s">
        <v>17</v>
      </c>
      <c r="W7" s="771">
        <f t="shared" ref="W7:W15" si="2">J7</f>
        <v>0</v>
      </c>
      <c r="X7" s="772"/>
      <c r="Y7" s="3181" t="s">
        <v>2536</v>
      </c>
      <c r="Z7" s="3182"/>
      <c r="AA7" s="773" t="e">
        <f>D7/F7</f>
        <v>#DIV/0!</v>
      </c>
      <c r="AB7" s="773" t="e">
        <f>D7/H7</f>
        <v>#DIV/0!</v>
      </c>
      <c r="AC7" s="2669" t="e">
        <f>D7/J7</f>
        <v>#DIV/0!</v>
      </c>
    </row>
    <row r="8" spans="1:29" s="117" customFormat="1" ht="1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5" t="s">
        <v>2539</v>
      </c>
      <c r="Q8" s="3182"/>
      <c r="R8" s="770" t="s">
        <v>17</v>
      </c>
      <c r="S8" s="771">
        <f t="shared" si="0"/>
        <v>0</v>
      </c>
      <c r="T8" s="770" t="s">
        <v>17</v>
      </c>
      <c r="U8" s="771">
        <f t="shared" si="1"/>
        <v>0</v>
      </c>
      <c r="V8" s="770" t="s">
        <v>17</v>
      </c>
      <c r="W8" s="771">
        <f t="shared" si="2"/>
        <v>0</v>
      </c>
      <c r="X8" s="772"/>
      <c r="Y8" s="3181" t="s">
        <v>2539</v>
      </c>
      <c r="Z8" s="3182"/>
      <c r="AA8" s="773" t="e">
        <f t="shared" ref="AA8:AA47" si="3">D8/F8</f>
        <v>#DIV/0!</v>
      </c>
      <c r="AB8" s="773" t="e">
        <f t="shared" ref="AB8:AB47" si="4">D8/H8</f>
        <v>#DIV/0!</v>
      </c>
      <c r="AC8" s="2669" t="e">
        <f t="shared" ref="AC8:AC47" si="5">D8/J8</f>
        <v>#DIV/0!</v>
      </c>
    </row>
    <row r="9" spans="1:29" s="117" customFormat="1" ht="14.4">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5" t="s">
        <v>2542</v>
      </c>
      <c r="Q9" s="1794" t="str">
        <f t="shared" ref="Q9:Q15" si="6">B9</f>
        <v>用途</v>
      </c>
      <c r="R9" s="770" t="s">
        <v>17</v>
      </c>
      <c r="S9" s="771">
        <f t="shared" si="0"/>
        <v>100</v>
      </c>
      <c r="T9" s="770" t="s">
        <v>17</v>
      </c>
      <c r="U9" s="771">
        <f t="shared" si="1"/>
        <v>100</v>
      </c>
      <c r="V9" s="770" t="s">
        <v>17</v>
      </c>
      <c r="W9" s="771">
        <f t="shared" si="2"/>
        <v>100</v>
      </c>
      <c r="X9" s="772"/>
      <c r="Y9" s="3028" t="s">
        <v>2543</v>
      </c>
      <c r="Z9" s="55" t="str">
        <f t="shared" ref="Z9:Z15" si="7">Q9</f>
        <v>用途</v>
      </c>
      <c r="AA9" s="773">
        <f t="shared" si="3"/>
        <v>1</v>
      </c>
      <c r="AB9" s="773">
        <f t="shared" si="4"/>
        <v>1</v>
      </c>
      <c r="AC9" s="2669">
        <f t="shared" si="5"/>
        <v>1</v>
      </c>
    </row>
    <row r="10" spans="1:29" s="427" customFormat="1" ht="28.8">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69">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5"/>
      <c r="Q11" s="1794"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5"/>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5"/>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69">
        <f t="shared" si="5"/>
        <v>1</v>
      </c>
    </row>
    <row r="14" spans="1:29" ht="15.6"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5"/>
      <c r="Q14" s="1794">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69">
        <f t="shared" si="5"/>
        <v>1</v>
      </c>
    </row>
    <row r="15" spans="1:29" ht="15">
      <c r="A15" s="440" t="s">
        <v>2546</v>
      </c>
      <c r="B15" s="629" t="s">
        <v>2674</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2" t="s">
        <v>2547</v>
      </c>
      <c r="Q15" s="1809" t="str">
        <f t="shared" si="6"/>
        <v>办公集聚程度</v>
      </c>
      <c r="R15" s="774" t="s">
        <v>17</v>
      </c>
      <c r="S15" s="775">
        <f t="shared" si="0"/>
        <v>100</v>
      </c>
      <c r="T15" s="774" t="s">
        <v>17</v>
      </c>
      <c r="U15" s="775">
        <f t="shared" si="1"/>
        <v>100</v>
      </c>
      <c r="V15" s="774" t="s">
        <v>17</v>
      </c>
      <c r="W15" s="775">
        <f t="shared" si="2"/>
        <v>100</v>
      </c>
      <c r="X15" s="1812"/>
      <c r="Y15" s="3215" t="s">
        <v>2547</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23"/>
      <c r="Q16" s="1809"/>
      <c r="R16" s="774"/>
      <c r="S16" s="775"/>
      <c r="T16" s="774"/>
      <c r="U16" s="775"/>
      <c r="V16" s="774"/>
      <c r="W16" s="775"/>
      <c r="X16" s="1812"/>
      <c r="Y16" s="3216"/>
      <c r="Z16" s="1813"/>
      <c r="AA16" s="1810">
        <v>1</v>
      </c>
      <c r="AB16" s="1810">
        <v>1</v>
      </c>
      <c r="AC16" s="2672">
        <v>1</v>
      </c>
    </row>
    <row r="17" spans="1:29" ht="15">
      <c r="A17" s="428"/>
      <c r="B17" s="631" t="s">
        <v>2084</v>
      </c>
      <c r="C17" s="267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3"/>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3"/>
      <c r="Q18" s="1809"/>
      <c r="R18" s="774"/>
      <c r="S18" s="775"/>
      <c r="T18" s="774"/>
      <c r="U18" s="775"/>
      <c r="V18" s="774"/>
      <c r="W18" s="775"/>
      <c r="X18" s="1812"/>
      <c r="Y18" s="3216"/>
      <c r="Z18" s="1813"/>
      <c r="AA18" s="1810">
        <v>1</v>
      </c>
      <c r="AB18" s="1810">
        <v>1</v>
      </c>
      <c r="AC18" s="2672">
        <v>1</v>
      </c>
    </row>
    <row r="19" spans="1:29" ht="15">
      <c r="A19" s="428"/>
      <c r="B19" s="631" t="s">
        <v>2675</v>
      </c>
      <c r="C19" s="267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3"/>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3"/>
      <c r="Q20" s="1809"/>
      <c r="R20" s="774"/>
      <c r="S20" s="775"/>
      <c r="T20" s="774"/>
      <c r="U20" s="775"/>
      <c r="V20" s="774"/>
      <c r="W20" s="775"/>
      <c r="X20" s="1812"/>
      <c r="Y20" s="3216"/>
      <c r="Z20" s="1813"/>
      <c r="AA20" s="1810">
        <v>1</v>
      </c>
      <c r="AB20" s="1810">
        <v>1</v>
      </c>
      <c r="AC20" s="2672">
        <v>1</v>
      </c>
    </row>
    <row r="21" spans="1:29" ht="15">
      <c r="A21" s="428"/>
      <c r="B21" s="633" t="s">
        <v>2676</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3"/>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3"/>
      <c r="Q22" s="1809"/>
      <c r="R22" s="774"/>
      <c r="S22" s="775"/>
      <c r="T22" s="774"/>
      <c r="U22" s="775"/>
      <c r="V22" s="774"/>
      <c r="W22" s="775"/>
      <c r="X22" s="1812"/>
      <c r="Y22" s="3216"/>
      <c r="Z22" s="1813"/>
      <c r="AA22" s="1810">
        <v>1</v>
      </c>
      <c r="AB22" s="1810">
        <v>1</v>
      </c>
      <c r="AC22" s="2672">
        <v>1</v>
      </c>
    </row>
    <row r="23" spans="1:29" ht="15">
      <c r="A23" s="428"/>
      <c r="B23" s="631" t="s">
        <v>2677</v>
      </c>
      <c r="C23" s="267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3"/>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3"/>
      <c r="Q24" s="1809"/>
      <c r="R24" s="774"/>
      <c r="S24" s="775"/>
      <c r="T24" s="774"/>
      <c r="U24" s="775"/>
      <c r="V24" s="774"/>
      <c r="W24" s="775"/>
      <c r="X24" s="1812"/>
      <c r="Y24" s="3216"/>
      <c r="Z24" s="1813"/>
      <c r="AA24" s="1810">
        <v>1</v>
      </c>
      <c r="AB24" s="1810">
        <v>1</v>
      </c>
      <c r="AC24" s="2672">
        <v>1</v>
      </c>
    </row>
    <row r="25" spans="1:29" ht="28.8">
      <c r="A25" s="404"/>
      <c r="B25" s="631" t="s">
        <v>2678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3"/>
      <c r="Q25" s="1809" t="str">
        <f>B25</f>
        <v>毗邻道路的类型与等级</v>
      </c>
      <c r="R25" s="774" t="s">
        <v>17</v>
      </c>
      <c r="S25" s="775">
        <f>F25</f>
        <v>100</v>
      </c>
      <c r="T25" s="774" t="s">
        <v>17</v>
      </c>
      <c r="U25" s="775">
        <f>H25</f>
        <v>100</v>
      </c>
      <c r="V25" s="774" t="s">
        <v>17</v>
      </c>
      <c r="W25" s="775">
        <f>J25</f>
        <v>100</v>
      </c>
      <c r="X25" s="1812"/>
      <c r="Y25" s="3216"/>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23"/>
      <c r="Q26" s="1809"/>
      <c r="R26" s="774"/>
      <c r="S26" s="775"/>
      <c r="T26" s="774"/>
      <c r="U26" s="775"/>
      <c r="V26" s="774"/>
      <c r="W26" s="775"/>
      <c r="X26" s="1812"/>
      <c r="Y26" s="3216"/>
      <c r="Z26" s="1813"/>
      <c r="AA26" s="1810">
        <v>1</v>
      </c>
      <c r="AB26" s="1810">
        <v>1</v>
      </c>
      <c r="AC26" s="2672">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3"/>
      <c r="Q27" s="1809" t="str">
        <f t="shared" ref="Q27:Q47" si="11">B27</f>
        <v>楼层</v>
      </c>
      <c r="R27" s="774" t="s">
        <v>17</v>
      </c>
      <c r="S27" s="775">
        <f>F27</f>
        <v>100</v>
      </c>
      <c r="T27" s="774" t="s">
        <v>17</v>
      </c>
      <c r="U27" s="775">
        <f>H27</f>
        <v>100</v>
      </c>
      <c r="V27" s="774" t="s">
        <v>17</v>
      </c>
      <c r="W27" s="775">
        <f>J27</f>
        <v>100</v>
      </c>
      <c r="X27" s="1812"/>
      <c r="Y27" s="3216"/>
      <c r="Z27" s="1813" t="str">
        <f>Q27</f>
        <v>楼层</v>
      </c>
      <c r="AA27" s="1810">
        <f t="shared" si="3"/>
        <v>1</v>
      </c>
      <c r="AB27" s="1810">
        <f t="shared" si="4"/>
        <v>1</v>
      </c>
      <c r="AC27" s="2672">
        <f t="shared" si="5"/>
        <v>1</v>
      </c>
    </row>
    <row r="28" spans="1:29" s="117" customFormat="1" ht="15">
      <c r="A28" s="431"/>
      <c r="B28" s="631" t="s">
        <v>2679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3"/>
      <c r="Q28" s="1794" t="str">
        <f t="shared" si="11"/>
        <v>朝向</v>
      </c>
      <c r="R28" s="770" t="s">
        <v>17</v>
      </c>
      <c r="S28" s="771">
        <f>F28</f>
        <v>100</v>
      </c>
      <c r="T28" s="770" t="s">
        <v>17</v>
      </c>
      <c r="U28" s="771">
        <f>H28</f>
        <v>100</v>
      </c>
      <c r="V28" s="770" t="s">
        <v>17</v>
      </c>
      <c r="W28" s="771">
        <f>J28</f>
        <v>100</v>
      </c>
      <c r="X28" s="772"/>
      <c r="Y28" s="3216"/>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3"/>
      <c r="Q29" s="1809">
        <f t="shared" si="11"/>
        <v>111</v>
      </c>
      <c r="R29" s="774" t="s">
        <v>17</v>
      </c>
      <c r="S29" s="775">
        <f t="shared" ref="S29:S47" si="12">F29</f>
        <v>100</v>
      </c>
      <c r="T29" s="774" t="s">
        <v>17</v>
      </c>
      <c r="U29" s="775">
        <f t="shared" ref="U29:U47" si="13">H29</f>
        <v>100</v>
      </c>
      <c r="V29" s="774" t="s">
        <v>17</v>
      </c>
      <c r="W29" s="775">
        <f t="shared" ref="W29:W47" si="14">J29</f>
        <v>100</v>
      </c>
      <c r="X29" s="1812"/>
      <c r="Y29" s="3216"/>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3"/>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3"/>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2672">
        <f t="shared" si="5"/>
        <v>1</v>
      </c>
    </row>
    <row r="32" spans="1:29" ht="15.6"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3"/>
      <c r="Q32" s="1809">
        <f t="shared" si="11"/>
        <v>111</v>
      </c>
      <c r="R32" s="774" t="s">
        <v>17</v>
      </c>
      <c r="S32" s="775">
        <f t="shared" si="12"/>
        <v>100</v>
      </c>
      <c r="T32" s="774" t="s">
        <v>17</v>
      </c>
      <c r="U32" s="775">
        <f t="shared" si="13"/>
        <v>100</v>
      </c>
      <c r="V32" s="774" t="s">
        <v>17</v>
      </c>
      <c r="W32" s="775">
        <f t="shared" si="14"/>
        <v>100</v>
      </c>
      <c r="X32" s="1812"/>
      <c r="Y32" s="3216"/>
      <c r="Z32" s="1813">
        <f t="shared" si="15"/>
        <v>111</v>
      </c>
      <c r="AA32" s="1810">
        <f t="shared" si="3"/>
        <v>1</v>
      </c>
      <c r="AB32" s="1810">
        <f t="shared" si="4"/>
        <v>1</v>
      </c>
      <c r="AC32" s="2672">
        <f t="shared" si="5"/>
        <v>1</v>
      </c>
    </row>
    <row r="33" spans="1:29" ht="15">
      <c r="A33" s="440" t="s">
        <v>2550</v>
      </c>
      <c r="B33" s="71" t="s">
        <v>2680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7" t="s">
        <v>2552</v>
      </c>
      <c r="Q33" s="1809" t="str">
        <f t="shared" si="11"/>
        <v>建筑类型</v>
      </c>
      <c r="R33" s="774" t="s">
        <v>17</v>
      </c>
      <c r="S33" s="775">
        <f t="shared" si="12"/>
        <v>100</v>
      </c>
      <c r="T33" s="774" t="s">
        <v>17</v>
      </c>
      <c r="U33" s="775">
        <f t="shared" si="13"/>
        <v>100</v>
      </c>
      <c r="V33" s="774" t="s">
        <v>17</v>
      </c>
      <c r="W33" s="775">
        <f t="shared" si="14"/>
        <v>100</v>
      </c>
      <c r="X33" s="1812"/>
      <c r="Y33" s="3220" t="s">
        <v>2552</v>
      </c>
      <c r="Z33" s="1813" t="str">
        <f t="shared" si="15"/>
        <v>建筑类型</v>
      </c>
      <c r="AA33" s="1810">
        <f t="shared" si="3"/>
        <v>1</v>
      </c>
      <c r="AB33" s="1810">
        <f t="shared" si="4"/>
        <v>1</v>
      </c>
      <c r="AC33" s="2672">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10" t="e">
        <f t="shared" si="3"/>
        <v>#N/A</v>
      </c>
      <c r="AB34" s="1810" t="e">
        <f t="shared" si="4"/>
        <v>#N/A</v>
      </c>
      <c r="AC34" s="2672"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8"/>
      <c r="Q35" s="1809" t="str">
        <f t="shared" si="11"/>
        <v>建筑结构</v>
      </c>
      <c r="R35" s="774" t="s">
        <v>17</v>
      </c>
      <c r="S35" s="775">
        <f t="shared" si="12"/>
        <v>100</v>
      </c>
      <c r="T35" s="774" t="s">
        <v>17</v>
      </c>
      <c r="U35" s="775">
        <f t="shared" si="13"/>
        <v>100</v>
      </c>
      <c r="V35" s="774" t="s">
        <v>17</v>
      </c>
      <c r="W35" s="775">
        <f t="shared" si="14"/>
        <v>100</v>
      </c>
      <c r="X35" s="1812"/>
      <c r="Y35" s="3220"/>
      <c r="Z35" s="1813" t="str">
        <f t="shared" si="15"/>
        <v>建筑结构</v>
      </c>
      <c r="AA35" s="1810">
        <f t="shared" si="3"/>
        <v>1</v>
      </c>
      <c r="AB35" s="1810">
        <f t="shared" si="4"/>
        <v>1</v>
      </c>
      <c r="AC35" s="2672">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8"/>
      <c r="Q36" s="1809" t="str">
        <f t="shared" si="11"/>
        <v>公共部分装修</v>
      </c>
      <c r="R36" s="774" t="s">
        <v>17</v>
      </c>
      <c r="S36" s="775">
        <f t="shared" si="12"/>
        <v>100</v>
      </c>
      <c r="T36" s="774" t="s">
        <v>17</v>
      </c>
      <c r="U36" s="775">
        <f t="shared" si="13"/>
        <v>100</v>
      </c>
      <c r="V36" s="774" t="s">
        <v>17</v>
      </c>
      <c r="W36" s="775">
        <f t="shared" si="14"/>
        <v>100</v>
      </c>
      <c r="X36" s="1812"/>
      <c r="Y36" s="3220"/>
      <c r="Z36" s="1813" t="str">
        <f t="shared" si="15"/>
        <v>公共部分装修</v>
      </c>
      <c r="AA36" s="1810">
        <f t="shared" si="3"/>
        <v>1</v>
      </c>
      <c r="AB36" s="1810">
        <f t="shared" si="4"/>
        <v>1</v>
      </c>
      <c r="AC36" s="2672">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8"/>
      <c r="Q37" s="1809" t="str">
        <f t="shared" si="11"/>
        <v>成新度</v>
      </c>
      <c r="R37" s="774" t="s">
        <v>17</v>
      </c>
      <c r="S37" s="775" t="e">
        <f t="shared" si="12"/>
        <v>#N/A</v>
      </c>
      <c r="T37" s="774" t="s">
        <v>17</v>
      </c>
      <c r="U37" s="775" t="e">
        <f t="shared" si="13"/>
        <v>#N/A</v>
      </c>
      <c r="V37" s="774" t="s">
        <v>17</v>
      </c>
      <c r="W37" s="775" t="e">
        <f t="shared" si="14"/>
        <v>#N/A</v>
      </c>
      <c r="X37" s="1812"/>
      <c r="Y37" s="3220"/>
      <c r="Z37" s="1813" t="str">
        <f t="shared" si="15"/>
        <v>成新度</v>
      </c>
      <c r="AA37" s="1810" t="e">
        <f t="shared" si="3"/>
        <v>#N/A</v>
      </c>
      <c r="AB37" s="1810" t="e">
        <f t="shared" si="4"/>
        <v>#N/A</v>
      </c>
      <c r="AC37" s="2672"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8"/>
      <c r="Q38" s="1794"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69">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8" t="s">
        <v>2552</v>
      </c>
      <c r="Q39" s="1809" t="str">
        <f t="shared" si="11"/>
        <v>物业管理</v>
      </c>
      <c r="R39" s="774" t="s">
        <v>17</v>
      </c>
      <c r="S39" s="775">
        <f t="shared" si="12"/>
        <v>100</v>
      </c>
      <c r="T39" s="774" t="s">
        <v>17</v>
      </c>
      <c r="U39" s="775">
        <f t="shared" si="13"/>
        <v>100</v>
      </c>
      <c r="V39" s="774" t="s">
        <v>17</v>
      </c>
      <c r="W39" s="775">
        <f t="shared" si="14"/>
        <v>100</v>
      </c>
      <c r="X39" s="1812"/>
      <c r="Y39" s="3220" t="s">
        <v>2552</v>
      </c>
      <c r="Z39" s="1813" t="str">
        <f t="shared" si="15"/>
        <v>物业管理</v>
      </c>
      <c r="AA39" s="1810">
        <f t="shared" si="3"/>
        <v>1</v>
      </c>
      <c r="AB39" s="1810">
        <f t="shared" si="4"/>
        <v>1</v>
      </c>
      <c r="AC39" s="2672">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8"/>
      <c r="Q40" s="1809" t="str">
        <f t="shared" si="11"/>
        <v>市政基础设施</v>
      </c>
      <c r="R40" s="774" t="s">
        <v>17</v>
      </c>
      <c r="S40" s="775">
        <f t="shared" si="12"/>
        <v>100</v>
      </c>
      <c r="T40" s="774" t="s">
        <v>17</v>
      </c>
      <c r="U40" s="775">
        <f t="shared" si="13"/>
        <v>100</v>
      </c>
      <c r="V40" s="774" t="s">
        <v>17</v>
      </c>
      <c r="W40" s="775">
        <f t="shared" si="14"/>
        <v>100</v>
      </c>
      <c r="X40" s="1812"/>
      <c r="Y40" s="3220"/>
      <c r="Z40" s="1813" t="str">
        <f t="shared" si="15"/>
        <v>市政基础设施</v>
      </c>
      <c r="AA40" s="1810">
        <f t="shared" si="3"/>
        <v>1</v>
      </c>
      <c r="AB40" s="1810">
        <f t="shared" si="4"/>
        <v>1</v>
      </c>
      <c r="AC40" s="2672">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8"/>
      <c r="Q41" s="1809" t="str">
        <f t="shared" si="11"/>
        <v>层高</v>
      </c>
      <c r="R41" s="774" t="s">
        <v>17</v>
      </c>
      <c r="S41" s="775">
        <f t="shared" si="12"/>
        <v>100</v>
      </c>
      <c r="T41" s="774" t="s">
        <v>17</v>
      </c>
      <c r="U41" s="775">
        <f t="shared" si="13"/>
        <v>100</v>
      </c>
      <c r="V41" s="774" t="s">
        <v>17</v>
      </c>
      <c r="W41" s="775">
        <f t="shared" si="14"/>
        <v>100</v>
      </c>
      <c r="X41" s="1812"/>
      <c r="Y41" s="3220"/>
      <c r="Z41" s="1813" t="str">
        <f t="shared" si="15"/>
        <v>层高</v>
      </c>
      <c r="AA41" s="1810">
        <f t="shared" si="3"/>
        <v>1</v>
      </c>
      <c r="AB41" s="1810">
        <f t="shared" si="4"/>
        <v>1</v>
      </c>
      <c r="AC41" s="2672">
        <f t="shared" si="5"/>
        <v>1</v>
      </c>
    </row>
    <row r="42" spans="1:29" s="471" customFormat="1" ht="15">
      <c r="A42" s="468"/>
      <c r="B42" s="1811"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0">
        <f t="shared" si="3"/>
        <v>1</v>
      </c>
      <c r="AB42" s="1810">
        <f t="shared" si="4"/>
        <v>1</v>
      </c>
      <c r="AC42" s="2672">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8"/>
      <c r="Q43" s="1809" t="str">
        <f t="shared" si="11"/>
        <v>内部装修</v>
      </c>
      <c r="R43" s="774" t="s">
        <v>17</v>
      </c>
      <c r="S43" s="775">
        <f t="shared" si="12"/>
        <v>100</v>
      </c>
      <c r="T43" s="774" t="s">
        <v>17</v>
      </c>
      <c r="U43" s="775">
        <f t="shared" si="13"/>
        <v>100</v>
      </c>
      <c r="V43" s="774" t="s">
        <v>17</v>
      </c>
      <c r="W43" s="775">
        <f t="shared" si="14"/>
        <v>100</v>
      </c>
      <c r="X43" s="1812"/>
      <c r="Y43" s="3220"/>
      <c r="Z43" s="1813" t="str">
        <f t="shared" si="15"/>
        <v>内部装修</v>
      </c>
      <c r="AA43" s="1810">
        <f t="shared" si="3"/>
        <v>1</v>
      </c>
      <c r="AB43" s="1810">
        <f t="shared" si="4"/>
        <v>1</v>
      </c>
      <c r="AC43" s="2672">
        <f t="shared" si="5"/>
        <v>1</v>
      </c>
    </row>
    <row r="44" spans="1:29" ht="28.8">
      <c r="A44" s="472"/>
      <c r="B44" s="422" t="s">
        <v>2563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8"/>
      <c r="Q44" s="1809" t="str">
        <f t="shared" si="11"/>
        <v>内部装修维护情况</v>
      </c>
      <c r="R44" s="774" t="s">
        <v>17</v>
      </c>
      <c r="S44" s="775">
        <f t="shared" si="12"/>
        <v>100</v>
      </c>
      <c r="T44" s="774" t="s">
        <v>17</v>
      </c>
      <c r="U44" s="775">
        <f t="shared" si="13"/>
        <v>100</v>
      </c>
      <c r="V44" s="774" t="s">
        <v>17</v>
      </c>
      <c r="W44" s="775">
        <f t="shared" si="14"/>
        <v>100</v>
      </c>
      <c r="X44" s="1812"/>
      <c r="Y44" s="3220"/>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8"/>
      <c r="Q45" s="1794">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8"/>
      <c r="Q46" s="1809">
        <f t="shared" si="11"/>
        <v>111</v>
      </c>
      <c r="R46" s="774" t="s">
        <v>17</v>
      </c>
      <c r="S46" s="775">
        <f t="shared" si="12"/>
        <v>100</v>
      </c>
      <c r="T46" s="774" t="s">
        <v>17</v>
      </c>
      <c r="U46" s="775">
        <f t="shared" si="13"/>
        <v>100</v>
      </c>
      <c r="V46" s="774" t="s">
        <v>17</v>
      </c>
      <c r="W46" s="775">
        <f t="shared" si="14"/>
        <v>100</v>
      </c>
      <c r="X46" s="1812"/>
      <c r="Y46" s="3220"/>
      <c r="Z46" s="1813">
        <f t="shared" si="15"/>
        <v>111</v>
      </c>
      <c r="AA46" s="1810">
        <f t="shared" si="3"/>
        <v>1</v>
      </c>
      <c r="AB46" s="1810">
        <f t="shared" si="4"/>
        <v>1</v>
      </c>
      <c r="AC46" s="2672">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9"/>
      <c r="Q47" s="1809">
        <f t="shared" si="11"/>
        <v>111</v>
      </c>
      <c r="R47" s="774" t="s">
        <v>17</v>
      </c>
      <c r="S47" s="775">
        <f t="shared" si="12"/>
        <v>100</v>
      </c>
      <c r="T47" s="774" t="s">
        <v>17</v>
      </c>
      <c r="U47" s="775">
        <f t="shared" si="13"/>
        <v>100</v>
      </c>
      <c r="V47" s="774" t="s">
        <v>17</v>
      </c>
      <c r="W47" s="775">
        <f t="shared" si="14"/>
        <v>100</v>
      </c>
      <c r="X47" s="1812"/>
      <c r="Y47" s="3221"/>
      <c r="Z47" s="1813">
        <f t="shared" si="15"/>
        <v>111</v>
      </c>
      <c r="AA47" s="1810">
        <f t="shared" si="3"/>
        <v>1</v>
      </c>
      <c r="AB47" s="1810">
        <f t="shared" si="4"/>
        <v>1</v>
      </c>
      <c r="AC47" s="2672">
        <f t="shared" si="5"/>
        <v>1</v>
      </c>
    </row>
    <row r="48" spans="1:29" ht="14.4">
      <c r="A48" s="479" t="s">
        <v>2564</v>
      </c>
      <c r="B48" s="480"/>
      <c r="C48" s="1407" t="s">
        <v>1</v>
      </c>
      <c r="D48" s="1408"/>
      <c r="E48" s="1409"/>
      <c r="F48" s="1410"/>
      <c r="G48" s="1411"/>
      <c r="H48" s="1412"/>
      <c r="I48" s="1409"/>
      <c r="J48" s="485"/>
      <c r="K48" s="783"/>
      <c r="L48" s="1143"/>
      <c r="M48" s="1131"/>
      <c r="N48" s="1131"/>
      <c r="O48" s="1131"/>
      <c r="P48" s="3195" t="str">
        <f>A48</f>
        <v>成交单价（元/平方米）</v>
      </c>
      <c r="Q48" s="3213"/>
      <c r="R48" s="3214">
        <f>E48</f>
        <v>0</v>
      </c>
      <c r="S48" s="3214"/>
      <c r="T48" s="3214">
        <f>G48</f>
        <v>0</v>
      </c>
      <c r="U48" s="3214"/>
      <c r="V48" s="3214">
        <f>I48</f>
        <v>0</v>
      </c>
      <c r="W48" s="3214"/>
      <c r="X48" s="446"/>
      <c r="Y48" s="781"/>
      <c r="Z48" s="446"/>
      <c r="AA48" s="446"/>
      <c r="AB48" s="446"/>
      <c r="AC48" s="630"/>
    </row>
    <row r="49" spans="1:29" ht="15" thickBot="1">
      <c r="A49" s="486" t="s">
        <v>2656</v>
      </c>
      <c r="B49" s="487"/>
      <c r="C49" s="1413" t="e">
        <f>R50</f>
        <v>#DIV/0!</v>
      </c>
      <c r="D49" s="1414"/>
      <c r="E49" s="1415" t="e">
        <f>R49</f>
        <v>#DIV/0!</v>
      </c>
      <c r="F49" s="1415"/>
      <c r="G49" s="1413" t="e">
        <f>T49</f>
        <v>#DIV/0!</v>
      </c>
      <c r="H49" s="1414"/>
      <c r="I49" s="1415" t="e">
        <f>V49</f>
        <v>#DIV/0!</v>
      </c>
      <c r="J49" s="489"/>
      <c r="K49" s="784"/>
      <c r="L49" s="1143"/>
      <c r="M49" s="1131"/>
      <c r="N49" s="1131"/>
      <c r="O49" s="1131"/>
      <c r="P49" s="3195"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 thickBot="1">
      <c r="A50" s="492" t="s">
        <v>2657</v>
      </c>
      <c r="B50" s="493"/>
      <c r="C50" s="1417" t="e">
        <f>R50</f>
        <v>#DIV/0!</v>
      </c>
      <c r="D50" s="1417"/>
      <c r="E50" s="1417"/>
      <c r="F50" s="1417"/>
      <c r="G50" s="1417"/>
      <c r="H50" s="1417"/>
      <c r="I50" s="1417"/>
      <c r="J50" s="494"/>
      <c r="K50" s="785"/>
      <c r="L50" s="1143"/>
      <c r="M50" s="1131"/>
      <c r="N50" s="1131"/>
      <c r="O50" s="1131"/>
      <c r="P50" s="3236" t="str">
        <f>A50</f>
        <v>估价对象XX用房的比较价值（楼面单价，元/平方米）</v>
      </c>
      <c r="Q50" s="3237"/>
      <c r="R50" s="3238" t="e">
        <f>IF(F1="售价",ROUND(AVERAGE(R49:V49),0),ROUND(AVERAGE(R49:V49),1))</f>
        <v>#DIV/0!</v>
      </c>
      <c r="S50" s="3238"/>
      <c r="T50" s="3238"/>
      <c r="U50" s="3238"/>
      <c r="V50" s="3238"/>
      <c r="W50" s="323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2661</v>
      </c>
      <c r="B58" s="759"/>
      <c r="C58" s="764"/>
      <c r="D58" s="764"/>
      <c r="E58" s="764"/>
      <c r="F58" s="765"/>
      <c r="G58" s="765"/>
      <c r="H58" s="764"/>
      <c r="I58" s="764"/>
      <c r="J58" s="764"/>
      <c r="K58" s="766"/>
      <c r="L58" s="1161"/>
      <c r="M58" s="1159"/>
      <c r="N58" s="1159"/>
      <c r="O58" s="1159"/>
      <c r="P58" s="2679"/>
      <c r="Q58" s="504"/>
    </row>
    <row r="59" spans="1:29" s="508" customFormat="1" ht="14.4">
      <c r="A59" s="505" t="s">
        <v>2535</v>
      </c>
      <c r="B59" s="506"/>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7" customFormat="1">
      <c r="A60" s="509"/>
      <c r="B60" s="510"/>
      <c r="C60" s="1572">
        <v>100</v>
      </c>
      <c r="D60" s="512"/>
      <c r="E60" s="512"/>
      <c r="F60" s="512"/>
      <c r="G60" s="512"/>
      <c r="H60" s="512"/>
      <c r="I60" s="512"/>
      <c r="J60" s="512"/>
      <c r="K60" s="512"/>
      <c r="L60" s="512"/>
      <c r="M60" s="513"/>
      <c r="N60" s="512"/>
      <c r="O60" s="513"/>
      <c r="P60" s="2680"/>
    </row>
    <row r="61" spans="1:29" s="117" customFormat="1" ht="15" thickBot="1">
      <c r="A61" s="515" t="s">
        <v>2572</v>
      </c>
      <c r="B61" s="516"/>
      <c r="C61" s="517"/>
      <c r="D61" s="518"/>
      <c r="E61" s="518"/>
      <c r="F61" s="518"/>
      <c r="G61" s="518"/>
      <c r="H61" s="518"/>
      <c r="I61" s="518"/>
      <c r="J61" s="518"/>
      <c r="K61" s="518"/>
      <c r="L61" s="518"/>
      <c r="M61" s="519"/>
      <c r="N61" s="518"/>
      <c r="O61" s="519"/>
      <c r="P61" s="2680"/>
      <c r="Q61" s="504"/>
    </row>
    <row r="62" spans="1:29" s="117" customFormat="1" ht="14.4">
      <c r="A62" s="521" t="s">
        <v>2537</v>
      </c>
      <c r="B62" s="510"/>
      <c r="C62" s="522" t="s">
        <v>2639</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2575</v>
      </c>
      <c r="B64" s="528" t="s">
        <v>2541</v>
      </c>
      <c r="C64" s="529">
        <f>C9</f>
        <v>0</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2544</v>
      </c>
      <c r="C66" s="539" t="s">
        <v>2576</v>
      </c>
      <c r="D66" s="539" t="s">
        <v>2577</v>
      </c>
      <c r="E66" s="539" t="s">
        <v>2578</v>
      </c>
      <c r="F66" s="539" t="s">
        <v>2579</v>
      </c>
      <c r="G66" s="539" t="s">
        <v>2580</v>
      </c>
      <c r="H66" s="539" t="s">
        <v>2581</v>
      </c>
      <c r="I66" s="539" t="s">
        <v>2582</v>
      </c>
      <c r="J66" s="539"/>
      <c r="K66" s="540"/>
      <c r="L66" s="541"/>
      <c r="M66" s="542"/>
      <c r="N66" s="1152"/>
      <c r="O66" s="1152"/>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2546</v>
      </c>
      <c r="B77" s="528" t="s">
        <v>2684</v>
      </c>
      <c r="C77" s="573" t="s">
        <v>2584</v>
      </c>
      <c r="D77" s="573" t="s">
        <v>2585</v>
      </c>
      <c r="E77" s="573" t="s">
        <v>2586</v>
      </c>
      <c r="F77" s="573" t="s">
        <v>2587</v>
      </c>
      <c r="G77" s="573" t="s">
        <v>2588</v>
      </c>
      <c r="H77" s="529"/>
      <c r="I77" s="529"/>
      <c r="J77" s="529"/>
      <c r="K77" s="574"/>
      <c r="L77" s="575"/>
      <c r="M77" s="576"/>
      <c r="N77" s="1152"/>
      <c r="O77" s="1152"/>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 thickTop="1">
      <c r="A79" s="534"/>
      <c r="B79" s="538" t="s">
        <v>2589</v>
      </c>
      <c r="C79" s="578" t="s">
        <v>2584</v>
      </c>
      <c r="D79" s="578" t="s">
        <v>2585</v>
      </c>
      <c r="E79" s="578" t="s">
        <v>2586</v>
      </c>
      <c r="F79" s="578" t="s">
        <v>2587</v>
      </c>
      <c r="G79" s="578" t="s">
        <v>2588</v>
      </c>
      <c r="H79" s="539"/>
      <c r="I79" s="539"/>
      <c r="J79" s="539"/>
      <c r="K79" s="540"/>
      <c r="L79" s="541"/>
      <c r="M79" s="542"/>
      <c r="N79" s="1152"/>
      <c r="O79" s="1152"/>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 thickTop="1">
      <c r="A81" s="534"/>
      <c r="B81" s="538" t="s">
        <v>2590</v>
      </c>
      <c r="C81" s="578" t="s">
        <v>2584</v>
      </c>
      <c r="D81" s="578" t="s">
        <v>2585</v>
      </c>
      <c r="E81" s="578" t="s">
        <v>2586</v>
      </c>
      <c r="F81" s="578" t="s">
        <v>2587</v>
      </c>
      <c r="G81" s="578" t="s">
        <v>2588</v>
      </c>
      <c r="H81" s="539"/>
      <c r="I81" s="539"/>
      <c r="J81" s="539"/>
      <c r="K81" s="540"/>
      <c r="L81" s="541"/>
      <c r="M81" s="542"/>
      <c r="N81" s="1152"/>
      <c r="O81" s="1152"/>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 thickTop="1">
      <c r="A83" s="534"/>
      <c r="B83" s="546" t="s">
        <v>2676</v>
      </c>
      <c r="C83" s="660" t="s">
        <v>2662</v>
      </c>
      <c r="D83" s="660" t="s">
        <v>2663</v>
      </c>
      <c r="E83" s="660" t="s">
        <v>2664</v>
      </c>
      <c r="F83" s="660" t="s">
        <v>2665</v>
      </c>
      <c r="G83" s="660" t="s">
        <v>2666</v>
      </c>
      <c r="H83" s="539"/>
      <c r="I83" s="539"/>
      <c r="J83" s="539"/>
      <c r="K83" s="539"/>
      <c r="L83" s="539"/>
      <c r="M83" s="1382"/>
      <c r="N83" s="1153"/>
      <c r="O83" s="1153"/>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 thickTop="1">
      <c r="A85" s="534"/>
      <c r="B85" s="538" t="s">
        <v>2685</v>
      </c>
      <c r="C85" s="578" t="s">
        <v>2584</v>
      </c>
      <c r="D85" s="578" t="s">
        <v>2585</v>
      </c>
      <c r="E85" s="578" t="s">
        <v>2586</v>
      </c>
      <c r="F85" s="578" t="s">
        <v>2587</v>
      </c>
      <c r="G85" s="578" t="s">
        <v>2588</v>
      </c>
      <c r="H85" s="539"/>
      <c r="I85" s="539"/>
      <c r="J85" s="539"/>
      <c r="K85" s="540"/>
      <c r="L85" s="541"/>
      <c r="M85" s="542"/>
      <c r="N85" s="1152"/>
      <c r="O85" s="1152"/>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9.4" thickTop="1">
      <c r="A87" s="579"/>
      <c r="B87" s="538" t="s">
        <v>2686</v>
      </c>
      <c r="C87" s="554"/>
      <c r="D87" s="554"/>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2550</v>
      </c>
      <c r="B101" s="528" t="s">
        <v>2599</v>
      </c>
      <c r="C101" s="530"/>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2601</v>
      </c>
      <c r="C106" s="554"/>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2603</v>
      </c>
      <c r="C108" s="554"/>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2687</v>
      </c>
      <c r="C113" s="554"/>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2604</v>
      </c>
      <c r="C115" s="554"/>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2605</v>
      </c>
      <c r="C117" s="554"/>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2688</v>
      </c>
      <c r="C119" s="583"/>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2671</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2607</v>
      </c>
      <c r="C123" s="554"/>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29.4" thickTop="1">
      <c r="A125" s="599"/>
      <c r="B125" s="538" t="s">
        <v>2608</v>
      </c>
      <c r="C125" s="578" t="s">
        <v>2584</v>
      </c>
      <c r="D125" s="578" t="s">
        <v>2585</v>
      </c>
      <c r="E125" s="578" t="s">
        <v>2586</v>
      </c>
      <c r="F125" s="578" t="s">
        <v>2587</v>
      </c>
      <c r="G125" s="578" t="s">
        <v>2588</v>
      </c>
      <c r="H125" s="539"/>
      <c r="I125" s="539"/>
      <c r="J125" s="539"/>
      <c r="K125" s="540"/>
      <c r="L125" s="541"/>
      <c r="M125" s="542"/>
      <c r="N125" s="1152"/>
      <c r="O125" s="1152"/>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1600</v>
      </c>
    </row>
    <row r="2" spans="1:1">
      <c r="A2" s="1944"/>
    </row>
    <row r="3" spans="1:1" ht="17.399999999999999">
      <c r="A3" s="1945" t="str">
        <f>项目基本情况!B5&amp;"："</f>
        <v>三亚红树林旅业有限公司：</v>
      </c>
    </row>
    <row r="4" spans="1:1" ht="34.799999999999997">
      <c r="A4" s="1946" t="str">
        <f>"受贵公司委托，我公司对"&amp;项目基本情况!S1&amp;"进行了预评估。"</f>
        <v>受贵公司委托，我公司对北京市海南省三亚市亚龙湾滨海路红树林度假酒店房地产市场价值进行了预评估。</v>
      </c>
    </row>
    <row r="5" spans="1:1" ht="17.399999999999999">
      <c r="A5" s="1947" t="s">
        <v>1601</v>
      </c>
    </row>
    <row r="6" spans="1:1" ht="17.399999999999999">
      <c r="A6" s="1948" t="s">
        <v>1602</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南省三亚市亚龙湾滨海路红树林度假酒店房地产，为三亚红树林旅业有限公司所有。根据《国有土地使用证》[]，估价对象（分摊）出让国有建设用地使用权面积为99999.9平方米，建筑面积为57477.44平方米。</v>
      </c>
    </row>
    <row r="8" spans="1:1" ht="54.6">
      <c r="A8" s="1949" t="s">
        <v>1603</v>
      </c>
    </row>
    <row r="9" spans="1:1" ht="17.399999999999999">
      <c r="A9" s="1948" t="s">
        <v>1604</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南省三亚市亚龙湾滨海路红树林度假酒店房地产,属三亚红树林旅业有限公司开发建设的商业项目，该项目尚在开发建设中。根据《国有土地使用证》[]，估价对象（分摊）出让国有建设用地使用权面积为99999.9平方米，规划建筑面积为57477.44平方米。</v>
      </c>
    </row>
    <row r="11" spans="1:1" ht="72">
      <c r="A11" s="1949" t="s">
        <v>1605</v>
      </c>
    </row>
    <row r="12" spans="1:1" ht="17.399999999999999">
      <c r="A12" s="1947" t="s">
        <v>1606</v>
      </c>
    </row>
    <row r="13" spans="1:1" ht="38.25" customHeight="1">
      <c r="A13" s="1950" t="str">
        <f>IF(项目基本情况!B8="抵押",IF(项目基本情况!B5=项目基本情况!B6,定义!C51,定义!B51),定义!D51)</f>
        <v>为估价委托人了解估价对象房地产市场价值提供参考依据。</v>
      </c>
    </row>
    <row r="14" spans="1:1" ht="17.399999999999999">
      <c r="A14" s="1951" t="s">
        <v>1607</v>
      </c>
    </row>
    <row r="15" spans="1:1" ht="17.399999999999999">
      <c r="A15" s="1952" t="str">
        <f>TEXT(项目基本情况!D3,"yyyy年m月d日;;")&amp;IF(项目基本情况!D3=项目基本情况!B3,"（评估专业人员实地查勘之日）","")</f>
        <v>2019年10月30日（评估专业人员实地查勘之日）</v>
      </c>
    </row>
    <row r="16" spans="1:1" ht="17.399999999999999">
      <c r="A16" s="1951" t="s">
        <v>1608</v>
      </c>
    </row>
    <row r="17" spans="1:1" ht="69.599999999999994">
      <c r="A17" s="1946" t="s">
        <v>1609</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30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6" t="str">
        <f>IF(项目基本情况!B9="房地产市场价值","——",IF(项目基本情况!E8="房地产抵押价值",定义!C54,IF(项目基本情况!E8="已注销",定义!C55,定义!C56)))</f>
        <v>——</v>
      </c>
    </row>
    <row r="21" spans="1:1" ht="17.399999999999999">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6" t="str">
        <f>IF(项目基本情况!B9="房地产市场价值","——",IF(项目基本情况!E9="——","",定义!C57))</f>
        <v>——</v>
      </c>
    </row>
    <row r="23" spans="1:1" ht="17.399999999999999">
      <c r="A23" s="1951" t="s">
        <v>1598</v>
      </c>
    </row>
    <row r="24" spans="1:1" ht="17.399999999999999">
      <c r="A24" s="1953" t="str">
        <f>"本次评估采用的主估价方法为"&amp;结果表!K4&amp;"和"&amp;结果表!L4&amp;"。"</f>
        <v>本次评估采用的主估价方法为成本法和收益法。</v>
      </c>
    </row>
    <row r="25" spans="1:1" ht="17.399999999999999">
      <c r="A25" s="1953"/>
    </row>
    <row r="26" spans="1:1" ht="17.399999999999999">
      <c r="A26" s="1954" t="s">
        <v>1599</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2515</v>
      </c>
      <c r="B1" s="2667" t="s">
        <v>2689</v>
      </c>
      <c r="C1" s="1619" t="s">
        <v>2517</v>
      </c>
      <c r="D1" s="1620"/>
      <c r="E1" s="1629"/>
      <c r="F1" s="2582"/>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IF(C2="——",ROUND(C43*D3/10000,0),ROUND(C43*D3/10000,0)-D2)</f>
        <v>#DIV/0!</v>
      </c>
      <c r="C2" s="2584"/>
      <c r="D2" s="1124" t="e">
        <f ca="1">SUMIF(INDIRECT("'"&amp;F2&amp;"'"&amp;"!A:A"),"承租人权益价值",INDIRECT("'"&amp;F2&amp;"'"&amp;"!c:c"))</f>
        <v>#REF!</v>
      </c>
      <c r="E2" s="2585" t="s">
        <v>2315</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2631</v>
      </c>
      <c r="D3" s="399">
        <f>IF(D1="",'数据-汇总表'!E3,SUMIF('数据-汇总表'!$C19:$C33,D1,'数据-汇总表'!$E19:$E33))</f>
        <v>57477.440000000002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2632</v>
      </c>
      <c r="B4" s="402"/>
      <c r="C4" s="3196" t="s">
        <v>2633</v>
      </c>
      <c r="D4" s="3197"/>
      <c r="E4" s="3198" t="s">
        <v>2634</v>
      </c>
      <c r="F4" s="3199"/>
      <c r="G4" s="3196" t="s">
        <v>2635</v>
      </c>
      <c r="H4" s="3197"/>
      <c r="I4" s="3196" t="s">
        <v>2636</v>
      </c>
      <c r="J4" s="3197"/>
      <c r="K4" s="610" t="s">
        <v>2637</v>
      </c>
      <c r="L4" s="1130"/>
      <c r="M4" s="1131"/>
      <c r="N4" s="1131"/>
      <c r="O4" s="1131"/>
      <c r="P4" s="3200" t="s">
        <v>2638</v>
      </c>
      <c r="Q4" s="3201"/>
      <c r="R4" s="3183" t="s">
        <v>2634</v>
      </c>
      <c r="S4" s="3184"/>
      <c r="T4" s="3183" t="s">
        <v>2635</v>
      </c>
      <c r="U4" s="3184"/>
      <c r="V4" s="3208" t="s">
        <v>2636</v>
      </c>
      <c r="W4" s="3208"/>
      <c r="X4" s="1812"/>
      <c r="Y4" s="3183" t="s">
        <v>2638</v>
      </c>
      <c r="Z4" s="3184"/>
      <c r="AA4" s="3178" t="s">
        <v>2634</v>
      </c>
      <c r="AB4" s="3179" t="s">
        <v>2635</v>
      </c>
      <c r="AC4" s="3178" t="s">
        <v>2636</v>
      </c>
    </row>
    <row r="5" spans="1:29">
      <c r="A5" s="404"/>
      <c r="B5" s="405"/>
      <c r="C5" s="3189" t="s">
        <v>2529</v>
      </c>
      <c r="D5" s="3190"/>
      <c r="E5" s="3187" t="s">
        <v>2530</v>
      </c>
      <c r="F5" s="3188"/>
      <c r="G5" s="3189" t="s">
        <v>2531</v>
      </c>
      <c r="H5" s="3190"/>
      <c r="I5" s="3189" t="s">
        <v>2532</v>
      </c>
      <c r="J5" s="3190"/>
      <c r="K5" s="610"/>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191" t="s">
        <v>2533</v>
      </c>
      <c r="D6" s="3192"/>
      <c r="E6" s="3193" t="s">
        <v>2533</v>
      </c>
      <c r="F6" s="3194"/>
      <c r="G6" s="3191" t="s">
        <v>2533</v>
      </c>
      <c r="H6" s="3192"/>
      <c r="I6" s="3191" t="s">
        <v>2533</v>
      </c>
      <c r="J6" s="3192"/>
      <c r="K6" s="610" t="s">
        <v>2534</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2535</v>
      </c>
      <c r="B7" s="409"/>
      <c r="C7" s="410">
        <f>'数据-取费表'!B2</f>
        <v>43768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1" t="s">
        <v>2536</v>
      </c>
      <c r="Q7" s="3209"/>
      <c r="R7" s="770" t="s">
        <v>17</v>
      </c>
      <c r="S7" s="771">
        <f t="shared" ref="S7:S15" si="0">F7</f>
        <v>0</v>
      </c>
      <c r="T7" s="770" t="s">
        <v>17</v>
      </c>
      <c r="U7" s="771">
        <f t="shared" ref="U7:U15" si="1">H7</f>
        <v>0</v>
      </c>
      <c r="V7" s="770" t="s">
        <v>17</v>
      </c>
      <c r="W7" s="771">
        <f t="shared" ref="W7:W15" si="2">J7</f>
        <v>0</v>
      </c>
      <c r="X7" s="772"/>
      <c r="Y7" s="3181" t="s">
        <v>2536</v>
      </c>
      <c r="Z7" s="3182"/>
      <c r="AA7" s="773" t="e">
        <f>D7/F7</f>
        <v>#DIV/0!</v>
      </c>
      <c r="AB7" s="773" t="e">
        <f>D7/H7</f>
        <v>#DIV/0!</v>
      </c>
      <c r="AC7" s="773" t="e">
        <f>D7/J7</f>
        <v>#DIV/0!</v>
      </c>
    </row>
    <row r="8" spans="1:29" s="117" customFormat="1" ht="1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1" t="s">
        <v>2539</v>
      </c>
      <c r="Q8" s="3182"/>
      <c r="R8" s="770" t="s">
        <v>17</v>
      </c>
      <c r="S8" s="771">
        <f t="shared" si="0"/>
        <v>0</v>
      </c>
      <c r="T8" s="770" t="s">
        <v>17</v>
      </c>
      <c r="U8" s="771">
        <f t="shared" si="1"/>
        <v>0</v>
      </c>
      <c r="V8" s="770" t="s">
        <v>17</v>
      </c>
      <c r="W8" s="771">
        <f t="shared" si="2"/>
        <v>0</v>
      </c>
      <c r="X8" s="772"/>
      <c r="Y8" s="3181" t="s">
        <v>2539</v>
      </c>
      <c r="Z8" s="3182"/>
      <c r="AA8" s="773" t="e">
        <f t="shared" ref="AA8:AA40" si="3">D8/F8</f>
        <v>#DIV/0!</v>
      </c>
      <c r="AB8" s="773" t="e">
        <f t="shared" ref="AB8:AB40" si="4">D8/H8</f>
        <v>#DIV/0!</v>
      </c>
      <c r="AC8" s="773" t="e">
        <f t="shared" ref="AC8:AC40" si="5">D8/J8</f>
        <v>#DIV/0!</v>
      </c>
    </row>
    <row r="9" spans="1:29" s="117" customFormat="1" ht="14.4">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3" t="s">
        <v>2542</v>
      </c>
      <c r="Q9" s="1794" t="str">
        <f t="shared" ref="Q9:Q15" si="6">B9</f>
        <v>用途</v>
      </c>
      <c r="R9" s="770" t="s">
        <v>17</v>
      </c>
      <c r="S9" s="771">
        <f t="shared" si="0"/>
        <v>100</v>
      </c>
      <c r="T9" s="770" t="s">
        <v>17</v>
      </c>
      <c r="U9" s="771">
        <f t="shared" si="1"/>
        <v>100</v>
      </c>
      <c r="V9" s="770" t="s">
        <v>17</v>
      </c>
      <c r="W9" s="771">
        <f t="shared" si="2"/>
        <v>100</v>
      </c>
      <c r="X9" s="772"/>
      <c r="Y9" s="3028" t="s">
        <v>2543</v>
      </c>
      <c r="Z9" s="55" t="str">
        <f t="shared" ref="Z9:Z15" si="7">Q9</f>
        <v>用途</v>
      </c>
      <c r="AA9" s="773">
        <f t="shared" si="3"/>
        <v>1</v>
      </c>
      <c r="AB9" s="773">
        <f t="shared" si="4"/>
        <v>1</v>
      </c>
      <c r="AC9" s="773">
        <f t="shared" si="5"/>
        <v>1</v>
      </c>
    </row>
    <row r="10" spans="1:29" s="427" customFormat="1" ht="28.8">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3"/>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3"/>
      <c r="Q11" s="1794"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3"/>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3"/>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3"/>
      <c r="Q14" s="1794">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69">
      <c r="A15" s="440" t="s">
        <v>2546</v>
      </c>
      <c r="B15" s="69" t="s">
        <v>2690</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5" t="s">
        <v>2547</v>
      </c>
      <c r="Q15" s="1809" t="str">
        <f t="shared" si="6"/>
        <v>产业集聚程度</v>
      </c>
      <c r="R15" s="774" t="s">
        <v>17</v>
      </c>
      <c r="S15" s="775">
        <f t="shared" si="0"/>
        <v>100</v>
      </c>
      <c r="T15" s="774" t="s">
        <v>17</v>
      </c>
      <c r="U15" s="775">
        <f t="shared" si="1"/>
        <v>100</v>
      </c>
      <c r="V15" s="774" t="s">
        <v>17</v>
      </c>
      <c r="W15" s="775">
        <f t="shared" si="2"/>
        <v>100</v>
      </c>
      <c r="X15" s="1812"/>
      <c r="Y15" s="3215" t="s">
        <v>2547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6"/>
      <c r="Q16" s="1809"/>
      <c r="R16" s="774"/>
      <c r="S16" s="775"/>
      <c r="T16" s="774"/>
      <c r="U16" s="775"/>
      <c r="V16" s="774"/>
      <c r="W16" s="775"/>
      <c r="X16" s="1812"/>
      <c r="Y16" s="3216"/>
      <c r="Z16" s="1813"/>
      <c r="AA16" s="1810">
        <v>1</v>
      </c>
      <c r="AB16" s="1810">
        <v>1</v>
      </c>
      <c r="AC16" s="1810">
        <v>1</v>
      </c>
    </row>
    <row r="17" spans="1:29" ht="96.6">
      <c r="A17" s="428"/>
      <c r="B17" s="451" t="s">
        <v>2084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16"/>
      <c r="Q18" s="1809"/>
      <c r="R18" s="774"/>
      <c r="S18" s="775"/>
      <c r="T18" s="774"/>
      <c r="U18" s="775"/>
      <c r="V18" s="774"/>
      <c r="W18" s="775"/>
      <c r="X18" s="1812"/>
      <c r="Y18" s="3216"/>
      <c r="Z18" s="1813"/>
      <c r="AA18" s="1810">
        <v>1</v>
      </c>
      <c r="AB18" s="1810">
        <v>1</v>
      </c>
      <c r="AC18" s="1810">
        <v>1</v>
      </c>
    </row>
    <row r="19" spans="1:29" ht="41.4">
      <c r="A19" s="428"/>
      <c r="B19" s="451" t="s">
        <v>2675</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6"/>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16"/>
      <c r="Q20" s="1809"/>
      <c r="R20" s="774"/>
      <c r="S20" s="775"/>
      <c r="T20" s="774"/>
      <c r="U20" s="775"/>
      <c r="V20" s="774"/>
      <c r="W20" s="775"/>
      <c r="X20" s="1812"/>
      <c r="Y20" s="3216"/>
      <c r="Z20" s="1813"/>
      <c r="AA20" s="1810">
        <v>1</v>
      </c>
      <c r="AB20" s="1810">
        <v>1</v>
      </c>
      <c r="AC20" s="1810">
        <v>1</v>
      </c>
    </row>
    <row r="21" spans="1:29" ht="41.4">
      <c r="A21" s="428"/>
      <c r="B21" s="1384" t="s">
        <v>2676</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16"/>
      <c r="Q22" s="1809"/>
      <c r="R22" s="774"/>
      <c r="S22" s="775"/>
      <c r="T22" s="774"/>
      <c r="U22" s="775"/>
      <c r="V22" s="774"/>
      <c r="W22" s="775"/>
      <c r="X22" s="1812"/>
      <c r="Y22" s="3216"/>
      <c r="Z22" s="1813"/>
      <c r="AA22" s="1810">
        <v>1</v>
      </c>
      <c r="AB22" s="1810">
        <v>1</v>
      </c>
      <c r="AC22" s="1810">
        <v>1</v>
      </c>
    </row>
    <row r="23" spans="1:29" ht="82.8">
      <c r="A23" s="428"/>
      <c r="B23" s="451" t="s">
        <v>2677</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6"/>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16"/>
      <c r="Q24" s="1809"/>
      <c r="R24" s="774"/>
      <c r="S24" s="775"/>
      <c r="T24" s="774"/>
      <c r="U24" s="775"/>
      <c r="V24" s="774"/>
      <c r="W24" s="775"/>
      <c r="X24" s="1812"/>
      <c r="Y24" s="321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6"/>
      <c r="Q25" s="1809">
        <f>B25</f>
        <v>111</v>
      </c>
      <c r="R25" s="774" t="s">
        <v>17</v>
      </c>
      <c r="S25" s="775">
        <f>F25</f>
        <v>100</v>
      </c>
      <c r="T25" s="774" t="s">
        <v>17</v>
      </c>
      <c r="U25" s="775">
        <f>H25</f>
        <v>100</v>
      </c>
      <c r="V25" s="774" t="s">
        <v>17</v>
      </c>
      <c r="W25" s="775">
        <f>J25</f>
        <v>100</v>
      </c>
      <c r="X25" s="1812"/>
      <c r="Y25" s="321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6"/>
      <c r="Q26" s="1809">
        <f t="shared" ref="Q26:Q40" si="11">B26</f>
        <v>111</v>
      </c>
      <c r="R26" s="774" t="s">
        <v>17</v>
      </c>
      <c r="S26" s="775">
        <f>F26</f>
        <v>100</v>
      </c>
      <c r="T26" s="774" t="s">
        <v>17</v>
      </c>
      <c r="U26" s="775">
        <f>H26</f>
        <v>100</v>
      </c>
      <c r="V26" s="774" t="s">
        <v>17</v>
      </c>
      <c r="W26" s="775">
        <f>J26</f>
        <v>100</v>
      </c>
      <c r="X26" s="1812"/>
      <c r="Y26" s="321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6"/>
      <c r="Q27" s="1794">
        <f t="shared" si="11"/>
        <v>111</v>
      </c>
      <c r="R27" s="770" t="s">
        <v>17</v>
      </c>
      <c r="S27" s="771">
        <f>F27</f>
        <v>100</v>
      </c>
      <c r="T27" s="770" t="s">
        <v>17</v>
      </c>
      <c r="U27" s="771">
        <f>H27</f>
        <v>100</v>
      </c>
      <c r="V27" s="770" t="s">
        <v>17</v>
      </c>
      <c r="W27" s="771">
        <f>J27</f>
        <v>100</v>
      </c>
      <c r="X27" s="772"/>
      <c r="Y27" s="3216"/>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6"/>
      <c r="Q28" s="1809">
        <f t="shared" si="11"/>
        <v>111</v>
      </c>
      <c r="R28" s="774" t="s">
        <v>17</v>
      </c>
      <c r="S28" s="775">
        <f t="shared" ref="S28:S40" si="12">F28</f>
        <v>100</v>
      </c>
      <c r="T28" s="774" t="s">
        <v>17</v>
      </c>
      <c r="U28" s="775">
        <f t="shared" ref="U28:U40" si="13">H28</f>
        <v>100</v>
      </c>
      <c r="V28" s="774" t="s">
        <v>17</v>
      </c>
      <c r="W28" s="775">
        <f t="shared" ref="W28:W40" si="14">J28</f>
        <v>100</v>
      </c>
      <c r="X28" s="1812"/>
      <c r="Y28" s="3216"/>
      <c r="Z28" s="1813">
        <f t="shared" ref="Z28:Z40" si="15">Q28</f>
        <v>111</v>
      </c>
      <c r="AA28" s="1810">
        <f t="shared" si="3"/>
        <v>1</v>
      </c>
      <c r="AB28" s="1810">
        <f t="shared" si="4"/>
        <v>1</v>
      </c>
      <c r="AC28" s="1810">
        <f t="shared" si="5"/>
        <v>1</v>
      </c>
    </row>
    <row r="29" spans="1:29" ht="30">
      <c r="A29" s="466" t="s">
        <v>2550</v>
      </c>
      <c r="B29" s="71" t="s">
        <v>2680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9" t="s">
        <v>2552</v>
      </c>
      <c r="Q29" s="1809" t="str">
        <f t="shared" si="11"/>
        <v>建筑类型</v>
      </c>
      <c r="R29" s="774" t="s">
        <v>17</v>
      </c>
      <c r="S29" s="775">
        <f t="shared" si="12"/>
        <v>100</v>
      </c>
      <c r="T29" s="774" t="s">
        <v>17</v>
      </c>
      <c r="U29" s="775">
        <f t="shared" si="13"/>
        <v>100</v>
      </c>
      <c r="V29" s="774" t="s">
        <v>17</v>
      </c>
      <c r="W29" s="775">
        <f t="shared" si="14"/>
        <v>100</v>
      </c>
      <c r="X29" s="1812"/>
      <c r="Y29" s="3220" t="s">
        <v>2552</v>
      </c>
      <c r="Z29" s="1813" t="str">
        <f t="shared" si="15"/>
        <v>建筑类型</v>
      </c>
      <c r="AA29" s="1810">
        <f t="shared" si="3"/>
        <v>1</v>
      </c>
      <c r="AB29" s="1810">
        <f t="shared" si="4"/>
        <v>1</v>
      </c>
      <c r="AC29" s="1810">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0" t="e">
        <f t="shared" si="3"/>
        <v>#N/A</v>
      </c>
      <c r="AB30" s="1810" t="e">
        <f t="shared" si="4"/>
        <v>#N/A</v>
      </c>
      <c r="AC30" s="1810"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0"/>
      <c r="Q31" s="1809" t="str">
        <f t="shared" si="11"/>
        <v>建筑结构</v>
      </c>
      <c r="R31" s="774" t="s">
        <v>17</v>
      </c>
      <c r="S31" s="775">
        <f t="shared" si="12"/>
        <v>100</v>
      </c>
      <c r="T31" s="774" t="s">
        <v>17</v>
      </c>
      <c r="U31" s="775">
        <f t="shared" si="13"/>
        <v>100</v>
      </c>
      <c r="V31" s="774" t="s">
        <v>17</v>
      </c>
      <c r="W31" s="775">
        <f t="shared" si="14"/>
        <v>100</v>
      </c>
      <c r="X31" s="1812"/>
      <c r="Y31" s="3220"/>
      <c r="Z31" s="1813" t="str">
        <f t="shared" si="15"/>
        <v>建筑结构</v>
      </c>
      <c r="AA31" s="1810">
        <f t="shared" si="3"/>
        <v>1</v>
      </c>
      <c r="AB31" s="1810">
        <f t="shared" si="4"/>
        <v>1</v>
      </c>
      <c r="AC31" s="1810">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0"/>
      <c r="Q32" s="1809" t="str">
        <f t="shared" si="11"/>
        <v>公共部分装修</v>
      </c>
      <c r="R32" s="774" t="s">
        <v>17</v>
      </c>
      <c r="S32" s="775">
        <f t="shared" si="12"/>
        <v>100</v>
      </c>
      <c r="T32" s="774" t="s">
        <v>17</v>
      </c>
      <c r="U32" s="775">
        <f t="shared" si="13"/>
        <v>100</v>
      </c>
      <c r="V32" s="774" t="s">
        <v>17</v>
      </c>
      <c r="W32" s="775">
        <f t="shared" si="14"/>
        <v>100</v>
      </c>
      <c r="X32" s="1812"/>
      <c r="Y32" s="3220"/>
      <c r="Z32" s="1813" t="str">
        <f t="shared" si="15"/>
        <v>公共部分装修</v>
      </c>
      <c r="AA32" s="1810">
        <f t="shared" si="3"/>
        <v>1</v>
      </c>
      <c r="AB32" s="1810">
        <f t="shared" si="4"/>
        <v>1</v>
      </c>
      <c r="AC32" s="1810">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0"/>
      <c r="Q33" s="1809" t="str">
        <f t="shared" si="11"/>
        <v>成新度</v>
      </c>
      <c r="R33" s="774" t="s">
        <v>17</v>
      </c>
      <c r="S33" s="775" t="e">
        <f t="shared" si="12"/>
        <v>#N/A</v>
      </c>
      <c r="T33" s="774" t="s">
        <v>17</v>
      </c>
      <c r="U33" s="775" t="e">
        <f t="shared" si="13"/>
        <v>#N/A</v>
      </c>
      <c r="V33" s="774" t="s">
        <v>17</v>
      </c>
      <c r="W33" s="775" t="e">
        <f t="shared" si="14"/>
        <v>#N/A</v>
      </c>
      <c r="X33" s="1812"/>
      <c r="Y33" s="3220"/>
      <c r="Z33" s="1813" t="str">
        <f t="shared" si="15"/>
        <v>成新度</v>
      </c>
      <c r="AA33" s="1810" t="e">
        <f t="shared" si="3"/>
        <v>#N/A</v>
      </c>
      <c r="AB33" s="1810" t="e">
        <f t="shared" si="4"/>
        <v>#N/A</v>
      </c>
      <c r="AC33" s="1810"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0"/>
      <c r="Q34" s="1794"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0" t="s">
        <v>2552</v>
      </c>
      <c r="Q35" s="1809" t="str">
        <f t="shared" si="11"/>
        <v>市政基础设施</v>
      </c>
      <c r="R35" s="774" t="s">
        <v>17</v>
      </c>
      <c r="S35" s="775">
        <f t="shared" si="12"/>
        <v>100</v>
      </c>
      <c r="T35" s="774" t="s">
        <v>17</v>
      </c>
      <c r="U35" s="775">
        <f t="shared" si="13"/>
        <v>100</v>
      </c>
      <c r="V35" s="774" t="s">
        <v>17</v>
      </c>
      <c r="W35" s="775">
        <f t="shared" si="14"/>
        <v>100</v>
      </c>
      <c r="X35" s="1812"/>
      <c r="Y35" s="3220" t="s">
        <v>2552</v>
      </c>
      <c r="Z35" s="1813" t="str">
        <f t="shared" si="15"/>
        <v>市政基础设施</v>
      </c>
      <c r="AA35" s="1810">
        <f t="shared" si="3"/>
        <v>1</v>
      </c>
      <c r="AB35" s="1810">
        <f t="shared" si="4"/>
        <v>1</v>
      </c>
      <c r="AC35" s="1810">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0"/>
      <c r="Q36" s="1809" t="str">
        <f t="shared" si="11"/>
        <v>内部装修</v>
      </c>
      <c r="R36" s="774" t="s">
        <v>17</v>
      </c>
      <c r="S36" s="775">
        <f t="shared" si="12"/>
        <v>100</v>
      </c>
      <c r="T36" s="774" t="s">
        <v>17</v>
      </c>
      <c r="U36" s="775">
        <f t="shared" si="13"/>
        <v>100</v>
      </c>
      <c r="V36" s="774" t="s">
        <v>17</v>
      </c>
      <c r="W36" s="775">
        <f t="shared" si="14"/>
        <v>100</v>
      </c>
      <c r="X36" s="1812"/>
      <c r="Y36" s="3220"/>
      <c r="Z36" s="1813" t="str">
        <f t="shared" si="15"/>
        <v>内部装修</v>
      </c>
      <c r="AA36" s="1810">
        <f t="shared" si="3"/>
        <v>1</v>
      </c>
      <c r="AB36" s="1810">
        <f t="shared" si="4"/>
        <v>1</v>
      </c>
      <c r="AC36" s="1810">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0"/>
      <c r="Q37" s="1809" t="str">
        <f t="shared" si="11"/>
        <v>内部装修状况</v>
      </c>
      <c r="R37" s="774" t="s">
        <v>17</v>
      </c>
      <c r="S37" s="775">
        <f t="shared" si="12"/>
        <v>100</v>
      </c>
      <c r="T37" s="774" t="s">
        <v>17</v>
      </c>
      <c r="U37" s="775">
        <f t="shared" si="13"/>
        <v>100</v>
      </c>
      <c r="V37" s="774" t="s">
        <v>17</v>
      </c>
      <c r="W37" s="775">
        <f t="shared" si="14"/>
        <v>100</v>
      </c>
      <c r="X37" s="1812"/>
      <c r="Y37" s="3220"/>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0"/>
      <c r="Q39" s="1809">
        <f t="shared" si="11"/>
        <v>111</v>
      </c>
      <c r="R39" s="774" t="s">
        <v>17</v>
      </c>
      <c r="S39" s="775">
        <f t="shared" si="12"/>
        <v>100</v>
      </c>
      <c r="T39" s="774" t="s">
        <v>17</v>
      </c>
      <c r="U39" s="775">
        <f t="shared" si="13"/>
        <v>100</v>
      </c>
      <c r="V39" s="774" t="s">
        <v>17</v>
      </c>
      <c r="W39" s="775">
        <f t="shared" si="14"/>
        <v>100</v>
      </c>
      <c r="X39" s="1812"/>
      <c r="Y39" s="3220"/>
      <c r="Z39" s="1813">
        <f t="shared" si="15"/>
        <v>111</v>
      </c>
      <c r="AA39" s="1810">
        <f t="shared" si="3"/>
        <v>1</v>
      </c>
      <c r="AB39" s="1810">
        <f t="shared" si="4"/>
        <v>1</v>
      </c>
      <c r="AC39" s="1810">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1"/>
      <c r="Q40" s="1809">
        <f t="shared" si="11"/>
        <v>111</v>
      </c>
      <c r="R40" s="774" t="s">
        <v>17</v>
      </c>
      <c r="S40" s="775">
        <f t="shared" si="12"/>
        <v>100</v>
      </c>
      <c r="T40" s="774" t="s">
        <v>17</v>
      </c>
      <c r="U40" s="775">
        <f t="shared" si="13"/>
        <v>100</v>
      </c>
      <c r="V40" s="774" t="s">
        <v>17</v>
      </c>
      <c r="W40" s="775">
        <f t="shared" si="14"/>
        <v>100</v>
      </c>
      <c r="X40" s="1812"/>
      <c r="Y40" s="3221"/>
      <c r="Z40" s="1813">
        <f t="shared" si="15"/>
        <v>111</v>
      </c>
      <c r="AA40" s="1810">
        <f t="shared" si="3"/>
        <v>1</v>
      </c>
      <c r="AB40" s="1810">
        <f t="shared" si="4"/>
        <v>1</v>
      </c>
      <c r="AC40" s="1810">
        <f t="shared" si="5"/>
        <v>1</v>
      </c>
    </row>
    <row r="41" spans="1:29" ht="14.4">
      <c r="A41" s="479" t="s">
        <v>2564</v>
      </c>
      <c r="B41" s="480"/>
      <c r="C41" s="1407" t="s">
        <v>1</v>
      </c>
      <c r="D41" s="1408"/>
      <c r="E41" s="1409"/>
      <c r="F41" s="1410"/>
      <c r="G41" s="1411"/>
      <c r="H41" s="1412"/>
      <c r="I41" s="1409"/>
      <c r="J41" s="1412"/>
      <c r="K41" s="783"/>
      <c r="L41" s="1143"/>
      <c r="M41" s="1144"/>
      <c r="N41" s="1131"/>
      <c r="O41" s="1144"/>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 thickBot="1">
      <c r="A42" s="486" t="s">
        <v>2656</v>
      </c>
      <c r="B42" s="487"/>
      <c r="C42" s="1413" t="e">
        <f>R43</f>
        <v>#DIV/0!</v>
      </c>
      <c r="D42" s="1414"/>
      <c r="E42" s="1415" t="e">
        <f>R42</f>
        <v>#DIV/0!</v>
      </c>
      <c r="F42" s="1415"/>
      <c r="G42" s="1413" t="e">
        <f>T42</f>
        <v>#DIV/0!</v>
      </c>
      <c r="H42" s="1414"/>
      <c r="I42" s="1415" t="e">
        <f>V42</f>
        <v>#DIV/0!</v>
      </c>
      <c r="J42" s="1414"/>
      <c r="K42" s="784"/>
      <c r="L42" s="1143"/>
      <c r="M42" s="1144"/>
      <c r="N42" s="1131"/>
      <c r="O42" s="1144"/>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 thickBot="1">
      <c r="A43" s="492" t="s">
        <v>2657</v>
      </c>
      <c r="B43" s="493"/>
      <c r="C43" s="1417" t="e">
        <f>R43</f>
        <v>#DIV/0!</v>
      </c>
      <c r="D43" s="1417"/>
      <c r="E43" s="1417"/>
      <c r="F43" s="1417"/>
      <c r="G43" s="1417"/>
      <c r="H43" s="1417"/>
      <c r="I43" s="1417"/>
      <c r="J43" s="1417"/>
      <c r="K43" s="785"/>
      <c r="L43" s="1143"/>
      <c r="M43" s="1144"/>
      <c r="N43" s="1144"/>
      <c r="O43" s="1144"/>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2661</v>
      </c>
      <c r="B51" s="759"/>
      <c r="C51" s="764"/>
      <c r="D51" s="764"/>
      <c r="E51" s="764"/>
      <c r="F51" s="765"/>
      <c r="G51" s="765"/>
      <c r="H51" s="764"/>
      <c r="I51" s="764"/>
      <c r="J51" s="764"/>
      <c r="K51" s="1160"/>
      <c r="L51" s="1161"/>
      <c r="M51" s="1159"/>
      <c r="N51" s="1159"/>
      <c r="O51" s="1159"/>
      <c r="P51" s="503"/>
      <c r="Q51" s="504"/>
    </row>
    <row r="52" spans="1:17" s="508" customFormat="1" ht="14.4">
      <c r="A52" s="505" t="s">
        <v>2535</v>
      </c>
      <c r="B52" s="506"/>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2572</v>
      </c>
      <c r="B54" s="516"/>
      <c r="C54" s="517"/>
      <c r="D54" s="518"/>
      <c r="E54" s="518"/>
      <c r="F54" s="518"/>
      <c r="G54" s="518"/>
      <c r="H54" s="518"/>
      <c r="I54" s="518"/>
      <c r="J54" s="518"/>
      <c r="K54" s="518"/>
      <c r="L54" s="518"/>
      <c r="M54" s="519"/>
      <c r="N54" s="518"/>
      <c r="O54" s="520"/>
      <c r="P54" s="504"/>
      <c r="Q54" s="504"/>
    </row>
    <row r="55" spans="1:17" s="117" customFormat="1" ht="14.4">
      <c r="A55" s="521" t="s">
        <v>2537</v>
      </c>
      <c r="B55" s="510"/>
      <c r="C55" s="522" t="s">
        <v>2639</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2575</v>
      </c>
      <c r="B57" s="528" t="s">
        <v>2541</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2544</v>
      </c>
      <c r="C59" s="539" t="s">
        <v>2576</v>
      </c>
      <c r="D59" s="539" t="s">
        <v>2577</v>
      </c>
      <c r="E59" s="539" t="s">
        <v>2578</v>
      </c>
      <c r="F59" s="539" t="s">
        <v>2579</v>
      </c>
      <c r="G59" s="539" t="s">
        <v>2580</v>
      </c>
      <c r="H59" s="539" t="s">
        <v>2581</v>
      </c>
      <c r="I59" s="539" t="s">
        <v>2582</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2546</v>
      </c>
      <c r="B70" s="528" t="s">
        <v>2692</v>
      </c>
      <c r="C70" s="573" t="s">
        <v>2584</v>
      </c>
      <c r="D70" s="573" t="s">
        <v>2585</v>
      </c>
      <c r="E70" s="573" t="s">
        <v>2586</v>
      </c>
      <c r="F70" s="573" t="s">
        <v>2587</v>
      </c>
      <c r="G70" s="573" t="s">
        <v>2588</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2589</v>
      </c>
      <c r="C72" s="578" t="s">
        <v>2584</v>
      </c>
      <c r="D72" s="578" t="s">
        <v>2585</v>
      </c>
      <c r="E72" s="578" t="s">
        <v>2586</v>
      </c>
      <c r="F72" s="578" t="s">
        <v>2587</v>
      </c>
      <c r="G72" s="578" t="s">
        <v>2588</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2590</v>
      </c>
      <c r="C74" s="578" t="s">
        <v>2584</v>
      </c>
      <c r="D74" s="578" t="s">
        <v>2585</v>
      </c>
      <c r="E74" s="578" t="s">
        <v>2586</v>
      </c>
      <c r="F74" s="578" t="s">
        <v>2587</v>
      </c>
      <c r="G74" s="578" t="s">
        <v>2588</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2676</v>
      </c>
      <c r="C76" s="660" t="s">
        <v>2662</v>
      </c>
      <c r="D76" s="660" t="s">
        <v>2663</v>
      </c>
      <c r="E76" s="660" t="s">
        <v>2664</v>
      </c>
      <c r="F76" s="660" t="s">
        <v>2665</v>
      </c>
      <c r="G76" s="660" t="s">
        <v>2666</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2685</v>
      </c>
      <c r="C78" s="578" t="s">
        <v>2584</v>
      </c>
      <c r="D78" s="578" t="s">
        <v>2585</v>
      </c>
      <c r="E78" s="578" t="s">
        <v>2586</v>
      </c>
      <c r="F78" s="578" t="s">
        <v>2587</v>
      </c>
      <c r="G78" s="578" t="s">
        <v>2588</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2550</v>
      </c>
      <c r="B88" s="528" t="s">
        <v>2599</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2601</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2603</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2604</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2605</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2607</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2693</v>
      </c>
      <c r="C106" s="578" t="s">
        <v>2584</v>
      </c>
      <c r="D106" s="578" t="s">
        <v>2585</v>
      </c>
      <c r="E106" s="578" t="s">
        <v>2586</v>
      </c>
      <c r="F106" s="578" t="s">
        <v>2587</v>
      </c>
      <c r="G106" s="578" t="s">
        <v>2588</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2694</v>
      </c>
      <c r="B1" s="1618"/>
      <c r="C1" s="1619" t="s">
        <v>2517</v>
      </c>
      <c r="D1" s="1620"/>
      <c r="E1" s="1621"/>
      <c r="F1" s="2582"/>
      <c r="G1" s="1622" t="s">
        <v>2630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2314</v>
      </c>
      <c r="B2" s="1418" t="e">
        <f ca="1">IF(C2="——",IF(B37="元/平方米",ROUND(C39*D3/10000,0),ROUND(F3*C39/10000,0)),IF(B37="元/平方米",ROUND(C39*D3/10000,0),ROUND(F3*C39/10000,0))-D2)</f>
        <v>#DIV/0!</v>
      </c>
      <c r="C2" s="2584"/>
      <c r="D2" s="1124" t="e">
        <f ca="1">SUMIF(INDIRECT("'"&amp;F2&amp;"'"&amp;"!A:A"),"承租人权益价值",INDIRECT("'"&amp;F2&amp;"'"&amp;"!c:c"))</f>
        <v>#REF!</v>
      </c>
      <c r="E2" s="2585" t="s">
        <v>2315</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2632</v>
      </c>
      <c r="B4" s="402"/>
      <c r="C4" s="3196" t="s">
        <v>2633</v>
      </c>
      <c r="D4" s="3197"/>
      <c r="E4" s="3198" t="s">
        <v>2634</v>
      </c>
      <c r="F4" s="3199"/>
      <c r="G4" s="3196" t="s">
        <v>2635</v>
      </c>
      <c r="H4" s="3197"/>
      <c r="I4" s="3196" t="s">
        <v>2636</v>
      </c>
      <c r="J4" s="3197"/>
      <c r="K4" s="610" t="s">
        <v>2637</v>
      </c>
      <c r="L4" s="1130"/>
      <c r="M4" s="1131"/>
      <c r="N4" s="1131"/>
      <c r="O4" s="1131"/>
      <c r="P4" s="3200" t="s">
        <v>2638</v>
      </c>
      <c r="Q4" s="3201"/>
      <c r="R4" s="3183" t="s">
        <v>2634</v>
      </c>
      <c r="S4" s="3184"/>
      <c r="T4" s="3183" t="s">
        <v>2635</v>
      </c>
      <c r="U4" s="3184"/>
      <c r="V4" s="3208" t="s">
        <v>2636</v>
      </c>
      <c r="W4" s="3208"/>
      <c r="X4" s="1812"/>
      <c r="Y4" s="3183" t="s">
        <v>2638</v>
      </c>
      <c r="Z4" s="3184"/>
      <c r="AA4" s="3178" t="s">
        <v>2634</v>
      </c>
      <c r="AB4" s="3179" t="s">
        <v>2635</v>
      </c>
      <c r="AC4" s="3178" t="s">
        <v>2636</v>
      </c>
    </row>
    <row r="5" spans="1:29">
      <c r="A5" s="404"/>
      <c r="B5" s="405"/>
      <c r="C5" s="3189" t="s">
        <v>2529</v>
      </c>
      <c r="D5" s="3190"/>
      <c r="E5" s="3187" t="s">
        <v>2530</v>
      </c>
      <c r="F5" s="3188"/>
      <c r="G5" s="3189" t="s">
        <v>2531</v>
      </c>
      <c r="H5" s="3190"/>
      <c r="I5" s="3189" t="s">
        <v>2532</v>
      </c>
      <c r="J5" s="3190"/>
      <c r="K5" s="610"/>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191" t="s">
        <v>2533</v>
      </c>
      <c r="D6" s="3192"/>
      <c r="E6" s="3193" t="s">
        <v>2533</v>
      </c>
      <c r="F6" s="3194"/>
      <c r="G6" s="3191" t="s">
        <v>2533</v>
      </c>
      <c r="H6" s="3192"/>
      <c r="I6" s="3191" t="s">
        <v>2533</v>
      </c>
      <c r="J6" s="3192"/>
      <c r="K6" s="610" t="s">
        <v>2534</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2535</v>
      </c>
      <c r="B7" s="409"/>
      <c r="C7" s="410">
        <f>'数据-取费表'!B2</f>
        <v>43768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1" t="s">
        <v>2536</v>
      </c>
      <c r="Q7" s="3209"/>
      <c r="R7" s="770" t="s">
        <v>17</v>
      </c>
      <c r="S7" s="771">
        <f t="shared" ref="S7:S14" si="0">F7</f>
        <v>0</v>
      </c>
      <c r="T7" s="770" t="s">
        <v>17</v>
      </c>
      <c r="U7" s="771">
        <f t="shared" ref="U7:U14" si="1">H7</f>
        <v>0</v>
      </c>
      <c r="V7" s="770" t="s">
        <v>17</v>
      </c>
      <c r="W7" s="771">
        <f t="shared" ref="W7:W14" si="2">J7</f>
        <v>0</v>
      </c>
      <c r="X7" s="772"/>
      <c r="Y7" s="3181" t="s">
        <v>2536</v>
      </c>
      <c r="Z7" s="3182"/>
      <c r="AA7" s="773" t="e">
        <f>D7/F7</f>
        <v>#DIV/0!</v>
      </c>
      <c r="AB7" s="773" t="e">
        <f>D7/H7</f>
        <v>#DIV/0!</v>
      </c>
      <c r="AC7" s="773" t="e">
        <f>D7/J7</f>
        <v>#DIV/0!</v>
      </c>
    </row>
    <row r="8" spans="1:29" s="117" customFormat="1" ht="1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1" t="s">
        <v>2539</v>
      </c>
      <c r="Q8" s="3182"/>
      <c r="R8" s="770" t="s">
        <v>17</v>
      </c>
      <c r="S8" s="771">
        <f t="shared" si="0"/>
        <v>0</v>
      </c>
      <c r="T8" s="770" t="s">
        <v>17</v>
      </c>
      <c r="U8" s="771">
        <f t="shared" si="1"/>
        <v>0</v>
      </c>
      <c r="V8" s="770" t="s">
        <v>17</v>
      </c>
      <c r="W8" s="771">
        <f t="shared" si="2"/>
        <v>0</v>
      </c>
      <c r="X8" s="772"/>
      <c r="Y8" s="3181" t="s">
        <v>2539</v>
      </c>
      <c r="Z8" s="3182"/>
      <c r="AA8" s="773" t="e">
        <f t="shared" ref="AA8:AA36" si="3">D8/F8</f>
        <v>#DIV/0!</v>
      </c>
      <c r="AB8" s="773" t="e">
        <f t="shared" ref="AB8:AB36" si="4">D8/H8</f>
        <v>#DIV/0!</v>
      </c>
      <c r="AC8" s="773" t="e">
        <f t="shared" ref="AC8:AC36" si="5">D8/J8</f>
        <v>#DIV/0!</v>
      </c>
    </row>
    <row r="9" spans="1:29" s="117" customFormat="1" ht="14.4">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3" t="s">
        <v>2542</v>
      </c>
      <c r="Q9" s="1794" t="str">
        <f t="shared" ref="Q9:Q14" si="6">B9</f>
        <v>用途</v>
      </c>
      <c r="R9" s="770" t="s">
        <v>17</v>
      </c>
      <c r="S9" s="771">
        <f t="shared" si="0"/>
        <v>100</v>
      </c>
      <c r="T9" s="770" t="s">
        <v>17</v>
      </c>
      <c r="U9" s="771">
        <f t="shared" si="1"/>
        <v>100</v>
      </c>
      <c r="V9" s="770" t="s">
        <v>17</v>
      </c>
      <c r="W9" s="771">
        <f t="shared" si="2"/>
        <v>100</v>
      </c>
      <c r="X9" s="772"/>
      <c r="Y9" s="3028" t="s">
        <v>2543</v>
      </c>
      <c r="Z9" s="55" t="str">
        <f t="shared" ref="Z9:Z14" si="7">Q9</f>
        <v>用途</v>
      </c>
      <c r="AA9" s="773">
        <f t="shared" si="3"/>
        <v>1</v>
      </c>
      <c r="AB9" s="773">
        <f t="shared" si="4"/>
        <v>1</v>
      </c>
      <c r="AC9" s="773">
        <f t="shared" si="5"/>
        <v>1</v>
      </c>
    </row>
    <row r="10" spans="1:29" s="427" customFormat="1" ht="28.8">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3"/>
      <c r="Q11" s="1794">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3"/>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3"/>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01" t="s">
        <v>2546</v>
      </c>
      <c r="B14" s="629" t="s">
        <v>2696</v>
      </c>
      <c r="C14" s="269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5" t="s">
        <v>2547</v>
      </c>
      <c r="Q14" s="1809" t="str">
        <f t="shared" si="6"/>
        <v>交通便捷度</v>
      </c>
      <c r="R14" s="774" t="s">
        <v>17</v>
      </c>
      <c r="S14" s="775">
        <f t="shared" si="0"/>
        <v>100</v>
      </c>
      <c r="T14" s="774" t="s">
        <v>17</v>
      </c>
      <c r="U14" s="775">
        <f t="shared" si="1"/>
        <v>100</v>
      </c>
      <c r="V14" s="774" t="s">
        <v>17</v>
      </c>
      <c r="W14" s="775">
        <f t="shared" si="2"/>
        <v>100</v>
      </c>
      <c r="X14" s="1812"/>
      <c r="Y14" s="3215" t="s">
        <v>2547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6"/>
      <c r="Q15" s="1809"/>
      <c r="R15" s="774"/>
      <c r="S15" s="775"/>
      <c r="T15" s="774"/>
      <c r="U15" s="775"/>
      <c r="V15" s="774"/>
      <c r="W15" s="775"/>
      <c r="X15" s="1812"/>
      <c r="Y15" s="3216"/>
      <c r="Z15" s="1813"/>
      <c r="AA15" s="1810">
        <v>1</v>
      </c>
      <c r="AB15" s="1810">
        <v>1</v>
      </c>
      <c r="AC15" s="1810">
        <v>1</v>
      </c>
    </row>
    <row r="16" spans="1:29" ht="15">
      <c r="A16" s="404"/>
      <c r="B16" s="631" t="s">
        <v>2675</v>
      </c>
      <c r="C16" s="260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16"/>
      <c r="Q17" s="1809"/>
      <c r="R17" s="774"/>
      <c r="S17" s="775"/>
      <c r="T17" s="774"/>
      <c r="U17" s="775"/>
      <c r="V17" s="774"/>
      <c r="W17" s="775"/>
      <c r="X17" s="1812"/>
      <c r="Y17" s="3216"/>
      <c r="Z17" s="1813"/>
      <c r="AA17" s="1810">
        <v>1</v>
      </c>
      <c r="AB17" s="1810">
        <v>1</v>
      </c>
      <c r="AC17" s="1810">
        <v>1</v>
      </c>
    </row>
    <row r="18" spans="1:29" ht="15">
      <c r="A18" s="404"/>
      <c r="B18" s="633" t="s">
        <v>2676</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16"/>
      <c r="Q19" s="1809"/>
      <c r="R19" s="774"/>
      <c r="S19" s="775"/>
      <c r="T19" s="774"/>
      <c r="U19" s="775"/>
      <c r="V19" s="774"/>
      <c r="W19" s="775"/>
      <c r="X19" s="1812"/>
      <c r="Y19" s="3216"/>
      <c r="Z19" s="1813"/>
      <c r="AA19" s="1810">
        <v>1</v>
      </c>
      <c r="AB19" s="1810">
        <v>1</v>
      </c>
      <c r="AC19" s="1810">
        <v>1</v>
      </c>
    </row>
    <row r="20" spans="1:29" ht="15">
      <c r="A20" s="404"/>
      <c r="B20" s="631" t="s">
        <v>2697</v>
      </c>
      <c r="C20" s="260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6"/>
      <c r="Q21" s="1809"/>
      <c r="R21" s="774"/>
      <c r="S21" s="775"/>
      <c r="T21" s="774"/>
      <c r="U21" s="775"/>
      <c r="V21" s="774"/>
      <c r="W21" s="775"/>
      <c r="X21" s="1812"/>
      <c r="Y21" s="3216"/>
      <c r="Z21" s="1813"/>
      <c r="AA21" s="1810">
        <v>1</v>
      </c>
      <c r="AB21" s="1810">
        <v>1</v>
      </c>
      <c r="AC21" s="1810">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6"/>
      <c r="Q23" s="1809">
        <f>B23</f>
        <v>111</v>
      </c>
      <c r="R23" s="774" t="s">
        <v>17</v>
      </c>
      <c r="S23" s="775">
        <f>F23</f>
        <v>100</v>
      </c>
      <c r="T23" s="774" t="s">
        <v>17</v>
      </c>
      <c r="U23" s="775">
        <f>H23</f>
        <v>100</v>
      </c>
      <c r="V23" s="774" t="s">
        <v>17</v>
      </c>
      <c r="W23" s="775">
        <f>J23</f>
        <v>100</v>
      </c>
      <c r="X23" s="1812"/>
      <c r="Y23" s="321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6"/>
      <c r="Q24" s="1809">
        <f t="shared" ref="Q24:Q36" si="11">B24</f>
        <v>111</v>
      </c>
      <c r="R24" s="774" t="s">
        <v>17</v>
      </c>
      <c r="S24" s="775">
        <f>F24</f>
        <v>100</v>
      </c>
      <c r="T24" s="774" t="s">
        <v>17</v>
      </c>
      <c r="U24" s="775">
        <f>H24</f>
        <v>100</v>
      </c>
      <c r="V24" s="774" t="s">
        <v>17</v>
      </c>
      <c r="W24" s="775">
        <f>J24</f>
        <v>100</v>
      </c>
      <c r="X24" s="1812"/>
      <c r="Y24" s="3216"/>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6"/>
      <c r="Q25" s="1794">
        <f t="shared" si="11"/>
        <v>111</v>
      </c>
      <c r="R25" s="770" t="s">
        <v>17</v>
      </c>
      <c r="S25" s="771">
        <f>F25</f>
        <v>100</v>
      </c>
      <c r="T25" s="770" t="s">
        <v>17</v>
      </c>
      <c r="U25" s="771">
        <f>H25</f>
        <v>100</v>
      </c>
      <c r="V25" s="770" t="s">
        <v>17</v>
      </c>
      <c r="W25" s="771">
        <f>J25</f>
        <v>100</v>
      </c>
      <c r="X25" s="772"/>
      <c r="Y25" s="3216"/>
      <c r="Z25" s="55">
        <f>Q25</f>
        <v>111</v>
      </c>
      <c r="AA25" s="1810">
        <f>D25/F25</f>
        <v>1</v>
      </c>
      <c r="AB25" s="1810">
        <f>D25/H25</f>
        <v>1</v>
      </c>
      <c r="AC25" s="1810">
        <f>D25/J25</f>
        <v>1</v>
      </c>
    </row>
    <row r="26" spans="1:29" ht="30">
      <c r="A26" s="652" t="s">
        <v>2550</v>
      </c>
      <c r="B26" s="70" t="s">
        <v>2699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9" t="s">
        <v>2552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0" t="s">
        <v>2552</v>
      </c>
      <c r="Z26" s="1813" t="str">
        <f t="shared" ref="Z26:Z36" si="15">Q26</f>
        <v>配套类型</v>
      </c>
      <c r="AA26" s="1810">
        <f t="shared" si="3"/>
        <v>1</v>
      </c>
      <c r="AB26" s="1810">
        <f t="shared" si="4"/>
        <v>1</v>
      </c>
      <c r="AC26" s="1810">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0">
        <f t="shared" si="3"/>
        <v>1</v>
      </c>
      <c r="AB27" s="1810">
        <f t="shared" si="4"/>
        <v>1</v>
      </c>
      <c r="AC27" s="1810">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0"/>
      <c r="Q28" s="1809" t="str">
        <f t="shared" si="11"/>
        <v>公共部分装修</v>
      </c>
      <c r="R28" s="774" t="s">
        <v>17</v>
      </c>
      <c r="S28" s="775">
        <f t="shared" si="12"/>
        <v>100</v>
      </c>
      <c r="T28" s="774" t="s">
        <v>17</v>
      </c>
      <c r="U28" s="775">
        <f t="shared" si="13"/>
        <v>100</v>
      </c>
      <c r="V28" s="774" t="s">
        <v>17</v>
      </c>
      <c r="W28" s="775">
        <f t="shared" si="14"/>
        <v>100</v>
      </c>
      <c r="X28" s="1812"/>
      <c r="Y28" s="3220"/>
      <c r="Z28" s="1813" t="str">
        <f t="shared" si="15"/>
        <v>公共部分装修</v>
      </c>
      <c r="AA28" s="1810">
        <f t="shared" si="3"/>
        <v>1</v>
      </c>
      <c r="AB28" s="1810">
        <f t="shared" si="4"/>
        <v>1</v>
      </c>
      <c r="AC28" s="1810">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0"/>
      <c r="Q29" s="1809" t="str">
        <f t="shared" si="11"/>
        <v>成新率</v>
      </c>
      <c r="R29" s="774" t="s">
        <v>17</v>
      </c>
      <c r="S29" s="775" t="e">
        <f t="shared" si="12"/>
        <v>#N/A</v>
      </c>
      <c r="T29" s="774" t="s">
        <v>17</v>
      </c>
      <c r="U29" s="775" t="e">
        <f t="shared" si="13"/>
        <v>#N/A</v>
      </c>
      <c r="V29" s="774" t="s">
        <v>17</v>
      </c>
      <c r="W29" s="775" t="e">
        <f t="shared" si="14"/>
        <v>#N/A</v>
      </c>
      <c r="X29" s="1812"/>
      <c r="Y29" s="3220"/>
      <c r="Z29" s="1813" t="str">
        <f t="shared" si="15"/>
        <v>成新率</v>
      </c>
      <c r="AA29" s="1810" t="e">
        <f t="shared" si="3"/>
        <v>#N/A</v>
      </c>
      <c r="AB29" s="1810" t="e">
        <f t="shared" si="4"/>
        <v>#N/A</v>
      </c>
      <c r="AC29" s="1810"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0"/>
      <c r="Q30" s="1809" t="str">
        <f t="shared" si="11"/>
        <v>物业等级</v>
      </c>
      <c r="R30" s="774" t="s">
        <v>17</v>
      </c>
      <c r="S30" s="775">
        <f t="shared" si="12"/>
        <v>100</v>
      </c>
      <c r="T30" s="774" t="s">
        <v>17</v>
      </c>
      <c r="U30" s="775">
        <f t="shared" si="13"/>
        <v>100</v>
      </c>
      <c r="V30" s="774" t="s">
        <v>17</v>
      </c>
      <c r="W30" s="775">
        <f t="shared" si="14"/>
        <v>100</v>
      </c>
      <c r="X30" s="1812"/>
      <c r="Y30" s="3220"/>
      <c r="Z30" s="1813" t="str">
        <f t="shared" si="15"/>
        <v>物业等级</v>
      </c>
      <c r="AA30" s="1810">
        <f t="shared" si="3"/>
        <v>1</v>
      </c>
      <c r="AB30" s="1810">
        <f t="shared" si="4"/>
        <v>1</v>
      </c>
      <c r="AC30" s="1810">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0"/>
      <c r="Q31" s="1794"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0" t="s">
        <v>2552</v>
      </c>
      <c r="Q32" s="1809" t="str">
        <f t="shared" si="11"/>
        <v>车位类型</v>
      </c>
      <c r="R32" s="774" t="s">
        <v>17</v>
      </c>
      <c r="S32" s="775">
        <f t="shared" si="12"/>
        <v>100</v>
      </c>
      <c r="T32" s="774" t="s">
        <v>17</v>
      </c>
      <c r="U32" s="775">
        <f t="shared" si="13"/>
        <v>100</v>
      </c>
      <c r="V32" s="774" t="s">
        <v>17</v>
      </c>
      <c r="W32" s="775">
        <f t="shared" si="14"/>
        <v>100</v>
      </c>
      <c r="X32" s="1812"/>
      <c r="Y32" s="3220" t="s">
        <v>2552</v>
      </c>
      <c r="Z32" s="1813" t="str">
        <f t="shared" si="15"/>
        <v>车位类型</v>
      </c>
      <c r="AA32" s="1810">
        <f t="shared" si="3"/>
        <v>1</v>
      </c>
      <c r="AB32" s="1810">
        <f t="shared" si="4"/>
        <v>1</v>
      </c>
      <c r="AC32" s="1810">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0"/>
      <c r="Q33" s="1809" t="str">
        <f t="shared" si="11"/>
        <v>是否直接入户</v>
      </c>
      <c r="R33" s="774" t="s">
        <v>17</v>
      </c>
      <c r="S33" s="775">
        <f t="shared" si="12"/>
        <v>100</v>
      </c>
      <c r="T33" s="774" t="s">
        <v>17</v>
      </c>
      <c r="U33" s="775">
        <f t="shared" si="13"/>
        <v>100</v>
      </c>
      <c r="V33" s="774" t="s">
        <v>17</v>
      </c>
      <c r="W33" s="775">
        <f t="shared" si="14"/>
        <v>100</v>
      </c>
      <c r="X33" s="1812"/>
      <c r="Y33" s="322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0"/>
      <c r="Q34" s="1809">
        <f t="shared" si="11"/>
        <v>111</v>
      </c>
      <c r="R34" s="774" t="s">
        <v>17</v>
      </c>
      <c r="S34" s="775">
        <f t="shared" si="12"/>
        <v>100</v>
      </c>
      <c r="T34" s="774" t="s">
        <v>17</v>
      </c>
      <c r="U34" s="775">
        <f t="shared" si="13"/>
        <v>100</v>
      </c>
      <c r="V34" s="774" t="s">
        <v>17</v>
      </c>
      <c r="W34" s="775">
        <f t="shared" si="14"/>
        <v>100</v>
      </c>
      <c r="X34" s="1812"/>
      <c r="Y34" s="322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0"/>
      <c r="Q36" s="1809">
        <f t="shared" si="11"/>
        <v>111</v>
      </c>
      <c r="R36" s="774" t="s">
        <v>17</v>
      </c>
      <c r="S36" s="775">
        <f t="shared" si="12"/>
        <v>100</v>
      </c>
      <c r="T36" s="774" t="s">
        <v>17</v>
      </c>
      <c r="U36" s="775">
        <f t="shared" si="13"/>
        <v>100</v>
      </c>
      <c r="V36" s="774" t="s">
        <v>17</v>
      </c>
      <c r="W36" s="775">
        <f t="shared" si="14"/>
        <v>100</v>
      </c>
      <c r="X36" s="1812"/>
      <c r="Y36" s="3220"/>
      <c r="Z36" s="1813">
        <f t="shared" si="15"/>
        <v>111</v>
      </c>
      <c r="AA36" s="1810">
        <f t="shared" si="3"/>
        <v>1</v>
      </c>
      <c r="AB36" s="1810">
        <f t="shared" si="4"/>
        <v>1</v>
      </c>
      <c r="AC36" s="1810">
        <f t="shared" si="5"/>
        <v>1</v>
      </c>
    </row>
    <row r="37" spans="1:29" ht="14.4">
      <c r="A37" s="479" t="s">
        <v>2707</v>
      </c>
      <c r="B37" s="2693" t="s">
        <v>2708</v>
      </c>
      <c r="C37" s="1407" t="s">
        <v>1</v>
      </c>
      <c r="D37" s="1408"/>
      <c r="E37" s="1409"/>
      <c r="F37" s="1410"/>
      <c r="G37" s="1411"/>
      <c r="H37" s="1412"/>
      <c r="I37" s="1409"/>
      <c r="J37" s="1412"/>
      <c r="K37" s="619"/>
      <c r="L37" s="1143"/>
      <c r="M37" s="1144"/>
      <c r="N37" s="1131"/>
      <c r="O37" s="1144"/>
      <c r="P37" s="3213" t="str">
        <f>A37</f>
        <v>成交单价</v>
      </c>
      <c r="Q37" s="3213"/>
      <c r="R37" s="3214">
        <f>E37</f>
        <v>0</v>
      </c>
      <c r="S37" s="3214"/>
      <c r="T37" s="3214">
        <f>G37</f>
        <v>0</v>
      </c>
      <c r="U37" s="3214"/>
      <c r="V37" s="3214">
        <f>I37</f>
        <v>0</v>
      </c>
      <c r="W37" s="3214"/>
      <c r="X37" s="759"/>
      <c r="Y37" s="781"/>
      <c r="Z37" s="759"/>
      <c r="AA37" s="759"/>
      <c r="AB37" s="759"/>
      <c r="AC37" s="759"/>
    </row>
    <row r="38" spans="1:29" ht="15" thickBot="1">
      <c r="A38" s="486" t="s">
        <v>2709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 thickBot="1">
      <c r="A39" s="492" t="s">
        <v>2710</v>
      </c>
      <c r="B39" s="493"/>
      <c r="C39" s="1417" t="e">
        <f>R39</f>
        <v>#DIV/0!</v>
      </c>
      <c r="D39" s="1417"/>
      <c r="E39" s="1417"/>
      <c r="F39" s="1417"/>
      <c r="G39" s="1417"/>
      <c r="H39" s="1417"/>
      <c r="I39" s="1417"/>
      <c r="J39" s="1417"/>
      <c r="K39" s="621"/>
      <c r="L39" s="1143"/>
      <c r="M39" s="1144"/>
      <c r="N39" s="1144"/>
      <c r="O39" s="1144"/>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2715</v>
      </c>
      <c r="B48" s="506"/>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2537</v>
      </c>
      <c r="B51" s="510"/>
      <c r="C51" s="522" t="s">
        <v>2639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2575</v>
      </c>
      <c r="B53" s="528" t="s">
        <v>2541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2544</v>
      </c>
      <c r="C55" s="539" t="s">
        <v>2576</v>
      </c>
      <c r="D55" s="539" t="s">
        <v>2577</v>
      </c>
      <c r="E55" s="539" t="s">
        <v>2578</v>
      </c>
      <c r="F55" s="539" t="s">
        <v>2579</v>
      </c>
      <c r="G55" s="539" t="s">
        <v>2580</v>
      </c>
      <c r="H55" s="539" t="s">
        <v>2581</v>
      </c>
      <c r="I55" s="539" t="s">
        <v>2582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2590</v>
      </c>
      <c r="C65" s="578" t="s">
        <v>2584</v>
      </c>
      <c r="D65" s="578" t="s">
        <v>2585</v>
      </c>
      <c r="E65" s="578" t="s">
        <v>2586</v>
      </c>
      <c r="F65" s="578" t="s">
        <v>2587</v>
      </c>
      <c r="G65" s="578" t="s">
        <v>2588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2676</v>
      </c>
      <c r="C67" s="660" t="s">
        <v>2662</v>
      </c>
      <c r="D67" s="660" t="s">
        <v>2663</v>
      </c>
      <c r="E67" s="660" t="s">
        <v>2664</v>
      </c>
      <c r="F67" s="660" t="s">
        <v>2665</v>
      </c>
      <c r="G67" s="660" t="s">
        <v>2666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2596</v>
      </c>
      <c r="C69" s="578" t="s">
        <v>2584</v>
      </c>
      <c r="D69" s="578" t="s">
        <v>2585</v>
      </c>
      <c r="E69" s="578" t="s">
        <v>2586</v>
      </c>
      <c r="F69" s="578" t="s">
        <v>2587</v>
      </c>
      <c r="G69" s="578" t="s">
        <v>2588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2716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2550</v>
      </c>
      <c r="B79" s="528" t="s">
        <v>2717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2718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2694</v>
      </c>
      <c r="B1" s="1618"/>
      <c r="C1" s="1619" t="s">
        <v>2517</v>
      </c>
      <c r="D1" s="1620"/>
      <c r="E1" s="1629"/>
      <c r="F1" s="2582"/>
      <c r="G1" s="1630" t="s">
        <v>2630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IF(C2="——",ROUND(C37*D3/10000,0),ROUND(C37*D3/10000,0)-D2)</f>
        <v>#DIV/0!</v>
      </c>
      <c r="C2" s="2584"/>
      <c r="D2" s="1124" t="e">
        <f ca="1">SUMIF(INDIRECT("'"&amp;F2&amp;"'"&amp;"!A:A"),"承租人权益价值",INDIRECT("'"&amp;F2&amp;"'"&amp;"!c:c"))</f>
        <v>#REF!</v>
      </c>
      <c r="E2" s="2585" t="s">
        <v>2315</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2631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2632</v>
      </c>
      <c r="B4" s="402"/>
      <c r="C4" s="3196" t="s">
        <v>2633</v>
      </c>
      <c r="D4" s="3197"/>
      <c r="E4" s="3198" t="s">
        <v>2634</v>
      </c>
      <c r="F4" s="3199"/>
      <c r="G4" s="3196" t="s">
        <v>2635</v>
      </c>
      <c r="H4" s="3197"/>
      <c r="I4" s="3196" t="s">
        <v>2636</v>
      </c>
      <c r="J4" s="3197"/>
      <c r="K4" s="610" t="s">
        <v>2637</v>
      </c>
      <c r="L4" s="1130"/>
      <c r="M4" s="1131"/>
      <c r="N4" s="1131"/>
      <c r="O4" s="1131"/>
      <c r="P4" s="3200" t="s">
        <v>2638</v>
      </c>
      <c r="Q4" s="3201"/>
      <c r="R4" s="3183" t="s">
        <v>2634</v>
      </c>
      <c r="S4" s="3184"/>
      <c r="T4" s="3183" t="s">
        <v>2635</v>
      </c>
      <c r="U4" s="3184"/>
      <c r="V4" s="3208" t="s">
        <v>2636</v>
      </c>
      <c r="W4" s="3208"/>
      <c r="X4" s="1812"/>
      <c r="Y4" s="3183" t="s">
        <v>2638</v>
      </c>
      <c r="Z4" s="3184"/>
      <c r="AA4" s="3178" t="s">
        <v>2634</v>
      </c>
      <c r="AB4" s="3179" t="s">
        <v>2635</v>
      </c>
      <c r="AC4" s="3178" t="s">
        <v>2636</v>
      </c>
    </row>
    <row r="5" spans="1:29">
      <c r="A5" s="404"/>
      <c r="B5" s="405"/>
      <c r="C5" s="3189" t="s">
        <v>2529</v>
      </c>
      <c r="D5" s="3190"/>
      <c r="E5" s="3187" t="s">
        <v>2530</v>
      </c>
      <c r="F5" s="3188"/>
      <c r="G5" s="3189" t="s">
        <v>2531</v>
      </c>
      <c r="H5" s="3190"/>
      <c r="I5" s="3189" t="s">
        <v>2532</v>
      </c>
      <c r="J5" s="3190"/>
      <c r="K5" s="610"/>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191" t="s">
        <v>2533</v>
      </c>
      <c r="D6" s="3192"/>
      <c r="E6" s="3193" t="s">
        <v>2533</v>
      </c>
      <c r="F6" s="3194"/>
      <c r="G6" s="3191" t="s">
        <v>2533</v>
      </c>
      <c r="H6" s="3192"/>
      <c r="I6" s="3191" t="s">
        <v>2533</v>
      </c>
      <c r="J6" s="3192"/>
      <c r="K6" s="610" t="s">
        <v>2534</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2535</v>
      </c>
      <c r="B7" s="409"/>
      <c r="C7" s="410">
        <f>'数据-取费表'!B2</f>
        <v>43768</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1" t="s">
        <v>2536</v>
      </c>
      <c r="Q7" s="3209"/>
      <c r="R7" s="770" t="s">
        <v>17</v>
      </c>
      <c r="S7" s="771">
        <f t="shared" ref="S7:S14" si="0">F7</f>
        <v>0</v>
      </c>
      <c r="T7" s="770" t="s">
        <v>17</v>
      </c>
      <c r="U7" s="771">
        <f t="shared" ref="U7:U14" si="1">H7</f>
        <v>0</v>
      </c>
      <c r="V7" s="770" t="s">
        <v>17</v>
      </c>
      <c r="W7" s="771">
        <f t="shared" ref="W7:W14" si="2">J7</f>
        <v>0</v>
      </c>
      <c r="X7" s="772"/>
      <c r="Y7" s="3181" t="s">
        <v>2536</v>
      </c>
      <c r="Z7" s="3182"/>
      <c r="AA7" s="773" t="e">
        <f>D7/F7</f>
        <v>#DIV/0!</v>
      </c>
      <c r="AB7" s="773" t="e">
        <f>D7/H7</f>
        <v>#DIV/0!</v>
      </c>
      <c r="AC7" s="773" t="e">
        <f>D7/J7</f>
        <v>#DIV/0!</v>
      </c>
    </row>
    <row r="8" spans="1:29" s="117" customFormat="1" ht="1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1" t="s">
        <v>2539</v>
      </c>
      <c r="Q8" s="3182"/>
      <c r="R8" s="770" t="s">
        <v>17</v>
      </c>
      <c r="S8" s="771">
        <f t="shared" si="0"/>
        <v>0</v>
      </c>
      <c r="T8" s="770" t="s">
        <v>17</v>
      </c>
      <c r="U8" s="771">
        <f t="shared" si="1"/>
        <v>0</v>
      </c>
      <c r="V8" s="770" t="s">
        <v>17</v>
      </c>
      <c r="W8" s="771">
        <f t="shared" si="2"/>
        <v>0</v>
      </c>
      <c r="X8" s="772"/>
      <c r="Y8" s="3181" t="s">
        <v>2539</v>
      </c>
      <c r="Z8" s="3182"/>
      <c r="AA8" s="773" t="e">
        <f t="shared" ref="AA8:AA34" si="3">D8/F8</f>
        <v>#DIV/0!</v>
      </c>
      <c r="AB8" s="773" t="e">
        <f t="shared" ref="AB8:AB34" si="4">D8/H8</f>
        <v>#DIV/0!</v>
      </c>
      <c r="AC8" s="773" t="e">
        <f t="shared" ref="AC8:AC34" si="5">D8/J8</f>
        <v>#DIV/0!</v>
      </c>
    </row>
    <row r="9" spans="1:29" s="117" customFormat="1" ht="14.4">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3" t="s">
        <v>2542</v>
      </c>
      <c r="Q9" s="1794" t="str">
        <f t="shared" ref="Q9:Q14" si="6">B9</f>
        <v>用途</v>
      </c>
      <c r="R9" s="770" t="s">
        <v>17</v>
      </c>
      <c r="S9" s="771">
        <f t="shared" si="0"/>
        <v>100</v>
      </c>
      <c r="T9" s="770" t="s">
        <v>17</v>
      </c>
      <c r="U9" s="771">
        <f t="shared" si="1"/>
        <v>100</v>
      </c>
      <c r="V9" s="770" t="s">
        <v>17</v>
      </c>
      <c r="W9" s="771">
        <f t="shared" si="2"/>
        <v>100</v>
      </c>
      <c r="X9" s="772"/>
      <c r="Y9" s="3028" t="s">
        <v>2543</v>
      </c>
      <c r="Z9" s="55" t="str">
        <f t="shared" ref="Z9:Z14" si="7">Q9</f>
        <v>用途</v>
      </c>
      <c r="AA9" s="773">
        <f t="shared" si="3"/>
        <v>1</v>
      </c>
      <c r="AB9" s="773">
        <f t="shared" si="4"/>
        <v>1</v>
      </c>
      <c r="AC9" s="773">
        <f t="shared" si="5"/>
        <v>1</v>
      </c>
    </row>
    <row r="10" spans="1:29" s="427" customFormat="1" ht="28.8">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3"/>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3"/>
      <c r="Q11" s="1794">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3"/>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3"/>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
      <c r="A14" s="440" t="s">
        <v>2546</v>
      </c>
      <c r="B14" s="69" t="s">
        <v>2696</v>
      </c>
      <c r="C14" s="269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5" t="s">
        <v>2547</v>
      </c>
      <c r="Q14" s="1809" t="str">
        <f t="shared" si="6"/>
        <v>交通便捷度</v>
      </c>
      <c r="R14" s="774" t="s">
        <v>17</v>
      </c>
      <c r="S14" s="775">
        <f t="shared" si="0"/>
        <v>100</v>
      </c>
      <c r="T14" s="774" t="s">
        <v>17</v>
      </c>
      <c r="U14" s="775">
        <f t="shared" si="1"/>
        <v>100</v>
      </c>
      <c r="V14" s="774" t="s">
        <v>17</v>
      </c>
      <c r="W14" s="775">
        <f t="shared" si="2"/>
        <v>100</v>
      </c>
      <c r="X14" s="1812"/>
      <c r="Y14" s="3215" t="s">
        <v>2547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6"/>
      <c r="Q15" s="1809"/>
      <c r="R15" s="774"/>
      <c r="S15" s="775"/>
      <c r="T15" s="774"/>
      <c r="U15" s="775"/>
      <c r="V15" s="774"/>
      <c r="W15" s="775"/>
      <c r="X15" s="1812"/>
      <c r="Y15" s="3216"/>
      <c r="Z15" s="1813"/>
      <c r="AA15" s="1810">
        <v>1</v>
      </c>
      <c r="AB15" s="1810">
        <v>1</v>
      </c>
      <c r="AC15" s="1810">
        <v>1</v>
      </c>
    </row>
    <row r="16" spans="1:29" ht="15">
      <c r="A16" s="428"/>
      <c r="B16" s="451" t="s">
        <v>2675</v>
      </c>
      <c r="C16" s="260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16"/>
      <c r="Q17" s="1809"/>
      <c r="R17" s="774"/>
      <c r="S17" s="775"/>
      <c r="T17" s="774"/>
      <c r="U17" s="775"/>
      <c r="V17" s="774"/>
      <c r="W17" s="775"/>
      <c r="X17" s="1812"/>
      <c r="Y17" s="3216"/>
      <c r="Z17" s="1813"/>
      <c r="AA17" s="1810">
        <v>1</v>
      </c>
      <c r="AB17" s="1810">
        <v>1</v>
      </c>
      <c r="AC17" s="1810">
        <v>1</v>
      </c>
    </row>
    <row r="18" spans="1:29" ht="15">
      <c r="A18" s="428"/>
      <c r="B18" s="1384" t="s">
        <v>2676</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16"/>
      <c r="Q19" s="1809"/>
      <c r="R19" s="774"/>
      <c r="S19" s="775"/>
      <c r="T19" s="774"/>
      <c r="U19" s="775"/>
      <c r="V19" s="774"/>
      <c r="W19" s="775"/>
      <c r="X19" s="1812"/>
      <c r="Y19" s="3216"/>
      <c r="Z19" s="1813"/>
      <c r="AA19" s="1810">
        <v>1</v>
      </c>
      <c r="AB19" s="1810">
        <v>1</v>
      </c>
      <c r="AC19" s="1810">
        <v>1</v>
      </c>
    </row>
    <row r="20" spans="1:29" ht="15">
      <c r="A20" s="428"/>
      <c r="B20" s="451" t="s">
        <v>2697</v>
      </c>
      <c r="C20" s="260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6"/>
      <c r="Q21" s="1809"/>
      <c r="R21" s="774"/>
      <c r="S21" s="775"/>
      <c r="T21" s="774"/>
      <c r="U21" s="775"/>
      <c r="V21" s="774"/>
      <c r="W21" s="775"/>
      <c r="X21" s="1812"/>
      <c r="Y21" s="3216"/>
      <c r="Z21" s="1813"/>
      <c r="AA21" s="1810">
        <v>1</v>
      </c>
      <c r="AB21" s="1810">
        <v>1</v>
      </c>
      <c r="AC21" s="1810">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6"/>
      <c r="Q23" s="1809">
        <f>B23</f>
        <v>111</v>
      </c>
      <c r="R23" s="774" t="s">
        <v>17</v>
      </c>
      <c r="S23" s="775">
        <f>F23</f>
        <v>100</v>
      </c>
      <c r="T23" s="774" t="s">
        <v>17</v>
      </c>
      <c r="U23" s="775">
        <f>H23</f>
        <v>100</v>
      </c>
      <c r="V23" s="774" t="s">
        <v>17</v>
      </c>
      <c r="W23" s="775">
        <f>J23</f>
        <v>100</v>
      </c>
      <c r="X23" s="1812"/>
      <c r="Y23" s="3216"/>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6"/>
      <c r="Q24" s="1809">
        <f t="shared" ref="Q24:Q34" si="11">B24</f>
        <v>111</v>
      </c>
      <c r="R24" s="774" t="s">
        <v>17</v>
      </c>
      <c r="S24" s="775">
        <f>F24</f>
        <v>100</v>
      </c>
      <c r="T24" s="774" t="s">
        <v>17</v>
      </c>
      <c r="U24" s="775">
        <f>H24</f>
        <v>100</v>
      </c>
      <c r="V24" s="774" t="s">
        <v>17</v>
      </c>
      <c r="W24" s="775">
        <f>J24</f>
        <v>100</v>
      </c>
      <c r="X24" s="1812"/>
      <c r="Y24" s="3216"/>
      <c r="Z24" s="1813">
        <f>Q24</f>
        <v>111</v>
      </c>
      <c r="AA24" s="1810">
        <f t="shared" si="3"/>
        <v>1</v>
      </c>
      <c r="AB24" s="1810">
        <f t="shared" si="4"/>
        <v>1</v>
      </c>
      <c r="AC24" s="1810">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6"/>
      <c r="Q25" s="1794">
        <f t="shared" si="11"/>
        <v>111</v>
      </c>
      <c r="R25" s="770" t="s">
        <v>17</v>
      </c>
      <c r="S25" s="771">
        <f>F25</f>
        <v>100</v>
      </c>
      <c r="T25" s="770" t="s">
        <v>17</v>
      </c>
      <c r="U25" s="771">
        <f>H25</f>
        <v>100</v>
      </c>
      <c r="V25" s="770" t="s">
        <v>17</v>
      </c>
      <c r="W25" s="771">
        <f>J25</f>
        <v>100</v>
      </c>
      <c r="X25" s="772"/>
      <c r="Y25" s="3216"/>
      <c r="Z25" s="55">
        <f>Q25</f>
        <v>111</v>
      </c>
      <c r="AA25" s="1810">
        <f>D25/F25</f>
        <v>1</v>
      </c>
      <c r="AB25" s="1810">
        <f>D25/H25</f>
        <v>1</v>
      </c>
      <c r="AC25" s="1810">
        <f>D25/J25</f>
        <v>1</v>
      </c>
    </row>
    <row r="26" spans="1:29" ht="30">
      <c r="A26" s="466" t="s">
        <v>2550</v>
      </c>
      <c r="B26" s="71" t="s">
        <v>2701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9" t="s">
        <v>2552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0" t="s">
        <v>2552</v>
      </c>
      <c r="Z26" s="1813" t="str">
        <f t="shared" ref="Z26:Z34" si="15">Q26</f>
        <v>公共部分装修</v>
      </c>
      <c r="AA26" s="1810">
        <f t="shared" si="3"/>
        <v>1</v>
      </c>
      <c r="AB26" s="1810">
        <f t="shared" si="4"/>
        <v>1</v>
      </c>
      <c r="AC26" s="1810">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0" t="e">
        <f t="shared" si="3"/>
        <v>#N/A</v>
      </c>
      <c r="AB27" s="1810" t="e">
        <f t="shared" si="4"/>
        <v>#N/A</v>
      </c>
      <c r="AC27" s="1810"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0"/>
      <c r="Q28" s="1809" t="str">
        <f t="shared" si="11"/>
        <v>物业等级</v>
      </c>
      <c r="R28" s="774" t="s">
        <v>17</v>
      </c>
      <c r="S28" s="775">
        <f t="shared" si="12"/>
        <v>100</v>
      </c>
      <c r="T28" s="774" t="s">
        <v>17</v>
      </c>
      <c r="U28" s="775">
        <f t="shared" si="13"/>
        <v>100</v>
      </c>
      <c r="V28" s="774" t="s">
        <v>17</v>
      </c>
      <c r="W28" s="775">
        <f t="shared" si="14"/>
        <v>100</v>
      </c>
      <c r="X28" s="1812"/>
      <c r="Y28" s="3220"/>
      <c r="Z28" s="1813" t="str">
        <f t="shared" si="15"/>
        <v>物业等级</v>
      </c>
      <c r="AA28" s="1810">
        <f t="shared" si="3"/>
        <v>1</v>
      </c>
      <c r="AB28" s="1810">
        <f t="shared" si="4"/>
        <v>1</v>
      </c>
      <c r="AC28" s="1810">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0"/>
      <c r="Q29" s="1809" t="str">
        <f t="shared" si="11"/>
        <v>有无电梯</v>
      </c>
      <c r="R29" s="774" t="s">
        <v>17</v>
      </c>
      <c r="S29" s="775">
        <f t="shared" si="12"/>
        <v>100</v>
      </c>
      <c r="T29" s="774" t="s">
        <v>17</v>
      </c>
      <c r="U29" s="775">
        <f t="shared" si="13"/>
        <v>100</v>
      </c>
      <c r="V29" s="774" t="s">
        <v>17</v>
      </c>
      <c r="W29" s="775">
        <f t="shared" si="14"/>
        <v>100</v>
      </c>
      <c r="X29" s="1812"/>
      <c r="Y29" s="3220"/>
      <c r="Z29" s="1813" t="str">
        <f t="shared" si="15"/>
        <v>有无电梯</v>
      </c>
      <c r="AA29" s="1810">
        <f t="shared" si="3"/>
        <v>1</v>
      </c>
      <c r="AB29" s="1810">
        <f t="shared" si="4"/>
        <v>1</v>
      </c>
      <c r="AC29" s="1810">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0"/>
      <c r="Q30" s="1809" t="str">
        <f t="shared" si="11"/>
        <v>建筑面积</v>
      </c>
      <c r="R30" s="774" t="s">
        <v>17</v>
      </c>
      <c r="S30" s="775" t="e">
        <f t="shared" si="12"/>
        <v>#N/A</v>
      </c>
      <c r="T30" s="774" t="s">
        <v>17</v>
      </c>
      <c r="U30" s="775" t="e">
        <f t="shared" si="13"/>
        <v>#N/A</v>
      </c>
      <c r="V30" s="774" t="s">
        <v>17</v>
      </c>
      <c r="W30" s="775" t="e">
        <f t="shared" si="14"/>
        <v>#N/A</v>
      </c>
      <c r="X30" s="1812"/>
      <c r="Y30" s="3220"/>
      <c r="Z30" s="1813" t="str">
        <f t="shared" si="15"/>
        <v>建筑面积</v>
      </c>
      <c r="AA30" s="1810" t="e">
        <f t="shared" si="3"/>
        <v>#N/A</v>
      </c>
      <c r="AB30" s="1810" t="e">
        <f t="shared" si="4"/>
        <v>#N/A</v>
      </c>
      <c r="AC30" s="1810"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0"/>
      <c r="Q31" s="1794"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0" t="s">
        <v>2552</v>
      </c>
      <c r="Q32" s="1809">
        <f t="shared" si="11"/>
        <v>111</v>
      </c>
      <c r="R32" s="774" t="s">
        <v>17</v>
      </c>
      <c r="S32" s="775">
        <f t="shared" si="12"/>
        <v>100</v>
      </c>
      <c r="T32" s="774" t="s">
        <v>17</v>
      </c>
      <c r="U32" s="775">
        <f t="shared" si="13"/>
        <v>100</v>
      </c>
      <c r="V32" s="774" t="s">
        <v>17</v>
      </c>
      <c r="W32" s="775">
        <f t="shared" si="14"/>
        <v>100</v>
      </c>
      <c r="X32" s="1812"/>
      <c r="Y32" s="3220" t="s">
        <v>2552</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0"/>
      <c r="Q33" s="1809">
        <f t="shared" si="11"/>
        <v>111</v>
      </c>
      <c r="R33" s="774" t="s">
        <v>17</v>
      </c>
      <c r="S33" s="775">
        <f t="shared" si="12"/>
        <v>100</v>
      </c>
      <c r="T33" s="774" t="s">
        <v>17</v>
      </c>
      <c r="U33" s="775">
        <f t="shared" si="13"/>
        <v>100</v>
      </c>
      <c r="V33" s="774" t="s">
        <v>17</v>
      </c>
      <c r="W33" s="775">
        <f t="shared" si="14"/>
        <v>100</v>
      </c>
      <c r="X33" s="1812"/>
      <c r="Y33" s="3220"/>
      <c r="Z33" s="1813">
        <f t="shared" si="15"/>
        <v>111</v>
      </c>
      <c r="AA33" s="1810">
        <f t="shared" si="3"/>
        <v>1</v>
      </c>
      <c r="AB33" s="1810">
        <f t="shared" si="4"/>
        <v>1</v>
      </c>
      <c r="AC33" s="1810">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20"/>
      <c r="Q34" s="1809">
        <f t="shared" si="11"/>
        <v>111</v>
      </c>
      <c r="R34" s="774" t="s">
        <v>17</v>
      </c>
      <c r="S34" s="775">
        <f t="shared" si="12"/>
        <v>100</v>
      </c>
      <c r="T34" s="774" t="s">
        <v>17</v>
      </c>
      <c r="U34" s="775">
        <f t="shared" si="13"/>
        <v>100</v>
      </c>
      <c r="V34" s="774" t="s">
        <v>17</v>
      </c>
      <c r="W34" s="775">
        <f t="shared" si="14"/>
        <v>100</v>
      </c>
      <c r="X34" s="1812"/>
      <c r="Y34" s="3220"/>
      <c r="Z34" s="1813">
        <f t="shared" si="15"/>
        <v>111</v>
      </c>
      <c r="AA34" s="1810">
        <f t="shared" si="3"/>
        <v>1</v>
      </c>
      <c r="AB34" s="1810">
        <f t="shared" si="4"/>
        <v>1</v>
      </c>
      <c r="AC34" s="1810">
        <f t="shared" si="5"/>
        <v>1</v>
      </c>
    </row>
    <row r="35" spans="1:29" ht="14.4">
      <c r="A35" s="479" t="s">
        <v>2564</v>
      </c>
      <c r="B35" s="480"/>
      <c r="C35" s="1407" t="s">
        <v>1</v>
      </c>
      <c r="D35" s="1408"/>
      <c r="E35" s="1409"/>
      <c r="F35" s="1410"/>
      <c r="G35" s="1411"/>
      <c r="H35" s="1412"/>
      <c r="I35" s="1409"/>
      <c r="J35" s="1412"/>
      <c r="K35" s="783"/>
      <c r="L35" s="1143"/>
      <c r="M35" s="1144"/>
      <c r="N35" s="1131"/>
      <c r="O35" s="1144"/>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 thickBot="1">
      <c r="A36" s="486" t="s">
        <v>2656</v>
      </c>
      <c r="B36" s="487"/>
      <c r="C36" s="1413" t="e">
        <f>R37</f>
        <v>#DIV/0!</v>
      </c>
      <c r="D36" s="1414"/>
      <c r="E36" s="1415" t="e">
        <f>R36</f>
        <v>#DIV/0!</v>
      </c>
      <c r="F36" s="1415"/>
      <c r="G36" s="1413" t="e">
        <f>T36</f>
        <v>#DIV/0!</v>
      </c>
      <c r="H36" s="1414"/>
      <c r="I36" s="1415" t="e">
        <f>V36</f>
        <v>#DIV/0!</v>
      </c>
      <c r="J36" s="1414"/>
      <c r="K36" s="784"/>
      <c r="L36" s="1143"/>
      <c r="M36" s="1144"/>
      <c r="N36" s="1131"/>
      <c r="O36" s="1144"/>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 thickBot="1">
      <c r="A37" s="492" t="s">
        <v>2657</v>
      </c>
      <c r="B37" s="493"/>
      <c r="C37" s="1417" t="e">
        <f>R37</f>
        <v>#DIV/0!</v>
      </c>
      <c r="D37" s="1417"/>
      <c r="E37" s="1417"/>
      <c r="F37" s="1417"/>
      <c r="G37" s="1417"/>
      <c r="H37" s="1417"/>
      <c r="I37" s="1417"/>
      <c r="J37" s="1417"/>
      <c r="K37" s="785"/>
      <c r="L37" s="1143"/>
      <c r="M37" s="1144"/>
      <c r="N37" s="1144"/>
      <c r="O37" s="1144"/>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2661</v>
      </c>
      <c r="B45" s="759"/>
      <c r="C45" s="764"/>
      <c r="D45" s="764"/>
      <c r="E45" s="764"/>
      <c r="F45" s="765"/>
      <c r="G45" s="765"/>
      <c r="H45" s="764"/>
      <c r="I45" s="764"/>
      <c r="J45" s="764"/>
      <c r="K45" s="766"/>
      <c r="L45" s="767"/>
      <c r="M45" s="764"/>
      <c r="N45" s="764"/>
      <c r="O45" s="764"/>
      <c r="P45" s="503"/>
      <c r="Q45" s="504"/>
    </row>
    <row r="46" spans="1:29" s="508" customFormat="1" ht="14.4">
      <c r="A46" s="505" t="s">
        <v>2535</v>
      </c>
      <c r="B46" s="506"/>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2572</v>
      </c>
      <c r="B48" s="516"/>
      <c r="C48" s="517"/>
      <c r="D48" s="518"/>
      <c r="E48" s="518"/>
      <c r="F48" s="518"/>
      <c r="G48" s="518"/>
      <c r="H48" s="518"/>
      <c r="I48" s="518"/>
      <c r="J48" s="518"/>
      <c r="K48" s="518"/>
      <c r="L48" s="518"/>
      <c r="M48" s="519"/>
      <c r="N48" s="518"/>
      <c r="O48" s="520"/>
      <c r="P48" s="504"/>
      <c r="Q48" s="504"/>
    </row>
    <row r="49" spans="1:17" s="117" customFormat="1" ht="14.4">
      <c r="A49" s="521" t="s">
        <v>2537</v>
      </c>
      <c r="B49" s="510"/>
      <c r="C49" s="522" t="s">
        <v>2639</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2575</v>
      </c>
      <c r="B51" s="528" t="s">
        <v>2541</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2544</v>
      </c>
      <c r="C53" s="539" t="s">
        <v>2576</v>
      </c>
      <c r="D53" s="539" t="s">
        <v>2577</v>
      </c>
      <c r="E53" s="539" t="s">
        <v>2578</v>
      </c>
      <c r="F53" s="539" t="s">
        <v>2579</v>
      </c>
      <c r="G53" s="539" t="s">
        <v>2580</v>
      </c>
      <c r="H53" s="539" t="s">
        <v>2581</v>
      </c>
      <c r="I53" s="539" t="s">
        <v>2582</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2727</v>
      </c>
      <c r="C63" s="578" t="s">
        <v>2584</v>
      </c>
      <c r="D63" s="578" t="s">
        <v>2585</v>
      </c>
      <c r="E63" s="578" t="s">
        <v>2586</v>
      </c>
      <c r="F63" s="578" t="s">
        <v>2587</v>
      </c>
      <c r="G63" s="578" t="s">
        <v>2588</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2676</v>
      </c>
      <c r="C65" s="660" t="s">
        <v>2662</v>
      </c>
      <c r="D65" s="660" t="s">
        <v>2663</v>
      </c>
      <c r="E65" s="660" t="s">
        <v>2664</v>
      </c>
      <c r="F65" s="660" t="s">
        <v>2665</v>
      </c>
      <c r="G65" s="660" t="s">
        <v>2666</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2596</v>
      </c>
      <c r="C67" s="578" t="s">
        <v>2584</v>
      </c>
      <c r="D67" s="578" t="s">
        <v>2585</v>
      </c>
      <c r="E67" s="578" t="s">
        <v>2586</v>
      </c>
      <c r="F67" s="578" t="s">
        <v>2587</v>
      </c>
      <c r="G67" s="578" t="s">
        <v>2588</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2716</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2550</v>
      </c>
      <c r="B77" s="528" t="s">
        <v>2603</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2720</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2728</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2730</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70" zoomScaleNormal="70" workbookViewId="0">
      <selection activeCell="F46" sqref="F46"/>
    </sheetView>
  </sheetViews>
  <sheetFormatPr defaultColWidth="9" defaultRowHeight="13.8"/>
  <cols>
    <col min="1" max="1" width="14.33203125" style="403" customWidth="1"/>
    <col min="2" max="2" width="15.77734375" style="403" customWidth="1"/>
    <col min="3" max="3" width="17.33203125" style="403" customWidth="1"/>
    <col min="4" max="4" width="14.109375" style="403" customWidth="1"/>
    <col min="5" max="5" width="16.441406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f>F66</f>
        <v>54920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2316</v>
      </c>
      <c r="B3" s="609">
        <f>ROUND(IF(D3="",B2*10000/'数据-汇总表'!E3,B2*10000/D3),0)</f>
        <v>9555</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2632</v>
      </c>
      <c r="B4" s="402"/>
      <c r="C4" s="3196" t="s">
        <v>2633</v>
      </c>
      <c r="D4" s="3197"/>
      <c r="E4" s="3198" t="s">
        <v>2634</v>
      </c>
      <c r="F4" s="3199"/>
      <c r="G4" s="3196" t="s">
        <v>2635</v>
      </c>
      <c r="H4" s="3197"/>
      <c r="I4" s="3196" t="s">
        <v>2636</v>
      </c>
      <c r="J4" s="3197"/>
      <c r="K4" s="610" t="s">
        <v>2637</v>
      </c>
      <c r="L4" s="1130"/>
      <c r="M4" s="1131"/>
      <c r="N4" s="1131"/>
      <c r="O4" s="1131"/>
      <c r="P4" s="3200" t="s">
        <v>2638</v>
      </c>
      <c r="Q4" s="3201"/>
      <c r="R4" s="3183" t="s">
        <v>2634</v>
      </c>
      <c r="S4" s="3184"/>
      <c r="T4" s="3183" t="s">
        <v>2635</v>
      </c>
      <c r="U4" s="3184"/>
      <c r="V4" s="3208" t="s">
        <v>2636</v>
      </c>
      <c r="W4" s="3208"/>
      <c r="X4" s="1812"/>
      <c r="Y4" s="3183" t="s">
        <v>2638</v>
      </c>
      <c r="Z4" s="3184"/>
      <c r="AA4" s="3178" t="s">
        <v>2634</v>
      </c>
      <c r="AB4" s="3179" t="s">
        <v>2635</v>
      </c>
      <c r="AC4" s="3178" t="s">
        <v>2636</v>
      </c>
    </row>
    <row r="5" spans="1:30">
      <c r="A5" s="404"/>
      <c r="B5" s="405"/>
      <c r="C5" s="3240" t="str">
        <f>项目基本情况!F10</f>
        <v>海南省三亚市亚龙湾滨海路红树林度假酒店</v>
      </c>
      <c r="D5" s="3190"/>
      <c r="E5" s="3187" t="str">
        <f>土地案例!A3</f>
        <v>亚龙湾控规YL03-04-01地块</v>
      </c>
      <c r="F5" s="3188"/>
      <c r="G5" s="3189" t="str">
        <f>土地案例!A14</f>
        <v>三亚市海棠湾C2片区控规D-04地块</v>
      </c>
      <c r="H5" s="3190"/>
      <c r="I5" s="3189" t="str">
        <f>土地案例!A21</f>
        <v>槟榔河国际乡村文化旅游区控规B-3-7地块</v>
      </c>
      <c r="J5" s="3190"/>
      <c r="K5" s="610"/>
      <c r="L5" s="1130"/>
      <c r="M5" s="1131"/>
      <c r="N5" s="1131"/>
      <c r="O5" s="1131"/>
      <c r="P5" s="3202"/>
      <c r="Q5" s="3203"/>
      <c r="R5" s="3185"/>
      <c r="S5" s="3186"/>
      <c r="T5" s="3185"/>
      <c r="U5" s="3186"/>
      <c r="V5" s="3208"/>
      <c r="W5" s="3208"/>
      <c r="X5" s="1812"/>
      <c r="Y5" s="3185"/>
      <c r="Z5" s="3186"/>
      <c r="AA5" s="3179"/>
      <c r="AB5" s="3179"/>
      <c r="AC5" s="3179"/>
    </row>
    <row r="6" spans="1:30" ht="15" thickBot="1">
      <c r="A6" s="406"/>
      <c r="B6" s="407"/>
      <c r="C6" s="3241" t="s">
        <v>3527</v>
      </c>
      <c r="D6" s="3192"/>
      <c r="E6" s="3241" t="s">
        <v>3527</v>
      </c>
      <c r="F6" s="3192"/>
      <c r="G6" s="3241" t="s">
        <v>3528</v>
      </c>
      <c r="H6" s="3192"/>
      <c r="I6" s="3241" t="s">
        <v>3529</v>
      </c>
      <c r="J6" s="3192"/>
      <c r="K6" s="610" t="s">
        <v>2534</v>
      </c>
      <c r="L6" s="1130"/>
      <c r="M6" s="1131"/>
      <c r="N6" s="1131"/>
      <c r="O6" s="1131"/>
      <c r="P6" s="3204"/>
      <c r="Q6" s="3205"/>
      <c r="R6" s="3185"/>
      <c r="S6" s="3186"/>
      <c r="T6" s="3206"/>
      <c r="U6" s="3207"/>
      <c r="V6" s="3208"/>
      <c r="W6" s="3208"/>
      <c r="X6" s="1812"/>
      <c r="Y6" s="3206"/>
      <c r="Z6" s="3207"/>
      <c r="AA6" s="3180"/>
      <c r="AB6" s="3180"/>
      <c r="AC6" s="3180"/>
    </row>
    <row r="7" spans="1:30" s="117" customFormat="1" ht="15" thickBot="1">
      <c r="A7" s="408" t="s">
        <v>2535</v>
      </c>
      <c r="B7" s="409"/>
      <c r="C7" s="410">
        <f>'数据-取费表'!B2</f>
        <v>43768</v>
      </c>
      <c r="D7" s="411">
        <v>100</v>
      </c>
      <c r="E7" s="412" t="str">
        <f>土地案例!AA3</f>
        <v>2019-09-17</v>
      </c>
      <c r="F7" s="413">
        <f>SUMIF(70:70,YEAR(E7)&amp;"-"&amp;INT((MONTH(E7)+2)/3),71:71)</f>
        <v>99.5</v>
      </c>
      <c r="G7" s="2694" t="str">
        <f>土地案例!AA14</f>
        <v>2019-01-31</v>
      </c>
      <c r="H7" s="411">
        <f>SUMIF(70:70,YEAR(G7)&amp;"-"&amp;INT((MONTH(G7)+2)/3),71:71)</f>
        <v>98.5</v>
      </c>
      <c r="I7" s="2694" t="str">
        <f>土地案例!AA21</f>
        <v>2018-12-07</v>
      </c>
      <c r="J7" s="411">
        <f>SUMIF(70:70,YEAR(I7)&amp;"-"&amp;INT((MONTH(I7)+2)/3),71:71)</f>
        <v>98</v>
      </c>
      <c r="K7" s="611"/>
      <c r="L7" s="1132"/>
      <c r="M7" s="1133"/>
      <c r="N7" s="1133"/>
      <c r="O7" s="1133"/>
      <c r="P7" s="3181" t="s">
        <v>2536</v>
      </c>
      <c r="Q7" s="3209"/>
      <c r="R7" s="770" t="s">
        <v>17</v>
      </c>
      <c r="S7" s="771">
        <f t="shared" ref="S7:S15" si="0">F7</f>
        <v>99.5</v>
      </c>
      <c r="T7" s="770" t="s">
        <v>17</v>
      </c>
      <c r="U7" s="771">
        <f t="shared" ref="U7:U15" si="1">H7</f>
        <v>98.5</v>
      </c>
      <c r="V7" s="770" t="s">
        <v>17</v>
      </c>
      <c r="W7" s="771">
        <f t="shared" ref="W7:W15" si="2">J7</f>
        <v>98</v>
      </c>
      <c r="X7" s="772"/>
      <c r="Y7" s="3181" t="s">
        <v>2536</v>
      </c>
      <c r="Z7" s="3182"/>
      <c r="AA7" s="773">
        <f>D7/F7</f>
        <v>1.0050251256281406</v>
      </c>
      <c r="AB7" s="773">
        <f>D7/H7</f>
        <v>1.015228426395939</v>
      </c>
      <c r="AC7" s="773">
        <f>D7/J7</f>
        <v>1.0204081632653061</v>
      </c>
    </row>
    <row r="8" spans="1:30" s="117" customFormat="1" ht="15" thickBot="1">
      <c r="A8" s="408" t="s">
        <v>2537</v>
      </c>
      <c r="B8" s="409"/>
      <c r="C8" s="414" t="s">
        <v>2538</v>
      </c>
      <c r="D8" s="411">
        <v>100</v>
      </c>
      <c r="E8" s="414" t="s">
        <v>2538</v>
      </c>
      <c r="F8" s="413">
        <f>SUMIF(73:73,E8,74:74)-SUMIF(73:73,C8,74:74)+100</f>
        <v>100</v>
      </c>
      <c r="G8" s="414" t="s">
        <v>2538</v>
      </c>
      <c r="H8" s="411">
        <f>SUMIF(73:73,G8,74:74)-SUMIF(73:73,C8,74:74)+100</f>
        <v>100</v>
      </c>
      <c r="I8" s="414" t="s">
        <v>2538</v>
      </c>
      <c r="J8" s="411">
        <f>SUMIF(73:73,I8,74:74)-SUMIF(73:73,C8,74:74)+100</f>
        <v>100</v>
      </c>
      <c r="K8" s="611"/>
      <c r="L8" s="1132"/>
      <c r="M8" s="1133"/>
      <c r="N8" s="1133"/>
      <c r="O8" s="1133"/>
      <c r="P8" s="3181" t="s">
        <v>2539</v>
      </c>
      <c r="Q8" s="3182"/>
      <c r="R8" s="770" t="s">
        <v>17</v>
      </c>
      <c r="S8" s="771">
        <f t="shared" si="0"/>
        <v>100</v>
      </c>
      <c r="T8" s="770" t="s">
        <v>17</v>
      </c>
      <c r="U8" s="771">
        <f t="shared" si="1"/>
        <v>100</v>
      </c>
      <c r="V8" s="770" t="s">
        <v>17</v>
      </c>
      <c r="W8" s="771">
        <f t="shared" si="2"/>
        <v>100</v>
      </c>
      <c r="X8" s="772"/>
      <c r="Y8" s="3181" t="s">
        <v>2539</v>
      </c>
      <c r="Z8" s="3182"/>
      <c r="AA8" s="773">
        <f t="shared" ref="AA8:AA45" si="3">D8/F8</f>
        <v>1</v>
      </c>
      <c r="AB8" s="773">
        <f t="shared" ref="AB8:AB45" si="4">D8/H8</f>
        <v>1</v>
      </c>
      <c r="AC8" s="773">
        <f t="shared" ref="AC8:AC45" si="5">D8/J8</f>
        <v>1</v>
      </c>
    </row>
    <row r="9" spans="1:30" s="117" customFormat="1" ht="14.4">
      <c r="A9" s="415" t="s">
        <v>2540</v>
      </c>
      <c r="B9" s="71" t="s">
        <v>2541</v>
      </c>
      <c r="C9" s="2697" t="s">
        <v>3530</v>
      </c>
      <c r="D9" s="135">
        <v>100</v>
      </c>
      <c r="E9" s="2697" t="s">
        <v>3138</v>
      </c>
      <c r="F9" s="135">
        <f>SUMIF(75:75,E9,76:76)-SUMIF(75:75,C9,76:76)+100</f>
        <v>100</v>
      </c>
      <c r="G9" s="2697" t="s">
        <v>3224</v>
      </c>
      <c r="H9" s="135">
        <f>SUMIF(75:75,G9,76:76)-SUMIF(75:75,C9,76:76)+100</f>
        <v>100</v>
      </c>
      <c r="I9" s="2697" t="s">
        <v>3275</v>
      </c>
      <c r="J9" s="135">
        <f>SUMIF(75:75,I9,76:76)-SUMIF(75:75,C9,76:76)+100</f>
        <v>100</v>
      </c>
      <c r="K9" s="611"/>
      <c r="L9" s="1132"/>
      <c r="M9" s="1133"/>
      <c r="N9" s="1133"/>
      <c r="O9" s="1134"/>
      <c r="P9" s="3213" t="s">
        <v>2542</v>
      </c>
      <c r="Q9" s="1794" t="str">
        <f t="shared" ref="Q9:Q15" si="6">B9</f>
        <v>用途</v>
      </c>
      <c r="R9" s="770" t="s">
        <v>17</v>
      </c>
      <c r="S9" s="771">
        <f t="shared" si="0"/>
        <v>100</v>
      </c>
      <c r="T9" s="770" t="s">
        <v>17</v>
      </c>
      <c r="U9" s="771">
        <f t="shared" si="1"/>
        <v>100</v>
      </c>
      <c r="V9" s="770" t="s">
        <v>17</v>
      </c>
      <c r="W9" s="771">
        <f t="shared" si="2"/>
        <v>100</v>
      </c>
      <c r="X9" s="772"/>
      <c r="Y9" s="3028" t="s">
        <v>2543</v>
      </c>
      <c r="Z9" s="55" t="str">
        <f t="shared" ref="Z9:Z15" si="7">Q9</f>
        <v>用途</v>
      </c>
      <c r="AA9" s="773">
        <f t="shared" si="3"/>
        <v>1</v>
      </c>
      <c r="AB9" s="773">
        <f t="shared" si="4"/>
        <v>1</v>
      </c>
      <c r="AC9" s="773">
        <f t="shared" si="5"/>
        <v>1</v>
      </c>
    </row>
    <row r="10" spans="1:30" s="427" customFormat="1" ht="28.8">
      <c r="A10" s="421"/>
      <c r="B10" s="422" t="s">
        <v>2544</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13"/>
      <c r="Q10" s="1794" t="str">
        <f t="shared" si="6"/>
        <v>土地使用年限（年）</v>
      </c>
      <c r="R10" s="770" t="s">
        <v>17</v>
      </c>
      <c r="S10" s="771">
        <f t="shared" si="0"/>
        <v>113</v>
      </c>
      <c r="T10" s="770" t="s">
        <v>17</v>
      </c>
      <c r="U10" s="771">
        <f t="shared" si="1"/>
        <v>113</v>
      </c>
      <c r="V10" s="770" t="s">
        <v>17</v>
      </c>
      <c r="W10" s="771">
        <f t="shared" si="2"/>
        <v>113</v>
      </c>
      <c r="X10" s="772"/>
      <c r="Y10" s="3028"/>
      <c r="Z10" s="55" t="str">
        <f t="shared" si="7"/>
        <v>土地使用年限（年）</v>
      </c>
      <c r="AA10" s="773">
        <f t="shared" si="3"/>
        <v>0.88495575221238942</v>
      </c>
      <c r="AB10" s="773">
        <f t="shared" si="4"/>
        <v>0.88495575221238942</v>
      </c>
      <c r="AC10" s="773">
        <f t="shared" si="5"/>
        <v>0.88495575221238942</v>
      </c>
    </row>
    <row r="11" spans="1:30" ht="15.6" thickBot="1">
      <c r="A11" s="428"/>
      <c r="B11" s="422" t="s">
        <v>2545</v>
      </c>
      <c r="C11" s="429">
        <f>'数据-汇总表'!I6</f>
        <v>0.42</v>
      </c>
      <c r="D11" s="136">
        <v>100</v>
      </c>
      <c r="E11" s="429">
        <v>0.3</v>
      </c>
      <c r="F11" s="136">
        <f>LOOKUP(E11,80:80,81:81)-LOOKUP(C11,80:80,81:81)+100</f>
        <v>100</v>
      </c>
      <c r="G11" s="430">
        <v>0.4</v>
      </c>
      <c r="H11" s="136">
        <f>LOOKUP(G11,80:80,81:81)-LOOKUP(C11,80:80,81:81)+100</f>
        <v>100</v>
      </c>
      <c r="I11" s="429">
        <v>0.55000000000000004</v>
      </c>
      <c r="J11" s="136">
        <f>LOOKUP(I11,80:80,81:81)-LOOKUP(C11,80:80,81:81)+100</f>
        <v>100</v>
      </c>
      <c r="K11" s="673">
        <v>1</v>
      </c>
      <c r="L11" s="1138"/>
      <c r="M11" s="1131"/>
      <c r="N11" s="1131"/>
      <c r="O11" s="1139"/>
      <c r="P11" s="3213"/>
      <c r="Q11" s="1794" t="str">
        <f t="shared" si="6"/>
        <v>容积率</v>
      </c>
      <c r="R11" s="770" t="s">
        <v>17</v>
      </c>
      <c r="S11" s="771">
        <f t="shared" si="0"/>
        <v>100</v>
      </c>
      <c r="T11" s="770" t="s">
        <v>17</v>
      </c>
      <c r="U11" s="771">
        <f t="shared" si="1"/>
        <v>100</v>
      </c>
      <c r="V11" s="770" t="s">
        <v>17</v>
      </c>
      <c r="W11" s="771">
        <f t="shared" si="2"/>
        <v>100</v>
      </c>
      <c r="X11" s="772"/>
      <c r="Y11" s="3028"/>
      <c r="Z11" s="55" t="str">
        <f t="shared" si="7"/>
        <v>容积率</v>
      </c>
      <c r="AA11" s="773">
        <f t="shared" si="3"/>
        <v>1</v>
      </c>
      <c r="AB11" s="773">
        <f t="shared" si="4"/>
        <v>1</v>
      </c>
      <c r="AC11" s="773">
        <f t="shared" si="5"/>
        <v>1</v>
      </c>
    </row>
    <row r="12" spans="1:30" s="117" customFormat="1" ht="15" hidden="1">
      <c r="A12" s="431"/>
      <c r="B12" s="2598"/>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3"/>
      <c r="Q12" s="1794">
        <f t="shared" si="6"/>
        <v>0</v>
      </c>
      <c r="R12" s="770" t="s">
        <v>17</v>
      </c>
      <c r="S12" s="771">
        <f t="shared" si="0"/>
        <v>100</v>
      </c>
      <c r="T12" s="770" t="s">
        <v>17</v>
      </c>
      <c r="U12" s="771">
        <f t="shared" si="1"/>
        <v>100</v>
      </c>
      <c r="V12" s="770" t="s">
        <v>17</v>
      </c>
      <c r="W12" s="771">
        <f t="shared" si="2"/>
        <v>100</v>
      </c>
      <c r="X12" s="772"/>
      <c r="Y12" s="3028"/>
      <c r="Z12" s="55">
        <f t="shared" si="7"/>
        <v>0</v>
      </c>
      <c r="AA12" s="773">
        <f>D12/F12</f>
        <v>1</v>
      </c>
      <c r="AB12" s="773">
        <f>D12/H12</f>
        <v>1</v>
      </c>
      <c r="AC12" s="773">
        <f>D12/J12</f>
        <v>1</v>
      </c>
    </row>
    <row r="13" spans="1:30" ht="15" hidden="1">
      <c r="A13" s="428"/>
      <c r="B13" s="2598"/>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3"/>
      <c r="Q13" s="1794">
        <f t="shared" si="6"/>
        <v>0</v>
      </c>
      <c r="R13" s="770" t="s">
        <v>17</v>
      </c>
      <c r="S13" s="771">
        <f t="shared" si="0"/>
        <v>100</v>
      </c>
      <c r="T13" s="770" t="s">
        <v>17</v>
      </c>
      <c r="U13" s="771">
        <f t="shared" si="1"/>
        <v>100</v>
      </c>
      <c r="V13" s="770" t="s">
        <v>17</v>
      </c>
      <c r="W13" s="771">
        <f t="shared" si="2"/>
        <v>100</v>
      </c>
      <c r="X13" s="772"/>
      <c r="Y13" s="3028"/>
      <c r="Z13" s="55">
        <f t="shared" si="7"/>
        <v>0</v>
      </c>
      <c r="AA13" s="773">
        <f>D13/F13</f>
        <v>1</v>
      </c>
      <c r="AB13" s="773">
        <f>D13/H13</f>
        <v>1</v>
      </c>
      <c r="AC13" s="773">
        <f>D13/J13</f>
        <v>1</v>
      </c>
    </row>
    <row r="14" spans="1:30" ht="15.6" hidden="1" thickBot="1">
      <c r="A14" s="436"/>
      <c r="B14" s="2600"/>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3"/>
      <c r="Q14" s="1794">
        <f t="shared" si="6"/>
        <v>0</v>
      </c>
      <c r="R14" s="770" t="s">
        <v>17</v>
      </c>
      <c r="S14" s="771">
        <f t="shared" si="0"/>
        <v>100</v>
      </c>
      <c r="T14" s="770" t="s">
        <v>17</v>
      </c>
      <c r="U14" s="771">
        <f t="shared" si="1"/>
        <v>100</v>
      </c>
      <c r="V14" s="770" t="s">
        <v>17</v>
      </c>
      <c r="W14" s="771">
        <f t="shared" si="2"/>
        <v>100</v>
      </c>
      <c r="X14" s="772"/>
      <c r="Y14" s="3028"/>
      <c r="Z14" s="55">
        <f t="shared" si="7"/>
        <v>0</v>
      </c>
      <c r="AA14" s="773">
        <f>D14/F14</f>
        <v>1</v>
      </c>
      <c r="AB14" s="773">
        <f>D14/H14</f>
        <v>1</v>
      </c>
      <c r="AC14" s="773">
        <f>D14/J14</f>
        <v>1</v>
      </c>
    </row>
    <row r="15" spans="1:30" ht="15">
      <c r="A15" s="440" t="s">
        <v>2546</v>
      </c>
      <c r="B15" s="69" t="s">
        <v>2075</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5" t="s">
        <v>2547</v>
      </c>
      <c r="Q15" s="1809" t="str">
        <f t="shared" si="6"/>
        <v>居住社区成熟度</v>
      </c>
      <c r="R15" s="774" t="s">
        <v>17</v>
      </c>
      <c r="S15" s="775">
        <f t="shared" si="0"/>
        <v>100</v>
      </c>
      <c r="T15" s="774" t="s">
        <v>17</v>
      </c>
      <c r="U15" s="775">
        <f t="shared" si="1"/>
        <v>100</v>
      </c>
      <c r="V15" s="774" t="s">
        <v>17</v>
      </c>
      <c r="W15" s="775">
        <f t="shared" si="2"/>
        <v>100</v>
      </c>
      <c r="X15" s="1812"/>
      <c r="Y15" s="3215" t="s">
        <v>2547</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15">
      <c r="A17" s="428"/>
      <c r="B17" s="451" t="s">
        <v>2640</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5</v>
      </c>
      <c r="L17" s="1140"/>
      <c r="M17" s="1131"/>
      <c r="N17" s="1131"/>
      <c r="O17" s="1139"/>
      <c r="P17" s="3216"/>
      <c r="Q17" s="1809" t="str">
        <f>B17</f>
        <v>商业繁华度</v>
      </c>
      <c r="R17" s="774" t="s">
        <v>17</v>
      </c>
      <c r="S17" s="775">
        <f>F17</f>
        <v>100</v>
      </c>
      <c r="T17" s="774" t="s">
        <v>17</v>
      </c>
      <c r="U17" s="775">
        <f>H17</f>
        <v>100</v>
      </c>
      <c r="V17" s="774" t="s">
        <v>17</v>
      </c>
      <c r="W17" s="775">
        <f>J17</f>
        <v>100</v>
      </c>
      <c r="X17" s="1812"/>
      <c r="Y17" s="3216"/>
      <c r="Z17" s="1813" t="str">
        <f>Q17</f>
        <v>商业繁华度</v>
      </c>
      <c r="AA17" s="1810">
        <f t="shared" si="3"/>
        <v>1</v>
      </c>
      <c r="AB17" s="1810">
        <f t="shared" si="4"/>
        <v>1</v>
      </c>
      <c r="AC17" s="1810">
        <f t="shared" si="5"/>
        <v>1</v>
      </c>
    </row>
    <row r="18" spans="1:29" ht="15">
      <c r="A18" s="428"/>
      <c r="B18" s="456"/>
      <c r="C18" s="2606" t="s">
        <v>3536</v>
      </c>
      <c r="D18" s="450"/>
      <c r="E18" s="2606" t="s">
        <v>3536</v>
      </c>
      <c r="F18" s="450"/>
      <c r="G18" s="2606" t="s">
        <v>3536</v>
      </c>
      <c r="H18" s="448"/>
      <c r="I18" s="2606" t="s">
        <v>3536</v>
      </c>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15">
      <c r="A19" s="428"/>
      <c r="B19" s="451" t="s">
        <v>2674</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6"/>
      <c r="Q19" s="1809" t="str">
        <f>B19</f>
        <v>办公集聚程度</v>
      </c>
      <c r="R19" s="774" t="s">
        <v>17</v>
      </c>
      <c r="S19" s="775">
        <f>F19</f>
        <v>100</v>
      </c>
      <c r="T19" s="774" t="s">
        <v>17</v>
      </c>
      <c r="U19" s="775">
        <f>H19</f>
        <v>100</v>
      </c>
      <c r="V19" s="774" t="s">
        <v>17</v>
      </c>
      <c r="W19" s="775">
        <f>J19</f>
        <v>100</v>
      </c>
      <c r="X19" s="1812"/>
      <c r="Y19" s="3216"/>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216"/>
      <c r="Q20" s="1809"/>
      <c r="R20" s="774"/>
      <c r="S20" s="775"/>
      <c r="T20" s="774"/>
      <c r="U20" s="775"/>
      <c r="V20" s="774"/>
      <c r="W20" s="775"/>
      <c r="X20" s="1812"/>
      <c r="Y20" s="3216"/>
      <c r="Z20" s="1813"/>
      <c r="AA20" s="1810">
        <v>1</v>
      </c>
      <c r="AB20" s="1810">
        <v>1</v>
      </c>
      <c r="AC20" s="1810">
        <v>1</v>
      </c>
    </row>
    <row r="21" spans="1:29" ht="15">
      <c r="A21" s="428"/>
      <c r="B21" s="451" t="s">
        <v>2696</v>
      </c>
      <c r="C21" s="260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16"/>
      <c r="Q21" s="1809" t="str">
        <f>B21</f>
        <v>交通便捷度</v>
      </c>
      <c r="R21" s="774" t="s">
        <v>17</v>
      </c>
      <c r="S21" s="775">
        <f>F21</f>
        <v>100</v>
      </c>
      <c r="T21" s="774" t="s">
        <v>17</v>
      </c>
      <c r="U21" s="775">
        <f>H21</f>
        <v>100</v>
      </c>
      <c r="V21" s="774" t="s">
        <v>17</v>
      </c>
      <c r="W21" s="775">
        <f>J21</f>
        <v>100</v>
      </c>
      <c r="X21" s="1812"/>
      <c r="Y21" s="3216"/>
      <c r="Z21" s="1813" t="str">
        <f>Q21</f>
        <v>交通便捷度</v>
      </c>
      <c r="AA21" s="1810">
        <f t="shared" si="3"/>
        <v>1</v>
      </c>
      <c r="AB21" s="1810">
        <f t="shared" si="4"/>
        <v>1</v>
      </c>
      <c r="AC21" s="1810">
        <f t="shared" si="5"/>
        <v>1</v>
      </c>
    </row>
    <row r="22" spans="1:29" ht="15">
      <c r="A22" s="428"/>
      <c r="B22" s="1384"/>
      <c r="C22" s="447" t="s">
        <v>3536</v>
      </c>
      <c r="D22" s="450"/>
      <c r="E22" s="447" t="s">
        <v>3536</v>
      </c>
      <c r="F22" s="448"/>
      <c r="G22" s="447" t="s">
        <v>3536</v>
      </c>
      <c r="H22" s="448"/>
      <c r="I22" s="447" t="s">
        <v>3536</v>
      </c>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ht="28.8">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216"/>
      <c r="Q23" s="1809" t="str">
        <f t="shared" ref="Q23:Q37" si="8">B23</f>
        <v>区域土地利用方向</v>
      </c>
      <c r="R23" s="774" t="s">
        <v>17</v>
      </c>
      <c r="S23" s="775">
        <f>F23</f>
        <v>100</v>
      </c>
      <c r="T23" s="774" t="s">
        <v>17</v>
      </c>
      <c r="U23" s="775">
        <f>H23</f>
        <v>100</v>
      </c>
      <c r="V23" s="774" t="s">
        <v>17</v>
      </c>
      <c r="W23" s="775">
        <f>J23</f>
        <v>100</v>
      </c>
      <c r="X23" s="1812"/>
      <c r="Y23" s="3216"/>
      <c r="Z23" s="1813" t="str">
        <f>Q23</f>
        <v>区域土地利用方向</v>
      </c>
      <c r="AA23" s="1810">
        <f t="shared" si="3"/>
        <v>1</v>
      </c>
      <c r="AB23" s="1810">
        <f t="shared" si="4"/>
        <v>1</v>
      </c>
      <c r="AC23" s="1810">
        <f t="shared" si="5"/>
        <v>1</v>
      </c>
    </row>
    <row r="24" spans="1:29" ht="15">
      <c r="A24" s="404"/>
      <c r="B24" s="456"/>
      <c r="C24" s="616" t="s">
        <v>3536</v>
      </c>
      <c r="D24" s="448"/>
      <c r="E24" s="616" t="s">
        <v>3536</v>
      </c>
      <c r="F24" s="448"/>
      <c r="G24" s="616" t="s">
        <v>3536</v>
      </c>
      <c r="H24" s="448"/>
      <c r="I24" s="616" t="s">
        <v>3536</v>
      </c>
      <c r="J24" s="448"/>
      <c r="K24" s="812"/>
      <c r="L24" s="1140"/>
      <c r="M24" s="1131"/>
      <c r="N24" s="1131"/>
      <c r="O24" s="1139"/>
      <c r="P24" s="3216"/>
      <c r="Q24" s="1809"/>
      <c r="R24" s="774"/>
      <c r="S24" s="775"/>
      <c r="T24" s="774"/>
      <c r="U24" s="775"/>
      <c r="V24" s="774"/>
      <c r="W24" s="775"/>
      <c r="X24" s="1812"/>
      <c r="Y24" s="3216"/>
      <c r="Z24" s="1813"/>
      <c r="AA24" s="1810"/>
      <c r="AB24" s="1810"/>
      <c r="AC24" s="1810"/>
    </row>
    <row r="25" spans="1:29" ht="28.8">
      <c r="A25" s="404"/>
      <c r="B25" s="1384" t="s">
        <v>2735</v>
      </c>
      <c r="C25" s="266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16"/>
      <c r="Q25" s="1809" t="str">
        <f t="shared" si="8"/>
        <v>自然及人文环境状况</v>
      </c>
      <c r="R25" s="774" t="s">
        <v>17</v>
      </c>
      <c r="S25" s="775">
        <f>F25</f>
        <v>100</v>
      </c>
      <c r="T25" s="774" t="s">
        <v>17</v>
      </c>
      <c r="U25" s="775">
        <f>H25</f>
        <v>100</v>
      </c>
      <c r="V25" s="774" t="s">
        <v>17</v>
      </c>
      <c r="W25" s="775">
        <f>J25</f>
        <v>100</v>
      </c>
      <c r="X25" s="1812"/>
      <c r="Y25" s="3216"/>
      <c r="Z25" s="1813" t="str">
        <f>Q25</f>
        <v>自然及人文环境状况</v>
      </c>
      <c r="AA25" s="1810">
        <f t="shared" si="3"/>
        <v>1</v>
      </c>
      <c r="AB25" s="1810">
        <f t="shared" si="4"/>
        <v>1</v>
      </c>
      <c r="AC25" s="1810">
        <f t="shared" si="5"/>
        <v>1</v>
      </c>
    </row>
    <row r="26" spans="1:29" ht="15">
      <c r="A26" s="404"/>
      <c r="B26" s="456"/>
      <c r="C26" s="447" t="s">
        <v>3536</v>
      </c>
      <c r="D26" s="448"/>
      <c r="E26" s="447" t="s">
        <v>3536</v>
      </c>
      <c r="F26" s="448"/>
      <c r="G26" s="447" t="s">
        <v>3536</v>
      </c>
      <c r="H26" s="448"/>
      <c r="I26" s="447" t="s">
        <v>3536</v>
      </c>
      <c r="J26" s="448"/>
      <c r="K26" s="672"/>
      <c r="L26" s="1140"/>
      <c r="M26" s="1131"/>
      <c r="N26" s="1131"/>
      <c r="O26" s="1139"/>
      <c r="P26" s="3216"/>
      <c r="Q26" s="1809"/>
      <c r="R26" s="774"/>
      <c r="S26" s="775"/>
      <c r="T26" s="774"/>
      <c r="U26" s="775"/>
      <c r="V26" s="774"/>
      <c r="W26" s="775"/>
      <c r="X26" s="1812"/>
      <c r="Y26" s="3216"/>
      <c r="Z26" s="1813"/>
      <c r="AA26" s="1810">
        <v>1</v>
      </c>
      <c r="AB26" s="1810">
        <v>1</v>
      </c>
      <c r="AC26" s="1810">
        <v>1</v>
      </c>
    </row>
    <row r="27" spans="1:29" s="117" customFormat="1" ht="15">
      <c r="A27" s="649"/>
      <c r="B27" s="1384" t="s">
        <v>2641</v>
      </c>
      <c r="C27" s="260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16"/>
      <c r="Q27" s="1794" t="str">
        <f t="shared" si="8"/>
        <v>公共配套设施</v>
      </c>
      <c r="R27" s="770" t="s">
        <v>17</v>
      </c>
      <c r="S27" s="771">
        <f>F27</f>
        <v>100</v>
      </c>
      <c r="T27" s="770" t="s">
        <v>17</v>
      </c>
      <c r="U27" s="771">
        <f>H27</f>
        <v>100</v>
      </c>
      <c r="V27" s="770" t="s">
        <v>17</v>
      </c>
      <c r="W27" s="771">
        <f>J27</f>
        <v>100</v>
      </c>
      <c r="X27" s="772"/>
      <c r="Y27" s="3216"/>
      <c r="Z27" s="55" t="str">
        <f>Q27</f>
        <v>公共配套设施</v>
      </c>
      <c r="AA27" s="1810">
        <f>D27/F27</f>
        <v>1</v>
      </c>
      <c r="AB27" s="1810">
        <f>D27/H27</f>
        <v>1</v>
      </c>
      <c r="AC27" s="1810">
        <f>D27/J27</f>
        <v>1</v>
      </c>
    </row>
    <row r="28" spans="1:29" s="117" customFormat="1" ht="15">
      <c r="A28" s="649"/>
      <c r="B28" s="456"/>
      <c r="C28" s="2698" t="s">
        <v>3544</v>
      </c>
      <c r="D28" s="448"/>
      <c r="E28" s="2698" t="s">
        <v>3544</v>
      </c>
      <c r="F28" s="448"/>
      <c r="G28" s="2698" t="s">
        <v>3544</v>
      </c>
      <c r="H28" s="448"/>
      <c r="I28" s="2698" t="s">
        <v>3544</v>
      </c>
      <c r="J28" s="448"/>
      <c r="K28" s="672"/>
      <c r="L28" s="1132"/>
      <c r="M28" s="1133"/>
      <c r="N28" s="1133"/>
      <c r="O28" s="1134"/>
      <c r="P28" s="3216"/>
      <c r="Q28" s="1794"/>
      <c r="R28" s="770"/>
      <c r="S28" s="771"/>
      <c r="T28" s="770"/>
      <c r="U28" s="771"/>
      <c r="V28" s="770"/>
      <c r="W28" s="771"/>
      <c r="X28" s="772"/>
      <c r="Y28" s="3216"/>
      <c r="Z28" s="55"/>
      <c r="AA28" s="1810">
        <v>1</v>
      </c>
      <c r="AB28" s="1810">
        <v>1</v>
      </c>
      <c r="AC28" s="1810">
        <v>1</v>
      </c>
    </row>
    <row r="29" spans="1:29" s="117" customFormat="1" ht="15">
      <c r="A29" s="649"/>
      <c r="B29" s="1384" t="s">
        <v>2642</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16"/>
      <c r="Q29" s="1794"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0">
        <f>D29/F29</f>
        <v>1</v>
      </c>
      <c r="AB29" s="1810">
        <f>D29/H29</f>
        <v>1</v>
      </c>
      <c r="AC29" s="1810">
        <f>D29/J29</f>
        <v>1</v>
      </c>
    </row>
    <row r="30" spans="1:29" s="117" customFormat="1" ht="15">
      <c r="A30" s="649"/>
      <c r="B30" s="456"/>
      <c r="C30" s="2698" t="s">
        <v>3538</v>
      </c>
      <c r="D30" s="448"/>
      <c r="E30" s="2698" t="s">
        <v>3538</v>
      </c>
      <c r="F30" s="448"/>
      <c r="G30" s="2698" t="s">
        <v>3538</v>
      </c>
      <c r="H30" s="448"/>
      <c r="I30" s="2698" t="s">
        <v>3538</v>
      </c>
      <c r="J30" s="448"/>
      <c r="K30" s="672"/>
      <c r="L30" s="1132"/>
      <c r="M30" s="1133"/>
      <c r="N30" s="1133"/>
      <c r="O30" s="1134"/>
      <c r="P30" s="3216"/>
      <c r="Q30" s="1794"/>
      <c r="R30" s="770"/>
      <c r="S30" s="771"/>
      <c r="T30" s="770"/>
      <c r="U30" s="771"/>
      <c r="V30" s="770"/>
      <c r="W30" s="771"/>
      <c r="X30" s="772"/>
      <c r="Y30" s="3216"/>
      <c r="Z30" s="55"/>
      <c r="AA30" s="1810">
        <v>1</v>
      </c>
      <c r="AB30" s="1810">
        <v>1</v>
      </c>
      <c r="AC30" s="1810">
        <v>1</v>
      </c>
    </row>
    <row r="31" spans="1:29" ht="15">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6"/>
      <c r="Z31" s="1813" t="str">
        <f t="shared" ref="Z31:Z45" si="13">Q31</f>
        <v>临街状况</v>
      </c>
      <c r="AA31" s="1810">
        <f t="shared" si="3"/>
        <v>1</v>
      </c>
      <c r="AB31" s="1810">
        <f t="shared" si="4"/>
        <v>1</v>
      </c>
      <c r="AC31" s="1810">
        <f t="shared" si="5"/>
        <v>1</v>
      </c>
    </row>
    <row r="32" spans="1:29" ht="28.8">
      <c r="A32" s="428"/>
      <c r="B32" s="1384"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6"/>
      <c r="Q32" s="1809" t="str">
        <f t="shared" si="8"/>
        <v>毗邻道路的类型与等级</v>
      </c>
      <c r="R32" s="774" t="s">
        <v>17</v>
      </c>
      <c r="S32" s="775">
        <f t="shared" si="10"/>
        <v>100</v>
      </c>
      <c r="T32" s="774" t="s">
        <v>17</v>
      </c>
      <c r="U32" s="775">
        <f t="shared" si="11"/>
        <v>100</v>
      </c>
      <c r="V32" s="774" t="s">
        <v>17</v>
      </c>
      <c r="W32" s="775">
        <f t="shared" si="12"/>
        <v>100</v>
      </c>
      <c r="X32" s="1812"/>
      <c r="Y32" s="3216"/>
      <c r="Z32" s="1813" t="str">
        <f t="shared" si="13"/>
        <v>毗邻道路的类型与等级</v>
      </c>
      <c r="AA32" s="1810">
        <f t="shared" si="3"/>
        <v>1</v>
      </c>
      <c r="AB32" s="1810">
        <f t="shared" si="4"/>
        <v>1</v>
      </c>
      <c r="AC32" s="1810">
        <f t="shared" si="5"/>
        <v>1</v>
      </c>
    </row>
    <row r="33" spans="1:29" ht="15.6" thickBot="1">
      <c r="A33" s="428"/>
      <c r="B33" s="456"/>
      <c r="C33" s="447"/>
      <c r="D33" s="448"/>
      <c r="E33" s="2609"/>
      <c r="F33" s="448"/>
      <c r="G33" s="2609"/>
      <c r="H33" s="448"/>
      <c r="I33" s="447"/>
      <c r="J33" s="448"/>
      <c r="K33" s="613"/>
      <c r="L33" s="1140"/>
      <c r="M33" s="1131"/>
      <c r="N33" s="1131"/>
      <c r="O33" s="1139"/>
      <c r="P33" s="3216"/>
      <c r="Q33" s="1809"/>
      <c r="R33" s="774"/>
      <c r="S33" s="775"/>
      <c r="T33" s="774"/>
      <c r="U33" s="775"/>
      <c r="V33" s="774"/>
      <c r="W33" s="775"/>
      <c r="X33" s="1812"/>
      <c r="Y33" s="3216"/>
      <c r="Z33" s="1813"/>
      <c r="AA33" s="1810">
        <v>1</v>
      </c>
      <c r="AB33" s="1810">
        <v>1</v>
      </c>
      <c r="AC33" s="1810">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6"/>
      <c r="Q34" s="1809" t="str">
        <f t="shared" si="8"/>
        <v>土地级别</v>
      </c>
      <c r="R34" s="774" t="s">
        <v>17</v>
      </c>
      <c r="S34" s="775">
        <f t="shared" si="10"/>
        <v>100</v>
      </c>
      <c r="T34" s="774" t="s">
        <v>17</v>
      </c>
      <c r="U34" s="775">
        <f t="shared" si="11"/>
        <v>100</v>
      </c>
      <c r="V34" s="774" t="s">
        <v>17</v>
      </c>
      <c r="W34" s="775">
        <f t="shared" si="12"/>
        <v>100</v>
      </c>
      <c r="X34" s="1812"/>
      <c r="Y34" s="3216"/>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6"/>
      <c r="Q35" s="1809">
        <f t="shared" si="8"/>
        <v>111</v>
      </c>
      <c r="R35" s="774" t="s">
        <v>17</v>
      </c>
      <c r="S35" s="775">
        <f t="shared" si="10"/>
        <v>100</v>
      </c>
      <c r="T35" s="774" t="s">
        <v>17</v>
      </c>
      <c r="U35" s="775">
        <f t="shared" si="11"/>
        <v>100</v>
      </c>
      <c r="V35" s="774" t="s">
        <v>17</v>
      </c>
      <c r="W35" s="775">
        <f t="shared" si="12"/>
        <v>100</v>
      </c>
      <c r="X35" s="1812"/>
      <c r="Y35" s="3216"/>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9" t="s">
        <v>2552</v>
      </c>
      <c r="Q36" s="1809">
        <f t="shared" si="8"/>
        <v>111</v>
      </c>
      <c r="R36" s="774" t="s">
        <v>17</v>
      </c>
      <c r="S36" s="775">
        <f t="shared" si="10"/>
        <v>100</v>
      </c>
      <c r="T36" s="774" t="s">
        <v>17</v>
      </c>
      <c r="U36" s="775">
        <f t="shared" si="11"/>
        <v>100</v>
      </c>
      <c r="V36" s="774" t="s">
        <v>17</v>
      </c>
      <c r="W36" s="775">
        <f t="shared" si="12"/>
        <v>100</v>
      </c>
      <c r="X36" s="1812"/>
      <c r="Y36" s="3220" t="s">
        <v>2552</v>
      </c>
      <c r="Z36" s="1813">
        <f t="shared" si="13"/>
        <v>111</v>
      </c>
      <c r="AA36" s="1810">
        <f t="shared" si="3"/>
        <v>1</v>
      </c>
      <c r="AB36" s="1810">
        <f t="shared" si="4"/>
        <v>1</v>
      </c>
      <c r="AC36" s="1810">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0"/>
      <c r="Q37" s="1809">
        <f t="shared" si="8"/>
        <v>111</v>
      </c>
      <c r="R37" s="777" t="s">
        <v>17</v>
      </c>
      <c r="S37" s="778">
        <f t="shared" si="10"/>
        <v>100</v>
      </c>
      <c r="T37" s="777" t="s">
        <v>17</v>
      </c>
      <c r="U37" s="778">
        <f t="shared" si="11"/>
        <v>100</v>
      </c>
      <c r="V37" s="777" t="s">
        <v>17</v>
      </c>
      <c r="W37" s="778">
        <f t="shared" si="12"/>
        <v>100</v>
      </c>
      <c r="X37" s="779"/>
      <c r="Y37" s="3220"/>
      <c r="Z37" s="780">
        <f t="shared" si="13"/>
        <v>111</v>
      </c>
      <c r="AA37" s="1810">
        <f t="shared" si="3"/>
        <v>1</v>
      </c>
      <c r="AB37" s="1810">
        <f t="shared" si="4"/>
        <v>1</v>
      </c>
      <c r="AC37" s="1810">
        <f t="shared" si="5"/>
        <v>1</v>
      </c>
    </row>
    <row r="38" spans="1:29" ht="15.6">
      <c r="A38" s="472" t="s">
        <v>2550</v>
      </c>
      <c r="B38" s="456" t="s">
        <v>2737</v>
      </c>
      <c r="C38" s="679">
        <f>'数据-基础表'!A3</f>
        <v>99999.9</v>
      </c>
      <c r="D38" s="467">
        <v>100</v>
      </c>
      <c r="E38" s="679">
        <f>土地案例!J3</f>
        <v>79071.62</v>
      </c>
      <c r="F38" s="467">
        <f>LOOKUP(E38,117:117,118:118)-LOOKUP(C38,117:117,118:118)+100</f>
        <v>99</v>
      </c>
      <c r="G38" s="679">
        <f>土地案例!K14</f>
        <v>1146.08</v>
      </c>
      <c r="H38" s="467">
        <f>LOOKUP(G38,117:117,118:118)-LOOKUP(C38,117:117,118:118)+100</f>
        <v>96</v>
      </c>
      <c r="I38" s="530">
        <f>土地案例!K21</f>
        <v>36331.86</v>
      </c>
      <c r="J38" s="467">
        <f>LOOKUP(I38,117:117,118:118)-LOOKUP(C38,117:117,118:118)+100</f>
        <v>97</v>
      </c>
      <c r="K38" s="613"/>
      <c r="L38" s="1140"/>
      <c r="M38" s="1131"/>
      <c r="N38" s="1131"/>
      <c r="O38" s="1139"/>
      <c r="P38" s="3220"/>
      <c r="Q38" s="1809" t="str">
        <f>B38</f>
        <v>宗地面积</v>
      </c>
      <c r="R38" s="774" t="s">
        <v>17</v>
      </c>
      <c r="S38" s="775">
        <f t="shared" si="10"/>
        <v>99</v>
      </c>
      <c r="T38" s="774" t="s">
        <v>17</v>
      </c>
      <c r="U38" s="775">
        <f t="shared" si="11"/>
        <v>96</v>
      </c>
      <c r="V38" s="774" t="s">
        <v>17</v>
      </c>
      <c r="W38" s="775">
        <f t="shared" si="12"/>
        <v>97</v>
      </c>
      <c r="X38" s="1812"/>
      <c r="Y38" s="3220"/>
      <c r="Z38" s="1813" t="str">
        <f t="shared" si="13"/>
        <v>宗地面积</v>
      </c>
      <c r="AA38" s="1810">
        <f t="shared" si="3"/>
        <v>1.0101010101010102</v>
      </c>
      <c r="AB38" s="1810">
        <f t="shared" si="4"/>
        <v>1.0416666666666667</v>
      </c>
      <c r="AC38" s="1810">
        <f t="shared" si="5"/>
        <v>1.0309278350515463</v>
      </c>
    </row>
    <row r="39" spans="1:29" ht="15">
      <c r="A39" s="472"/>
      <c r="B39" s="422" t="s">
        <v>2738</v>
      </c>
      <c r="C39" s="2611" t="s">
        <v>3553</v>
      </c>
      <c r="D39" s="435">
        <v>100</v>
      </c>
      <c r="E39" s="2611" t="s">
        <v>3555</v>
      </c>
      <c r="F39" s="435">
        <f>SUMIF(119:119,E39,120:120)-SUMIF(119:119,C39,120:120)+100</f>
        <v>98</v>
      </c>
      <c r="G39" s="2611" t="s">
        <v>3555</v>
      </c>
      <c r="H39" s="435">
        <f>SUMIF(119:119,G39,120:120)-SUMIF(119:119,C39,120:120)+100</f>
        <v>98</v>
      </c>
      <c r="I39" s="2611" t="s">
        <v>3555</v>
      </c>
      <c r="J39" s="435">
        <f>SUMIF(119:119,I39,120:120)-SUMIF(119:119,C39,120:120)+100</f>
        <v>98</v>
      </c>
      <c r="K39" s="612">
        <v>2</v>
      </c>
      <c r="L39" s="1140"/>
      <c r="M39" s="1131"/>
      <c r="N39" s="1131"/>
      <c r="O39" s="1139"/>
      <c r="P39" s="3220"/>
      <c r="Q39" s="1809" t="str">
        <f t="shared" ref="Q39:Q45" si="14">B39</f>
        <v>宗地形状</v>
      </c>
      <c r="R39" s="774" t="s">
        <v>17</v>
      </c>
      <c r="S39" s="775">
        <f t="shared" si="10"/>
        <v>98</v>
      </c>
      <c r="T39" s="774" t="s">
        <v>17</v>
      </c>
      <c r="U39" s="775">
        <f t="shared" si="11"/>
        <v>98</v>
      </c>
      <c r="V39" s="774" t="s">
        <v>17</v>
      </c>
      <c r="W39" s="775">
        <f t="shared" si="12"/>
        <v>98</v>
      </c>
      <c r="X39" s="1812"/>
      <c r="Y39" s="3220"/>
      <c r="Z39" s="1813" t="str">
        <f t="shared" si="13"/>
        <v>宗地形状</v>
      </c>
      <c r="AA39" s="1810">
        <f t="shared" si="3"/>
        <v>1.0204081632653061</v>
      </c>
      <c r="AB39" s="1810">
        <f t="shared" si="4"/>
        <v>1.0204081632653061</v>
      </c>
      <c r="AC39" s="1810">
        <f t="shared" si="5"/>
        <v>1.0204081632653061</v>
      </c>
    </row>
    <row r="40" spans="1:29" ht="15">
      <c r="A40" s="472"/>
      <c r="B40" s="422" t="s">
        <v>2739</v>
      </c>
      <c r="C40" s="2611" t="s">
        <v>3549</v>
      </c>
      <c r="D40" s="435">
        <v>100</v>
      </c>
      <c r="E40" s="2611" t="s">
        <v>3549</v>
      </c>
      <c r="F40" s="435">
        <f>SUMIF(121:121,E40,122:122)-SUMIF(121:121,C40,122:122)+100</f>
        <v>100</v>
      </c>
      <c r="G40" s="2611" t="s">
        <v>3549</v>
      </c>
      <c r="H40" s="435">
        <f>SUMIF(121:121,G40,122:122)-SUMIF(121:121,C40,122:122)+100</f>
        <v>100</v>
      </c>
      <c r="I40" s="2611" t="s">
        <v>3549</v>
      </c>
      <c r="J40" s="435">
        <f>SUMIF(121:121,I40,122:122)-SUMIF(121:121,C40,122:122)+100</f>
        <v>100</v>
      </c>
      <c r="K40" s="612">
        <v>2</v>
      </c>
      <c r="L40" s="1140"/>
      <c r="M40" s="1131"/>
      <c r="N40" s="1131"/>
      <c r="O40" s="1139"/>
      <c r="P40" s="3220"/>
      <c r="Q40" s="1809" t="str">
        <f t="shared" si="14"/>
        <v>临街宽度及深度</v>
      </c>
      <c r="R40" s="774" t="s">
        <v>17</v>
      </c>
      <c r="S40" s="775">
        <f t="shared" si="10"/>
        <v>100</v>
      </c>
      <c r="T40" s="774" t="s">
        <v>17</v>
      </c>
      <c r="U40" s="775">
        <f t="shared" si="11"/>
        <v>100</v>
      </c>
      <c r="V40" s="774" t="s">
        <v>17</v>
      </c>
      <c r="W40" s="775">
        <f t="shared" si="12"/>
        <v>100</v>
      </c>
      <c r="X40" s="1812"/>
      <c r="Y40" s="3220"/>
      <c r="Z40" s="1813" t="str">
        <f t="shared" si="13"/>
        <v>临街宽度及深度</v>
      </c>
      <c r="AA40" s="1810">
        <f t="shared" si="3"/>
        <v>1</v>
      </c>
      <c r="AB40" s="1810">
        <f t="shared" si="4"/>
        <v>1</v>
      </c>
      <c r="AC40" s="1810">
        <f t="shared" si="5"/>
        <v>1</v>
      </c>
    </row>
    <row r="41" spans="1:29" s="117" customFormat="1" ht="15">
      <c r="A41" s="473"/>
      <c r="B41" s="422" t="s">
        <v>2740</v>
      </c>
      <c r="C41" s="2700" t="s">
        <v>3538</v>
      </c>
      <c r="D41" s="136">
        <v>100</v>
      </c>
      <c r="E41" s="2700" t="s">
        <v>3538</v>
      </c>
      <c r="F41" s="435">
        <f>SUMIF(123:123,E41,124:124)-SUMIF(123:123,C41,124:124)+100</f>
        <v>100</v>
      </c>
      <c r="G41" s="2700" t="s">
        <v>3538</v>
      </c>
      <c r="H41" s="435">
        <f>SUMIF(123:123,G41,124:124)-SUMIF(123:123,C41,124:124)+100</f>
        <v>100</v>
      </c>
      <c r="I41" s="2700" t="s">
        <v>3538</v>
      </c>
      <c r="J41" s="435">
        <f>SUMIF(123:123,I41,124:124)-SUMIF(123:123,C41,124:124)+100</f>
        <v>100</v>
      </c>
      <c r="K41" s="612">
        <v>1</v>
      </c>
      <c r="L41" s="1132"/>
      <c r="M41" s="1133"/>
      <c r="N41" s="1133"/>
      <c r="O41" s="1134"/>
      <c r="P41" s="3220"/>
      <c r="Q41" s="1809"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6" thickBot="1">
      <c r="A42" s="472"/>
      <c r="B42" s="422" t="s">
        <v>2741</v>
      </c>
      <c r="C42" s="2611" t="s">
        <v>3536</v>
      </c>
      <c r="D42" s="435">
        <v>100</v>
      </c>
      <c r="E42" s="2611" t="s">
        <v>3536</v>
      </c>
      <c r="F42" s="435">
        <f>SUMIF(125:125,E42,126:126)-SUMIF(125:125,C42,126:126)+100</f>
        <v>100</v>
      </c>
      <c r="G42" s="2611" t="s">
        <v>3536</v>
      </c>
      <c r="H42" s="435">
        <f>SUMIF(125:125,G42,126:126)-SUMIF(125:125,C42,126:126)+100</f>
        <v>100</v>
      </c>
      <c r="I42" s="2611" t="s">
        <v>3536</v>
      </c>
      <c r="J42" s="435">
        <f>SUMIF(125:125,I42,126:126)-SUMIF(125:125,C42,126:126)+100</f>
        <v>100</v>
      </c>
      <c r="K42" s="612">
        <v>2</v>
      </c>
      <c r="L42" s="1140"/>
      <c r="M42" s="1131"/>
      <c r="N42" s="1131"/>
      <c r="O42" s="1139"/>
      <c r="P42" s="3220" t="s">
        <v>2552</v>
      </c>
      <c r="Q42" s="1809" t="str">
        <f t="shared" si="14"/>
        <v>工程地质条件</v>
      </c>
      <c r="R42" s="774" t="s">
        <v>17</v>
      </c>
      <c r="S42" s="775">
        <f t="shared" si="10"/>
        <v>100</v>
      </c>
      <c r="T42" s="774" t="s">
        <v>17</v>
      </c>
      <c r="U42" s="775">
        <f t="shared" si="11"/>
        <v>100</v>
      </c>
      <c r="V42" s="774" t="s">
        <v>17</v>
      </c>
      <c r="W42" s="775">
        <f t="shared" si="12"/>
        <v>100</v>
      </c>
      <c r="X42" s="1812"/>
      <c r="Y42" s="3220" t="s">
        <v>2552</v>
      </c>
      <c r="Z42" s="1813" t="str">
        <f t="shared" si="13"/>
        <v>工程地质条件</v>
      </c>
      <c r="AA42" s="1810">
        <f t="shared" si="3"/>
        <v>1</v>
      </c>
      <c r="AB42" s="1810">
        <f t="shared" si="4"/>
        <v>1</v>
      </c>
      <c r="AC42" s="1810">
        <f t="shared" si="5"/>
        <v>1</v>
      </c>
    </row>
    <row r="43" spans="1:29" ht="15" hidden="1">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0"/>
      <c r="Q43" s="1809">
        <f t="shared" si="14"/>
        <v>0</v>
      </c>
      <c r="R43" s="774" t="s">
        <v>17</v>
      </c>
      <c r="S43" s="775">
        <f t="shared" si="10"/>
        <v>100</v>
      </c>
      <c r="T43" s="774" t="s">
        <v>17</v>
      </c>
      <c r="U43" s="775">
        <f t="shared" si="11"/>
        <v>100</v>
      </c>
      <c r="V43" s="774" t="s">
        <v>17</v>
      </c>
      <c r="W43" s="775">
        <f t="shared" si="12"/>
        <v>100</v>
      </c>
      <c r="X43" s="1812"/>
      <c r="Y43" s="3220"/>
      <c r="Z43" s="1813">
        <f t="shared" si="13"/>
        <v>0</v>
      </c>
      <c r="AA43" s="1810">
        <f t="shared" si="3"/>
        <v>1</v>
      </c>
      <c r="AB43" s="1810">
        <f t="shared" si="4"/>
        <v>1</v>
      </c>
      <c r="AC43" s="1810">
        <f t="shared" si="5"/>
        <v>1</v>
      </c>
    </row>
    <row r="44" spans="1:29" ht="15" hidden="1">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0"/>
      <c r="Q44" s="1809">
        <f t="shared" si="14"/>
        <v>0</v>
      </c>
      <c r="R44" s="774" t="s">
        <v>17</v>
      </c>
      <c r="S44" s="775">
        <f t="shared" si="10"/>
        <v>100</v>
      </c>
      <c r="T44" s="774" t="s">
        <v>17</v>
      </c>
      <c r="U44" s="775">
        <f t="shared" si="11"/>
        <v>100</v>
      </c>
      <c r="V44" s="774" t="s">
        <v>17</v>
      </c>
      <c r="W44" s="775">
        <f t="shared" si="12"/>
        <v>100</v>
      </c>
      <c r="X44" s="1812"/>
      <c r="Y44" s="3220"/>
      <c r="Z44" s="1813">
        <f t="shared" si="13"/>
        <v>0</v>
      </c>
      <c r="AA44" s="1810">
        <f t="shared" si="3"/>
        <v>1</v>
      </c>
      <c r="AB44" s="1810">
        <f t="shared" si="4"/>
        <v>1</v>
      </c>
      <c r="AC44" s="1810">
        <f t="shared" si="5"/>
        <v>1</v>
      </c>
    </row>
    <row r="45" spans="1:29" s="471" customFormat="1" ht="15.6" hidden="1" thickBot="1">
      <c r="A45" s="468"/>
      <c r="B45" s="1387"/>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0"/>
      <c r="Q45" s="1809">
        <f t="shared" si="14"/>
        <v>0</v>
      </c>
      <c r="R45" s="777" t="s">
        <v>17</v>
      </c>
      <c r="S45" s="778">
        <f t="shared" si="10"/>
        <v>100</v>
      </c>
      <c r="T45" s="777" t="s">
        <v>17</v>
      </c>
      <c r="U45" s="778">
        <f t="shared" si="11"/>
        <v>100</v>
      </c>
      <c r="V45" s="777" t="s">
        <v>17</v>
      </c>
      <c r="W45" s="778">
        <f t="shared" si="12"/>
        <v>100</v>
      </c>
      <c r="X45" s="779"/>
      <c r="Y45" s="3220"/>
      <c r="Z45" s="780">
        <f t="shared" si="13"/>
        <v>0</v>
      </c>
      <c r="AA45" s="1810">
        <f t="shared" si="3"/>
        <v>1</v>
      </c>
      <c r="AB45" s="1810">
        <f t="shared" si="4"/>
        <v>1</v>
      </c>
      <c r="AC45" s="1810">
        <f t="shared" si="5"/>
        <v>1</v>
      </c>
    </row>
    <row r="46" spans="1:29" ht="14.4">
      <c r="A46" s="479" t="s">
        <v>2707</v>
      </c>
      <c r="B46" s="2702" t="s">
        <v>3532</v>
      </c>
      <c r="C46" s="682" t="s">
        <v>1</v>
      </c>
      <c r="D46" s="481"/>
      <c r="E46" s="482">
        <f>ROUND(土地案例!AT3*1.4,0)</f>
        <v>6162</v>
      </c>
      <c r="F46" s="483"/>
      <c r="G46" s="484">
        <f>ROUND(土地案例!AT14*1.4,0)</f>
        <v>5619</v>
      </c>
      <c r="H46" s="485"/>
      <c r="I46" s="482">
        <f>ROUND(土地案例!AT21*1.4,0)</f>
        <v>5748</v>
      </c>
      <c r="J46" s="485"/>
      <c r="K46" s="783"/>
      <c r="L46" s="1143"/>
      <c r="M46" s="1144"/>
      <c r="N46" s="1131"/>
      <c r="O46" s="1144"/>
      <c r="P46" s="3213" t="str">
        <f>A46</f>
        <v>成交单价</v>
      </c>
      <c r="Q46" s="3213"/>
      <c r="R46" s="3208">
        <f>E46</f>
        <v>6162</v>
      </c>
      <c r="S46" s="3208"/>
      <c r="T46" s="3208">
        <f>G46</f>
        <v>5619</v>
      </c>
      <c r="U46" s="3208"/>
      <c r="V46" s="3208">
        <f>I46</f>
        <v>5748</v>
      </c>
      <c r="W46" s="3208"/>
      <c r="X46" s="759"/>
      <c r="Y46" s="781"/>
      <c r="Z46" s="759"/>
      <c r="AA46" s="759"/>
      <c r="AB46" s="759"/>
      <c r="AC46" s="759"/>
    </row>
    <row r="47" spans="1:29" ht="15" thickBot="1">
      <c r="A47" s="486" t="s">
        <v>2656</v>
      </c>
      <c r="B47" s="683"/>
      <c r="C47" s="490">
        <f>R48</f>
        <v>5492</v>
      </c>
      <c r="D47" s="489"/>
      <c r="E47" s="490">
        <f>R47</f>
        <v>5649</v>
      </c>
      <c r="F47" s="491"/>
      <c r="G47" s="488">
        <f>T47</f>
        <v>5366</v>
      </c>
      <c r="H47" s="489"/>
      <c r="I47" s="490">
        <f>V47</f>
        <v>5460</v>
      </c>
      <c r="J47" s="489"/>
      <c r="K47" s="784"/>
      <c r="L47" s="1143"/>
      <c r="M47" s="1144"/>
      <c r="N47" s="1144"/>
      <c r="O47" s="1144"/>
      <c r="P47" s="3213" t="str">
        <f>A47</f>
        <v>比较价值（元/平方米）</v>
      </c>
      <c r="Q47" s="3213"/>
      <c r="R47" s="3242">
        <f>ROUND(PRODUCT(R46,AA7:AA45),0)</f>
        <v>5649</v>
      </c>
      <c r="S47" s="3242"/>
      <c r="T47" s="3242">
        <f>ROUND(PRODUCT(T46,AB7:AB45),0)</f>
        <v>5366</v>
      </c>
      <c r="U47" s="3242"/>
      <c r="V47" s="3242">
        <f>ROUND(PRODUCT(V46,AC7:AC45),0)</f>
        <v>5460</v>
      </c>
      <c r="W47" s="3242"/>
      <c r="X47" s="759"/>
      <c r="Y47" s="759"/>
      <c r="Z47" s="759"/>
      <c r="AA47" s="759"/>
      <c r="AB47" s="759"/>
      <c r="AC47" s="759"/>
    </row>
    <row r="48" spans="1:29" ht="15" thickBot="1">
      <c r="A48" s="492" t="s">
        <v>2742</v>
      </c>
      <c r="B48" s="493"/>
      <c r="C48" s="494">
        <f>R48</f>
        <v>5492</v>
      </c>
      <c r="D48" s="494"/>
      <c r="E48" s="494"/>
      <c r="F48" s="494"/>
      <c r="G48" s="494"/>
      <c r="H48" s="494"/>
      <c r="I48" s="494"/>
      <c r="J48" s="494"/>
      <c r="K48" s="785"/>
      <c r="L48" s="1143"/>
      <c r="M48" s="1144"/>
      <c r="N48" s="1144"/>
      <c r="O48" s="1144"/>
      <c r="P48" s="3210" t="str">
        <f>A48</f>
        <v>估价对象XX用房的比较价值（楼面单价，元/平方米）</v>
      </c>
      <c r="Q48" s="3211"/>
      <c r="R48" s="3243">
        <f>ROUND(AVERAGE(R47:V47),0)</f>
        <v>5492</v>
      </c>
      <c r="S48" s="3243"/>
      <c r="T48" s="3243"/>
      <c r="U48" s="3243"/>
      <c r="V48" s="3243"/>
      <c r="W48" s="324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2658</v>
      </c>
      <c r="D51" s="498"/>
      <c r="E51" s="499">
        <f>IF(E46&lt;E47,E47/E46-1,E46/E47-1)</f>
        <v>9.0812533191715339E-2</v>
      </c>
      <c r="F51" s="500" t="str">
        <f>IF(OR(E51&gt;=0.3,E51&lt;=-0.3),"超过30%","")</f>
        <v/>
      </c>
      <c r="G51" s="499">
        <f>IF(G46&lt;G47,G47/G46-1,G46/G47-1)</f>
        <v>4.7148714125978319E-2</v>
      </c>
      <c r="H51" s="500" t="str">
        <f>IF(OR(G51&gt;=0.3,G51&lt;=-0.3),"超过30%","")</f>
        <v/>
      </c>
      <c r="I51" s="499">
        <f>IF(I46&lt;I47,I47/I46-1,I46/I47-1)</f>
        <v>5.2747252747252782E-2</v>
      </c>
      <c r="J51" s="500" t="str">
        <f>IF(OR(I51&gt;=0.3,I51&lt;=-0.3),"超过30%","")</f>
        <v/>
      </c>
      <c r="K51" s="1105"/>
      <c r="L51" s="1106"/>
      <c r="M51" s="1144"/>
      <c r="N51" s="1144"/>
      <c r="O51" s="1144"/>
    </row>
    <row r="52" spans="1:15" ht="13.5" customHeight="1">
      <c r="A52" s="1144"/>
      <c r="B52" s="1144"/>
      <c r="C52" s="497" t="s">
        <v>2659</v>
      </c>
      <c r="D52" s="501"/>
      <c r="E52" s="499">
        <f>IF(E47&lt;G47,G47/E47-1,E47/G47-1)</f>
        <v>5.273947074170704E-2</v>
      </c>
      <c r="F52" s="500" t="str">
        <f>IF(OR(E52&gt;=0.2,E52&lt;=-0.2),"超过20%","")</f>
        <v/>
      </c>
      <c r="G52" s="499">
        <f>IF(G47&lt;I47,I47/G47-1,G47/I47-1)</f>
        <v>1.7517704062616435E-2</v>
      </c>
      <c r="H52" s="500" t="str">
        <f>IF(OR(G52&gt;=0.2,G52&lt;=-0.2),"超过20%","")</f>
        <v/>
      </c>
      <c r="I52" s="499">
        <f>IF(I47&lt;E47,E47/I47-1,I47/E47-1)</f>
        <v>3.4615384615384714E-2</v>
      </c>
      <c r="J52" s="500" t="str">
        <f>IF(OR(I52&gt;=0.2,I52&lt;=-0.2),"超过20%","")</f>
        <v/>
      </c>
      <c r="K52" s="1105"/>
      <c r="L52" s="1106"/>
      <c r="M52" s="1144"/>
      <c r="N52" s="1144"/>
      <c r="O52" s="1144"/>
    </row>
    <row r="53" spans="1:15" s="502" customFormat="1" ht="13.5" customHeight="1">
      <c r="A53" s="1145"/>
      <c r="B53" s="1145"/>
      <c r="C53" s="497" t="s">
        <v>2660</v>
      </c>
      <c r="D53" s="501"/>
      <c r="E53" s="499">
        <f>IF(E46&lt;G46,G46/E46-1,E46/G46-1)</f>
        <v>9.6636412172984576E-2</v>
      </c>
      <c r="F53" s="500" t="str">
        <f>IF(OR(E53&gt;=0.3,E53&lt;=-0.3),"超过30%","")</f>
        <v/>
      </c>
      <c r="G53" s="499">
        <f>IF(G46&lt;I46,I46/G46-1,G46/I46-1)</f>
        <v>2.2957821676454992E-2</v>
      </c>
      <c r="H53" s="500" t="str">
        <f>IF(OR(G53&gt;=0.3,G53&lt;=-0.3),"超过30%","")</f>
        <v/>
      </c>
      <c r="I53" s="499">
        <f>IF(I46&lt;E46,E46/I46-1,I46/E46-1)</f>
        <v>7.2025052192066896E-2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3" t="s">
        <v>2745</v>
      </c>
      <c r="D55" s="2704" t="s">
        <v>2746</v>
      </c>
      <c r="E55" s="686" t="s">
        <v>2747</v>
      </c>
      <c r="F55" s="1107" t="s">
        <v>2748</v>
      </c>
      <c r="G55" s="3196" t="s">
        <v>2749</v>
      </c>
      <c r="H55" s="3244"/>
      <c r="I55" s="144" t="s">
        <v>2750</v>
      </c>
      <c r="J55" s="2705">
        <f>项目基本情况!F35</f>
        <v>0</v>
      </c>
      <c r="K55" s="2706" t="s">
        <v>2751</v>
      </c>
      <c r="L55" s="1106"/>
      <c r="M55" s="1144"/>
      <c r="N55" s="1144"/>
      <c r="O55" s="1144"/>
    </row>
    <row r="56" spans="1:15" s="692" customFormat="1">
      <c r="A56" s="688" t="s">
        <v>2752</v>
      </c>
      <c r="B56" s="689">
        <f>C48</f>
        <v>5492</v>
      </c>
      <c r="C56" s="690">
        <v>1</v>
      </c>
      <c r="D56" s="1163">
        <v>1</v>
      </c>
      <c r="E56" s="690">
        <f>'数据-汇总表'!E8+'数据-汇总表'!E9</f>
        <v>42449.82</v>
      </c>
      <c r="F56" s="1103">
        <f t="shared" ref="F56:F65" si="15">ROUND(B56*E56/10000,0)</f>
        <v>23313</v>
      </c>
      <c r="G56" s="3195"/>
      <c r="H56" s="3213"/>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245"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245"/>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245"/>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245"/>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7"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7" t="s">
        <v>2754</v>
      </c>
      <c r="H64" s="1104">
        <f>项目基本情况!B37</f>
        <v>0</v>
      </c>
      <c r="I64" s="1108">
        <f>SUMIF(修正!A45:A56,H64,修正!H45:H56)</f>
        <v>0</v>
      </c>
      <c r="J64" s="1112"/>
      <c r="K64" s="1145"/>
      <c r="L64" s="941"/>
      <c r="M64" s="941"/>
      <c r="N64" s="941"/>
      <c r="O64" s="941"/>
    </row>
    <row r="65" spans="1:17" s="692" customFormat="1" ht="14.4" thickBot="1">
      <c r="A65" s="693" t="s">
        <v>2765</v>
      </c>
      <c r="B65" s="262">
        <f t="shared" si="17"/>
        <v>0</v>
      </c>
      <c r="C65" s="200">
        <f t="shared" si="16"/>
        <v>0</v>
      </c>
      <c r="D65" s="1164">
        <v>0.25</v>
      </c>
      <c r="E65" s="261">
        <f>'数据-汇总表'!E15</f>
        <v>0</v>
      </c>
      <c r="F65" s="1103">
        <f t="shared" si="15"/>
        <v>0</v>
      </c>
      <c r="G65" s="2708" t="s">
        <v>2759</v>
      </c>
      <c r="H65" s="1114">
        <f>项目基本情况!C37</f>
        <v>0</v>
      </c>
      <c r="I65" s="1110">
        <f>SUMIF(修正!A45:A56,H65,修正!H45:H56)</f>
        <v>0</v>
      </c>
      <c r="J65" s="1113"/>
      <c r="K65" s="1144"/>
      <c r="L65" s="941"/>
      <c r="M65" s="941"/>
      <c r="N65" s="941"/>
      <c r="O65" s="941"/>
    </row>
    <row r="66" spans="1:17" s="692" customFormat="1" thickBot="1">
      <c r="A66" s="695" t="s">
        <v>2766</v>
      </c>
      <c r="B66" s="696" t="s">
        <v>28</v>
      </c>
      <c r="C66" s="696" t="s">
        <v>29</v>
      </c>
      <c r="D66" s="696" t="s">
        <v>1026</v>
      </c>
      <c r="E66" s="696">
        <f>IF(B46="楼面地价",SUM(E56:E65),'数据-汇总表'!D3)</f>
        <v>99999.9</v>
      </c>
      <c r="F66" s="697">
        <f>IF(B46="楼面地价",SUM(F56:F65),ROUND(C48*E66/10000,0))</f>
        <v>54920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2.2" thickBot="1">
      <c r="A69" s="763" t="s">
        <v>2661</v>
      </c>
      <c r="B69" s="759"/>
      <c r="C69" s="764"/>
      <c r="D69" s="764"/>
      <c r="E69" s="764"/>
      <c r="F69" s="765"/>
      <c r="G69" s="765"/>
      <c r="H69" s="764"/>
      <c r="I69" s="764"/>
      <c r="J69" s="1159"/>
      <c r="K69" s="1160"/>
      <c r="L69" s="1161"/>
      <c r="M69" s="1159"/>
      <c r="N69" s="1159"/>
      <c r="O69" s="1159"/>
      <c r="P69" s="503"/>
      <c r="Q69" s="504"/>
    </row>
    <row r="70" spans="1:17" s="508" customFormat="1" ht="14.4">
      <c r="A70" s="2709" t="s">
        <v>2767</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0" t="s">
        <v>1367</v>
      </c>
      <c r="B71" s="332" t="str">
        <f>"北京市平均增长率"&amp;TEXT(SUMIF(基准地价修正!N21:N25,A71,基准地价修正!P21:P25),"0.00%")</f>
        <v>北京市平均增长率1.41%</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2572</v>
      </c>
      <c r="B72" s="516"/>
      <c r="C72" s="517"/>
      <c r="D72" s="518"/>
      <c r="E72" s="518"/>
      <c r="F72" s="518"/>
      <c r="G72" s="518"/>
      <c r="H72" s="518"/>
      <c r="I72" s="518"/>
      <c r="J72" s="518"/>
      <c r="K72" s="518"/>
      <c r="L72" s="518"/>
      <c r="M72" s="519"/>
      <c r="N72" s="518"/>
      <c r="O72" s="1162"/>
      <c r="P72" s="504"/>
      <c r="Q72" s="504"/>
    </row>
    <row r="73" spans="1:17" s="117" customFormat="1" ht="14.4">
      <c r="A73" s="521" t="s">
        <v>2537</v>
      </c>
      <c r="B73" s="510"/>
      <c r="C73" s="522" t="s">
        <v>2639</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27.6">
      <c r="A75" s="527" t="s">
        <v>2575</v>
      </c>
      <c r="B75" s="528" t="s">
        <v>2541</v>
      </c>
      <c r="C75" s="2958" t="s">
        <v>3531</v>
      </c>
      <c r="D75" s="530" t="str">
        <f>土地案例!I3</f>
        <v>餐饮用地</v>
      </c>
      <c r="E75" s="530" t="str">
        <f>土地案例!I14</f>
        <v>其他商服用地</v>
      </c>
      <c r="F75" s="530" t="str">
        <f>土地案例!I21</f>
        <v>批发零售用地</v>
      </c>
      <c r="G75" s="530"/>
      <c r="H75" s="530"/>
      <c r="I75" s="530"/>
      <c r="J75" s="530"/>
      <c r="K75" s="531"/>
      <c r="L75" s="532"/>
      <c r="M75" s="533"/>
      <c r="N75" s="1152"/>
      <c r="O75" s="1152"/>
      <c r="P75" s="45"/>
      <c r="Q75" s="504"/>
    </row>
    <row r="76" spans="1:17" ht="14.4" thickBot="1">
      <c r="A76" s="534"/>
      <c r="B76" s="535"/>
      <c r="C76" s="536">
        <v>100</v>
      </c>
      <c r="D76" s="536">
        <v>100</v>
      </c>
      <c r="E76" s="536">
        <v>100</v>
      </c>
      <c r="F76" s="536">
        <v>100</v>
      </c>
      <c r="G76" s="536"/>
      <c r="H76" s="536"/>
      <c r="I76" s="536"/>
      <c r="J76" s="536"/>
      <c r="K76" s="536"/>
      <c r="L76" s="536"/>
      <c r="M76" s="537"/>
      <c r="N76" s="1153"/>
      <c r="O76" s="1153"/>
      <c r="P76" s="45"/>
      <c r="Q76" s="504"/>
    </row>
    <row r="77" spans="1:17" ht="29.4" thickTop="1">
      <c r="A77" s="534"/>
      <c r="B77" s="538" t="s">
        <v>2544</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2545</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c r="I80" s="549"/>
      <c r="J80" s="549"/>
      <c r="K80" s="550"/>
      <c r="L80" s="551"/>
      <c r="M80" s="552"/>
      <c r="N80" s="1152"/>
      <c r="O80" s="1152"/>
      <c r="P80" s="45"/>
      <c r="Q80" s="504"/>
    </row>
    <row r="81" spans="1:17" ht="14.4" thickBot="1">
      <c r="A81" s="534"/>
      <c r="B81" s="535"/>
      <c r="C81" s="544">
        <v>100</v>
      </c>
      <c r="D81" s="544">
        <f t="shared" ref="D81:M81" si="22">IF($B$46="单位面积地价",C81+$K11,C81-$K11)</f>
        <v>101</v>
      </c>
      <c r="E81" s="544">
        <f t="shared" si="22"/>
        <v>102</v>
      </c>
      <c r="F81" s="544">
        <f t="shared" si="22"/>
        <v>103</v>
      </c>
      <c r="G81" s="544">
        <f t="shared" si="22"/>
        <v>104</v>
      </c>
      <c r="H81" s="544">
        <f t="shared" si="22"/>
        <v>105</v>
      </c>
      <c r="I81" s="544">
        <f t="shared" si="22"/>
        <v>106</v>
      </c>
      <c r="J81" s="544">
        <f t="shared" si="22"/>
        <v>107</v>
      </c>
      <c r="K81" s="544">
        <f t="shared" si="22"/>
        <v>108</v>
      </c>
      <c r="L81" s="544">
        <f t="shared" si="22"/>
        <v>109</v>
      </c>
      <c r="M81" s="544">
        <f t="shared" si="22"/>
        <v>110</v>
      </c>
      <c r="N81" s="1153"/>
      <c r="O81" s="1153"/>
      <c r="P81" s="45"/>
      <c r="Q81" s="504"/>
    </row>
    <row r="82" spans="1:17" s="471" customFormat="1" ht="14.4" thickTop="1">
      <c r="A82" s="553"/>
      <c r="B82" s="538">
        <f>B12</f>
        <v>0</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0</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0</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2546</v>
      </c>
      <c r="B88" s="528" t="s">
        <v>2583</v>
      </c>
      <c r="C88" s="573" t="s">
        <v>2584</v>
      </c>
      <c r="D88" s="573" t="s">
        <v>2585</v>
      </c>
      <c r="E88" s="573" t="s">
        <v>2586</v>
      </c>
      <c r="F88" s="573" t="s">
        <v>2587</v>
      </c>
      <c r="G88" s="573" t="s">
        <v>2588</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2768</v>
      </c>
      <c r="C90" s="578" t="s">
        <v>2584</v>
      </c>
      <c r="D90" s="578" t="s">
        <v>2585</v>
      </c>
      <c r="E90" s="578" t="s">
        <v>2586</v>
      </c>
      <c r="F90" s="578" t="s">
        <v>2587</v>
      </c>
      <c r="G90" s="578" t="s">
        <v>2588</v>
      </c>
      <c r="H90" s="539"/>
      <c r="I90" s="539"/>
      <c r="J90" s="539"/>
      <c r="K90" s="540"/>
      <c r="L90" s="541"/>
      <c r="M90" s="542"/>
      <c r="N90" s="1152"/>
      <c r="O90" s="1152"/>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 thickTop="1">
      <c r="A92" s="534"/>
      <c r="B92" s="538" t="s">
        <v>2684</v>
      </c>
      <c r="C92" s="578" t="s">
        <v>2584</v>
      </c>
      <c r="D92" s="578" t="s">
        <v>2585</v>
      </c>
      <c r="E92" s="578" t="s">
        <v>2586</v>
      </c>
      <c r="F92" s="578" t="s">
        <v>2587</v>
      </c>
      <c r="G92" s="578" t="s">
        <v>2588</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2589</v>
      </c>
      <c r="C94" s="578" t="s">
        <v>2584</v>
      </c>
      <c r="D94" s="578" t="s">
        <v>2585</v>
      </c>
      <c r="E94" s="578" t="s">
        <v>2586</v>
      </c>
      <c r="F94" s="578" t="s">
        <v>2587</v>
      </c>
      <c r="G94" s="578" t="s">
        <v>2588</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2769</v>
      </c>
      <c r="C96" s="578" t="s">
        <v>2584</v>
      </c>
      <c r="D96" s="578" t="s">
        <v>2585</v>
      </c>
      <c r="E96" s="578" t="s">
        <v>2586</v>
      </c>
      <c r="F96" s="578" t="s">
        <v>2587</v>
      </c>
      <c r="G96" s="578" t="s">
        <v>2588</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2770</v>
      </c>
      <c r="C98" s="573" t="s">
        <v>2584</v>
      </c>
      <c r="D98" s="573" t="s">
        <v>2585</v>
      </c>
      <c r="E98" s="573" t="s">
        <v>2586</v>
      </c>
      <c r="F98" s="573" t="s">
        <v>2587</v>
      </c>
      <c r="G98" s="573" t="s">
        <v>2588</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2641</v>
      </c>
      <c r="C100" s="573" t="s">
        <v>2584</v>
      </c>
      <c r="D100" s="573" t="s">
        <v>2585</v>
      </c>
      <c r="E100" s="573" t="s">
        <v>2586</v>
      </c>
      <c r="F100" s="573" t="s">
        <v>2587</v>
      </c>
      <c r="G100" s="573" t="s">
        <v>2588</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2642</v>
      </c>
      <c r="C102" s="660" t="s">
        <v>2662</v>
      </c>
      <c r="D102" s="660" t="s">
        <v>2663</v>
      </c>
      <c r="E102" s="660" t="s">
        <v>2664</v>
      </c>
      <c r="F102" s="660" t="s">
        <v>2665</v>
      </c>
      <c r="G102" s="660" t="s">
        <v>2666</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2678</v>
      </c>
      <c r="C106" s="2959" t="s">
        <v>3559</v>
      </c>
      <c r="D106" s="2959" t="s">
        <v>3560</v>
      </c>
      <c r="E106" s="2959" t="s">
        <v>3561</v>
      </c>
      <c r="F106" s="2959" t="s">
        <v>3562</v>
      </c>
      <c r="G106" s="2959" t="s">
        <v>3563</v>
      </c>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2736</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2550</v>
      </c>
      <c r="B116" s="528" t="s">
        <v>2775</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100000(含)-120000</v>
      </c>
      <c r="I116" s="529" t="str">
        <f t="shared" si="26"/>
        <v>120000(含)-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f>C117+20000</f>
        <v>20000</v>
      </c>
      <c r="E117" s="595">
        <f t="shared" ref="E117:I117" si="27">D117+20000</f>
        <v>40000</v>
      </c>
      <c r="F117" s="595">
        <f t="shared" si="27"/>
        <v>60000</v>
      </c>
      <c r="G117" s="595">
        <f t="shared" si="27"/>
        <v>80000</v>
      </c>
      <c r="H117" s="595">
        <f t="shared" si="27"/>
        <v>100000</v>
      </c>
      <c r="I117" s="595">
        <f t="shared" si="27"/>
        <v>120000</v>
      </c>
      <c r="J117" s="596"/>
      <c r="K117" s="596"/>
      <c r="L117" s="597"/>
      <c r="M117" s="598"/>
      <c r="N117" s="1152"/>
      <c r="O117" s="1152"/>
      <c r="P117" s="45"/>
      <c r="Q117" s="504"/>
    </row>
    <row r="118" spans="1:17" ht="14.4" thickBot="1">
      <c r="A118" s="534"/>
      <c r="B118" s="543"/>
      <c r="C118" s="570">
        <v>100</v>
      </c>
      <c r="D118" s="591">
        <f>C118+1</f>
        <v>101</v>
      </c>
      <c r="E118" s="591">
        <f t="shared" ref="E118:I118" si="28">D118+1</f>
        <v>102</v>
      </c>
      <c r="F118" s="591">
        <f t="shared" si="28"/>
        <v>103</v>
      </c>
      <c r="G118" s="591">
        <f t="shared" si="28"/>
        <v>104</v>
      </c>
      <c r="H118" s="591">
        <f t="shared" si="28"/>
        <v>105</v>
      </c>
      <c r="I118" s="591">
        <f t="shared" si="28"/>
        <v>106</v>
      </c>
      <c r="J118" s="591"/>
      <c r="K118" s="591"/>
      <c r="L118" s="591"/>
      <c r="M118" s="592"/>
      <c r="N118" s="1153"/>
      <c r="O118" s="1153"/>
      <c r="P118" s="45"/>
      <c r="Q118" s="504"/>
    </row>
    <row r="119" spans="1:17" ht="15" thickTop="1">
      <c r="A119" s="599"/>
      <c r="B119" s="538" t="s">
        <v>2776</v>
      </c>
      <c r="C119" s="2960" t="s">
        <v>3554</v>
      </c>
      <c r="D119" s="2960" t="s">
        <v>3556</v>
      </c>
      <c r="E119" s="2960" t="s">
        <v>3557</v>
      </c>
      <c r="F119" s="2960" t="s">
        <v>3558</v>
      </c>
      <c r="G119" s="583"/>
      <c r="H119" s="583"/>
      <c r="I119" s="583"/>
      <c r="J119" s="583"/>
      <c r="K119" s="584"/>
      <c r="L119" s="585"/>
      <c r="M119" s="586"/>
      <c r="N119" s="1152"/>
      <c r="O119" s="1152"/>
      <c r="P119" s="45"/>
      <c r="Q119" s="504"/>
    </row>
    <row r="120" spans="1:17" ht="14.4" thickBot="1">
      <c r="A120" s="534"/>
      <c r="B120" s="543"/>
      <c r="C120" s="544">
        <v>100</v>
      </c>
      <c r="D120" s="544">
        <f t="shared" ref="D120:M120" si="29">C120-$K39</f>
        <v>98</v>
      </c>
      <c r="E120" s="544">
        <f t="shared" si="29"/>
        <v>96</v>
      </c>
      <c r="F120" s="544">
        <f t="shared" si="29"/>
        <v>94</v>
      </c>
      <c r="G120" s="544">
        <f t="shared" si="29"/>
        <v>92</v>
      </c>
      <c r="H120" s="544">
        <f t="shared" si="29"/>
        <v>90</v>
      </c>
      <c r="I120" s="544">
        <f t="shared" si="29"/>
        <v>88</v>
      </c>
      <c r="J120" s="544">
        <f t="shared" si="29"/>
        <v>86</v>
      </c>
      <c r="K120" s="544">
        <f t="shared" si="29"/>
        <v>84</v>
      </c>
      <c r="L120" s="544">
        <f t="shared" si="29"/>
        <v>82</v>
      </c>
      <c r="M120" s="545">
        <f t="shared" si="29"/>
        <v>80</v>
      </c>
      <c r="N120" s="1153"/>
      <c r="O120" s="1153"/>
      <c r="P120" s="45"/>
      <c r="Q120" s="504"/>
    </row>
    <row r="121" spans="1:17" ht="15" thickTop="1">
      <c r="A121" s="599"/>
      <c r="B121" s="538" t="s">
        <v>2777</v>
      </c>
      <c r="C121" s="2959" t="s">
        <v>3548</v>
      </c>
      <c r="D121" s="2959" t="s">
        <v>3550</v>
      </c>
      <c r="E121" s="2959" t="s">
        <v>3551</v>
      </c>
      <c r="F121" s="2960" t="s">
        <v>3552</v>
      </c>
      <c r="G121" s="583"/>
      <c r="H121" s="583"/>
      <c r="I121" s="583"/>
      <c r="J121" s="583"/>
      <c r="K121" s="584"/>
      <c r="L121" s="585"/>
      <c r="M121" s="586"/>
      <c r="N121" s="1152"/>
      <c r="O121" s="1152"/>
      <c r="P121" s="45"/>
      <c r="Q121" s="504"/>
    </row>
    <row r="122" spans="1:17" ht="14.4" thickBot="1">
      <c r="A122" s="534"/>
      <c r="B122" s="543"/>
      <c r="C122" s="544">
        <v>100</v>
      </c>
      <c r="D122" s="544">
        <f t="shared" ref="D122:M122" si="30">C122-$K40</f>
        <v>98</v>
      </c>
      <c r="E122" s="544">
        <f t="shared" si="30"/>
        <v>96</v>
      </c>
      <c r="F122" s="544">
        <f t="shared" si="30"/>
        <v>94</v>
      </c>
      <c r="G122" s="544">
        <f t="shared" si="30"/>
        <v>92</v>
      </c>
      <c r="H122" s="544">
        <f t="shared" si="30"/>
        <v>90</v>
      </c>
      <c r="I122" s="544">
        <f t="shared" si="30"/>
        <v>88</v>
      </c>
      <c r="J122" s="544">
        <f t="shared" si="30"/>
        <v>86</v>
      </c>
      <c r="K122" s="544">
        <f t="shared" si="30"/>
        <v>84</v>
      </c>
      <c r="L122" s="544">
        <f t="shared" si="30"/>
        <v>82</v>
      </c>
      <c r="M122" s="545">
        <f t="shared" si="30"/>
        <v>80</v>
      </c>
      <c r="N122" s="1153"/>
      <c r="O122" s="1153"/>
      <c r="P122" s="45"/>
      <c r="Q122" s="504"/>
    </row>
    <row r="123" spans="1:17" s="471" customFormat="1" ht="15" thickTop="1">
      <c r="A123" s="593"/>
      <c r="B123" s="538" t="s">
        <v>2778</v>
      </c>
      <c r="C123" s="2959" t="s">
        <v>3539</v>
      </c>
      <c r="D123" s="2959" t="s">
        <v>3540</v>
      </c>
      <c r="E123" s="2959" t="s">
        <v>3541</v>
      </c>
      <c r="F123" s="2959" t="s">
        <v>3542</v>
      </c>
      <c r="G123" s="554"/>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31">D124-$K41</f>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4"/>
      <c r="O124" s="1154"/>
      <c r="P124" s="558"/>
      <c r="Q124" s="559"/>
    </row>
    <row r="125" spans="1:17" ht="15" thickTop="1">
      <c r="A125" s="599"/>
      <c r="B125" s="538" t="s">
        <v>2779</v>
      </c>
      <c r="C125" s="2959" t="s">
        <v>3543</v>
      </c>
      <c r="D125" s="2959" t="s">
        <v>3537</v>
      </c>
      <c r="E125" s="2960" t="s">
        <v>3545</v>
      </c>
      <c r="F125" s="2960" t="s">
        <v>3546</v>
      </c>
      <c r="G125" s="2960" t="s">
        <v>3547</v>
      </c>
      <c r="H125" s="583"/>
      <c r="I125" s="583"/>
      <c r="J125" s="583"/>
      <c r="K125" s="584"/>
      <c r="L125" s="585"/>
      <c r="M125" s="586"/>
      <c r="N125" s="1152"/>
      <c r="O125" s="1152"/>
      <c r="P125" s="45"/>
      <c r="Q125" s="504"/>
    </row>
    <row r="126" spans="1:17" ht="14.4"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4.4" thickTop="1">
      <c r="A127" s="599"/>
      <c r="B127" s="538">
        <f>B43</f>
        <v>0</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0</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2731</v>
      </c>
      <c r="B1" s="395"/>
      <c r="C1" s="396" t="s">
        <v>2780</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2632</v>
      </c>
      <c r="B4" s="402"/>
      <c r="C4" s="3196" t="s">
        <v>2633</v>
      </c>
      <c r="D4" s="3197"/>
      <c r="E4" s="3198" t="s">
        <v>2634</v>
      </c>
      <c r="F4" s="3199"/>
      <c r="G4" s="3196" t="s">
        <v>2635</v>
      </c>
      <c r="H4" s="3197"/>
      <c r="I4" s="3196" t="s">
        <v>2636</v>
      </c>
      <c r="J4" s="3197"/>
      <c r="K4" s="610" t="s">
        <v>2637</v>
      </c>
      <c r="L4" s="1130"/>
      <c r="M4" s="1131"/>
      <c r="N4" s="1131"/>
      <c r="O4" s="1131"/>
      <c r="P4" s="3200" t="s">
        <v>2638</v>
      </c>
      <c r="Q4" s="3201"/>
      <c r="R4" s="3183" t="s">
        <v>2634</v>
      </c>
      <c r="S4" s="3184"/>
      <c r="T4" s="3183" t="s">
        <v>2635</v>
      </c>
      <c r="U4" s="3184"/>
      <c r="V4" s="3208" t="s">
        <v>2636</v>
      </c>
      <c r="W4" s="3208"/>
      <c r="X4" s="1812"/>
      <c r="Y4" s="3183" t="s">
        <v>2638</v>
      </c>
      <c r="Z4" s="3184"/>
      <c r="AA4" s="3178" t="s">
        <v>2634</v>
      </c>
      <c r="AB4" s="3179" t="s">
        <v>2635</v>
      </c>
      <c r="AC4" s="3178" t="s">
        <v>2636</v>
      </c>
    </row>
    <row r="5" spans="1:29">
      <c r="A5" s="404"/>
      <c r="B5" s="405"/>
      <c r="C5" s="3189" t="s">
        <v>2529</v>
      </c>
      <c r="D5" s="3190"/>
      <c r="E5" s="3187" t="s">
        <v>2530</v>
      </c>
      <c r="F5" s="3188"/>
      <c r="G5" s="3189" t="s">
        <v>2531</v>
      </c>
      <c r="H5" s="3190"/>
      <c r="I5" s="3189" t="s">
        <v>2532</v>
      </c>
      <c r="J5" s="3190"/>
      <c r="K5" s="610"/>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246" t="s">
        <v>2781</v>
      </c>
      <c r="D6" s="3247"/>
      <c r="E6" s="3248" t="s">
        <v>2781</v>
      </c>
      <c r="F6" s="3249"/>
      <c r="G6" s="3246" t="s">
        <v>2781</v>
      </c>
      <c r="H6" s="3247"/>
      <c r="I6" s="3246" t="s">
        <v>2781</v>
      </c>
      <c r="J6" s="3247"/>
      <c r="K6" s="610" t="s">
        <v>2534</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2535</v>
      </c>
      <c r="B7" s="409"/>
      <c r="C7" s="410">
        <f>'数据-取费表'!B2</f>
        <v>43768</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1" t="s">
        <v>2536</v>
      </c>
      <c r="Q7" s="3209"/>
      <c r="R7" s="770" t="s">
        <v>17</v>
      </c>
      <c r="S7" s="771">
        <f t="shared" ref="S7:S15" si="0">F7</f>
        <v>0</v>
      </c>
      <c r="T7" s="770" t="s">
        <v>17</v>
      </c>
      <c r="U7" s="771">
        <f t="shared" ref="U7:U15" si="1">H7</f>
        <v>0</v>
      </c>
      <c r="V7" s="770" t="s">
        <v>17</v>
      </c>
      <c r="W7" s="771">
        <f t="shared" ref="W7:W15" si="2">J7</f>
        <v>0</v>
      </c>
      <c r="X7" s="772"/>
      <c r="Y7" s="3181" t="s">
        <v>2536</v>
      </c>
      <c r="Z7" s="3182"/>
      <c r="AA7" s="773" t="e">
        <f>D7/F7</f>
        <v>#DIV/0!</v>
      </c>
      <c r="AB7" s="773" t="e">
        <f>D7/H7</f>
        <v>#DIV/0!</v>
      </c>
      <c r="AC7" s="773" t="e">
        <f>D7/J7</f>
        <v>#DIV/0!</v>
      </c>
    </row>
    <row r="8" spans="1:29" s="117" customFormat="1" ht="1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1" t="s">
        <v>2539</v>
      </c>
      <c r="Q8" s="3182"/>
      <c r="R8" s="770" t="s">
        <v>17</v>
      </c>
      <c r="S8" s="771">
        <f t="shared" si="0"/>
        <v>0</v>
      </c>
      <c r="T8" s="770" t="s">
        <v>17</v>
      </c>
      <c r="U8" s="771">
        <f t="shared" si="1"/>
        <v>0</v>
      </c>
      <c r="V8" s="770" t="s">
        <v>17</v>
      </c>
      <c r="W8" s="771">
        <f t="shared" si="2"/>
        <v>0</v>
      </c>
      <c r="X8" s="772"/>
      <c r="Y8" s="3181" t="s">
        <v>2539</v>
      </c>
      <c r="Z8" s="3182"/>
      <c r="AA8" s="773" t="e">
        <f t="shared" ref="AA8:AA40" si="3">D8/F8</f>
        <v>#DIV/0!</v>
      </c>
      <c r="AB8" s="773" t="e">
        <f t="shared" ref="AB8:AB40" si="4">D8/H8</f>
        <v>#DIV/0!</v>
      </c>
      <c r="AC8" s="773" t="e">
        <f t="shared" ref="AC8:AC40" si="5">D8/J8</f>
        <v>#DIV/0!</v>
      </c>
    </row>
    <row r="9" spans="1:29" s="117" customFormat="1" ht="14.4">
      <c r="A9" s="415" t="s">
        <v>2540</v>
      </c>
      <c r="B9" s="71" t="s">
        <v>2541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3" t="s">
        <v>2542</v>
      </c>
      <c r="Q9" s="1794" t="str">
        <f t="shared" ref="Q9:Q15" si="6">B9</f>
        <v>用途</v>
      </c>
      <c r="R9" s="770" t="s">
        <v>17</v>
      </c>
      <c r="S9" s="771">
        <f t="shared" si="0"/>
        <v>100</v>
      </c>
      <c r="T9" s="770" t="s">
        <v>17</v>
      </c>
      <c r="U9" s="771">
        <f t="shared" si="1"/>
        <v>100</v>
      </c>
      <c r="V9" s="770" t="s">
        <v>17</v>
      </c>
      <c r="W9" s="771">
        <f t="shared" si="2"/>
        <v>100</v>
      </c>
      <c r="X9" s="772"/>
      <c r="Y9" s="3028" t="s">
        <v>2543</v>
      </c>
      <c r="Z9" s="55" t="str">
        <f t="shared" ref="Z9:Z15" si="7">Q9</f>
        <v>用途</v>
      </c>
      <c r="AA9" s="773">
        <f t="shared" si="3"/>
        <v>1</v>
      </c>
      <c r="AB9" s="773">
        <f t="shared" si="4"/>
        <v>1</v>
      </c>
      <c r="AC9" s="773">
        <f t="shared" si="5"/>
        <v>1</v>
      </c>
    </row>
    <row r="10" spans="1:29" s="427" customFormat="1" ht="28.8">
      <c r="A10" s="421"/>
      <c r="B10" s="422" t="s">
        <v>2544</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13"/>
      <c r="Q10" s="1794" t="str">
        <f t="shared" si="6"/>
        <v>土地使用年限（年）</v>
      </c>
      <c r="R10" s="770" t="s">
        <v>17</v>
      </c>
      <c r="S10" s="771">
        <f t="shared" si="0"/>
        <v>113</v>
      </c>
      <c r="T10" s="770" t="s">
        <v>17</v>
      </c>
      <c r="U10" s="771">
        <f t="shared" si="1"/>
        <v>113</v>
      </c>
      <c r="V10" s="770" t="s">
        <v>17</v>
      </c>
      <c r="W10" s="771">
        <f t="shared" si="2"/>
        <v>113</v>
      </c>
      <c r="X10" s="772"/>
      <c r="Y10" s="3028"/>
      <c r="Z10" s="55" t="str">
        <f t="shared" si="7"/>
        <v>土地使用年限（年）</v>
      </c>
      <c r="AA10" s="773">
        <f t="shared" si="3"/>
        <v>0.88495575221238942</v>
      </c>
      <c r="AB10" s="773">
        <f t="shared" si="4"/>
        <v>0.88495575221238942</v>
      </c>
      <c r="AC10" s="773">
        <f t="shared" si="5"/>
        <v>0.88495575221238942</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3"/>
      <c r="Q11" s="1794"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3"/>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3"/>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3"/>
      <c r="Q14" s="1794">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69">
      <c r="A15" s="440" t="s">
        <v>2546</v>
      </c>
      <c r="B15" s="629" t="s">
        <v>2782</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5" t="s">
        <v>2547</v>
      </c>
      <c r="Q15" s="1809" t="str">
        <f t="shared" si="6"/>
        <v>产业集聚程度</v>
      </c>
      <c r="R15" s="774" t="s">
        <v>17</v>
      </c>
      <c r="S15" s="775">
        <f t="shared" si="0"/>
        <v>100</v>
      </c>
      <c r="T15" s="774" t="s">
        <v>17</v>
      </c>
      <c r="U15" s="775">
        <f t="shared" si="1"/>
        <v>100</v>
      </c>
      <c r="V15" s="774" t="s">
        <v>17</v>
      </c>
      <c r="W15" s="775">
        <f t="shared" si="2"/>
        <v>100</v>
      </c>
      <c r="X15" s="1812"/>
      <c r="Y15" s="3215" t="s">
        <v>2547</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96.6">
      <c r="A17" s="428"/>
      <c r="B17" s="631" t="s">
        <v>2696</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28.8">
      <c r="A19" s="428"/>
      <c r="B19" s="631" t="s">
        <v>2734</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6"/>
      <c r="Q19" s="1809" t="str">
        <f t="shared" ref="Q19:Q33" si="8">B19</f>
        <v>区域土地利用方向</v>
      </c>
      <c r="R19" s="774" t="s">
        <v>17</v>
      </c>
      <c r="S19" s="775">
        <f>F19</f>
        <v>100</v>
      </c>
      <c r="T19" s="774" t="s">
        <v>17</v>
      </c>
      <c r="U19" s="775">
        <f>H19</f>
        <v>100</v>
      </c>
      <c r="V19" s="774" t="s">
        <v>17</v>
      </c>
      <c r="W19" s="775">
        <f>J19</f>
        <v>100</v>
      </c>
      <c r="X19" s="1812"/>
      <c r="Y19" s="3216"/>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16"/>
      <c r="Q20" s="1809"/>
      <c r="R20" s="774"/>
      <c r="S20" s="775"/>
      <c r="T20" s="774"/>
      <c r="U20" s="775"/>
      <c r="V20" s="774"/>
      <c r="W20" s="775"/>
      <c r="X20" s="1812"/>
      <c r="Y20" s="3216"/>
      <c r="Z20" s="1813"/>
      <c r="AA20" s="1810"/>
      <c r="AB20" s="1810"/>
      <c r="AC20" s="1810"/>
    </row>
    <row r="21" spans="1:29" ht="82.8">
      <c r="A21" s="404"/>
      <c r="B21" s="631" t="s">
        <v>2783</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6"/>
      <c r="Q21" s="1809" t="str">
        <f t="shared" si="8"/>
        <v>环境状况</v>
      </c>
      <c r="R21" s="774" t="s">
        <v>17</v>
      </c>
      <c r="S21" s="775">
        <f>F21</f>
        <v>100</v>
      </c>
      <c r="T21" s="774" t="s">
        <v>17</v>
      </c>
      <c r="U21" s="775">
        <f>H21</f>
        <v>100</v>
      </c>
      <c r="V21" s="774" t="s">
        <v>17</v>
      </c>
      <c r="W21" s="775">
        <f>J21</f>
        <v>100</v>
      </c>
      <c r="X21" s="1812"/>
      <c r="Y21" s="3216"/>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s="117" customFormat="1" ht="41.4">
      <c r="A23" s="649"/>
      <c r="B23" s="633" t="s">
        <v>2641</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6"/>
      <c r="Q23" s="1794" t="str">
        <f t="shared" si="8"/>
        <v>公共配套设施</v>
      </c>
      <c r="R23" s="770" t="s">
        <v>17</v>
      </c>
      <c r="S23" s="771">
        <f>F23</f>
        <v>100</v>
      </c>
      <c r="T23" s="770" t="s">
        <v>17</v>
      </c>
      <c r="U23" s="771">
        <f>H23</f>
        <v>100</v>
      </c>
      <c r="V23" s="770" t="s">
        <v>17</v>
      </c>
      <c r="W23" s="771">
        <f>J23</f>
        <v>100</v>
      </c>
      <c r="X23" s="772"/>
      <c r="Y23" s="3216"/>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16"/>
      <c r="Q24" s="1794"/>
      <c r="R24" s="770"/>
      <c r="S24" s="771"/>
      <c r="T24" s="770"/>
      <c r="U24" s="771"/>
      <c r="V24" s="770"/>
      <c r="W24" s="771"/>
      <c r="X24" s="772"/>
      <c r="Y24" s="3216"/>
      <c r="Z24" s="55"/>
      <c r="AA24" s="773">
        <v>1</v>
      </c>
      <c r="AB24" s="773">
        <v>1</v>
      </c>
      <c r="AC24" s="773">
        <v>1</v>
      </c>
    </row>
    <row r="25" spans="1:29" s="117" customFormat="1" ht="41.4">
      <c r="A25" s="649"/>
      <c r="B25" s="633" t="s">
        <v>2642</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6"/>
      <c r="Q25" s="1794"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16"/>
      <c r="Q26" s="1794"/>
      <c r="R26" s="770"/>
      <c r="S26" s="771"/>
      <c r="T26" s="770"/>
      <c r="U26" s="771"/>
      <c r="V26" s="770"/>
      <c r="W26" s="771"/>
      <c r="X26" s="772"/>
      <c r="Y26" s="3216"/>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6"/>
      <c r="Z27" s="1813" t="str">
        <f t="shared" ref="Z27:Z40" si="13">Q27</f>
        <v>临街状况</v>
      </c>
      <c r="AA27" s="1810">
        <f t="shared" si="3"/>
        <v>1</v>
      </c>
      <c r="AB27" s="1810">
        <f t="shared" si="4"/>
        <v>1</v>
      </c>
      <c r="AC27" s="1810">
        <f t="shared" si="5"/>
        <v>1</v>
      </c>
    </row>
    <row r="28" spans="1:29" ht="28.8">
      <c r="A28" s="428"/>
      <c r="B28" s="633" t="s">
        <v>2678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6"/>
      <c r="Q28" s="1809" t="str">
        <f t="shared" si="8"/>
        <v>毗邻道路的类型与等级</v>
      </c>
      <c r="R28" s="774" t="s">
        <v>17</v>
      </c>
      <c r="S28" s="775">
        <f t="shared" si="10"/>
        <v>100</v>
      </c>
      <c r="T28" s="774" t="s">
        <v>17</v>
      </c>
      <c r="U28" s="775">
        <f t="shared" si="11"/>
        <v>100</v>
      </c>
      <c r="V28" s="774" t="s">
        <v>17</v>
      </c>
      <c r="W28" s="775">
        <f t="shared" si="12"/>
        <v>100</v>
      </c>
      <c r="X28" s="1812"/>
      <c r="Y28" s="3216"/>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16"/>
      <c r="Q29" s="1809"/>
      <c r="R29" s="774"/>
      <c r="S29" s="775"/>
      <c r="T29" s="774"/>
      <c r="U29" s="775"/>
      <c r="V29" s="774"/>
      <c r="W29" s="775"/>
      <c r="X29" s="1812"/>
      <c r="Y29" s="3216"/>
      <c r="Z29" s="1813"/>
      <c r="AA29" s="1810">
        <v>1</v>
      </c>
      <c r="AB29" s="1810">
        <v>1</v>
      </c>
      <c r="AC29" s="1810">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6"/>
      <c r="Q30" s="1809" t="str">
        <f t="shared" si="8"/>
        <v>土地级别</v>
      </c>
      <c r="R30" s="774" t="s">
        <v>17</v>
      </c>
      <c r="S30" s="775">
        <f t="shared" si="10"/>
        <v>100</v>
      </c>
      <c r="T30" s="774" t="s">
        <v>17</v>
      </c>
      <c r="U30" s="775">
        <f t="shared" si="11"/>
        <v>100</v>
      </c>
      <c r="V30" s="774" t="s">
        <v>17</v>
      </c>
      <c r="W30" s="775">
        <f t="shared" si="12"/>
        <v>100</v>
      </c>
      <c r="X30" s="1812"/>
      <c r="Y30" s="3216"/>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6"/>
      <c r="Q31" s="1809">
        <f t="shared" si="8"/>
        <v>111</v>
      </c>
      <c r="R31" s="774" t="s">
        <v>17</v>
      </c>
      <c r="S31" s="775">
        <f t="shared" si="10"/>
        <v>100</v>
      </c>
      <c r="T31" s="774" t="s">
        <v>17</v>
      </c>
      <c r="U31" s="775">
        <f t="shared" si="11"/>
        <v>100</v>
      </c>
      <c r="V31" s="774" t="s">
        <v>17</v>
      </c>
      <c r="W31" s="775">
        <f t="shared" si="12"/>
        <v>100</v>
      </c>
      <c r="X31" s="1812"/>
      <c r="Y31" s="3216"/>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9" t="s">
        <v>2552</v>
      </c>
      <c r="Q32" s="1809">
        <f t="shared" si="8"/>
        <v>111</v>
      </c>
      <c r="R32" s="774" t="s">
        <v>17</v>
      </c>
      <c r="S32" s="775">
        <f t="shared" si="10"/>
        <v>100</v>
      </c>
      <c r="T32" s="774" t="s">
        <v>17</v>
      </c>
      <c r="U32" s="775">
        <f t="shared" si="11"/>
        <v>100</v>
      </c>
      <c r="V32" s="774" t="s">
        <v>17</v>
      </c>
      <c r="W32" s="775">
        <f t="shared" si="12"/>
        <v>100</v>
      </c>
      <c r="X32" s="1812"/>
      <c r="Y32" s="3220" t="s">
        <v>2552</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0"/>
      <c r="Q33" s="1809">
        <f t="shared" si="8"/>
        <v>111</v>
      </c>
      <c r="R33" s="777" t="s">
        <v>17</v>
      </c>
      <c r="S33" s="778">
        <f t="shared" si="10"/>
        <v>100</v>
      </c>
      <c r="T33" s="777" t="s">
        <v>17</v>
      </c>
      <c r="U33" s="778">
        <f t="shared" si="11"/>
        <v>100</v>
      </c>
      <c r="V33" s="777" t="s">
        <v>17</v>
      </c>
      <c r="W33" s="778">
        <f t="shared" si="12"/>
        <v>100</v>
      </c>
      <c r="X33" s="779"/>
      <c r="Y33" s="3220"/>
      <c r="Z33" s="780">
        <f t="shared" si="13"/>
        <v>111</v>
      </c>
      <c r="AA33" s="1810">
        <f t="shared" si="3"/>
        <v>1</v>
      </c>
      <c r="AB33" s="1810">
        <f t="shared" si="4"/>
        <v>1</v>
      </c>
      <c r="AC33" s="1810">
        <f t="shared" si="5"/>
        <v>1</v>
      </c>
    </row>
    <row r="34" spans="1:29" ht="15">
      <c r="A34" s="440" t="s">
        <v>2550</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0"/>
      <c r="Q34" s="1809" t="str">
        <f>B34</f>
        <v>宗地面积</v>
      </c>
      <c r="R34" s="774" t="s">
        <v>17</v>
      </c>
      <c r="S34" s="775" t="e">
        <f t="shared" si="10"/>
        <v>#N/A</v>
      </c>
      <c r="T34" s="774" t="s">
        <v>17</v>
      </c>
      <c r="U34" s="775" t="e">
        <f t="shared" si="11"/>
        <v>#N/A</v>
      </c>
      <c r="V34" s="774" t="s">
        <v>17</v>
      </c>
      <c r="W34" s="775" t="e">
        <f t="shared" si="12"/>
        <v>#N/A</v>
      </c>
      <c r="X34" s="1812"/>
      <c r="Y34" s="3220"/>
      <c r="Z34" s="1813" t="str">
        <f t="shared" si="13"/>
        <v>宗地面积</v>
      </c>
      <c r="AA34" s="1810" t="e">
        <f t="shared" si="3"/>
        <v>#N/A</v>
      </c>
      <c r="AB34" s="1810" t="e">
        <f t="shared" si="4"/>
        <v>#N/A</v>
      </c>
      <c r="AC34" s="1810" t="e">
        <f t="shared" si="5"/>
        <v>#N/A</v>
      </c>
    </row>
    <row r="35" spans="1:29" ht="15">
      <c r="A35" s="472"/>
      <c r="B35" s="422" t="s">
        <v>2738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20"/>
      <c r="Q35" s="1809" t="str">
        <f t="shared" ref="Q35:Q40" si="14">B35</f>
        <v>宗地形状</v>
      </c>
      <c r="R35" s="774" t="s">
        <v>17</v>
      </c>
      <c r="S35" s="775">
        <f t="shared" si="10"/>
        <v>100</v>
      </c>
      <c r="T35" s="774" t="s">
        <v>17</v>
      </c>
      <c r="U35" s="775">
        <f t="shared" si="11"/>
        <v>100</v>
      </c>
      <c r="V35" s="774" t="s">
        <v>17</v>
      </c>
      <c r="W35" s="775">
        <f t="shared" si="12"/>
        <v>100</v>
      </c>
      <c r="X35" s="1812"/>
      <c r="Y35" s="3220"/>
      <c r="Z35" s="1813" t="str">
        <f t="shared" si="13"/>
        <v>宗地形状</v>
      </c>
      <c r="AA35" s="1810">
        <f t="shared" si="3"/>
        <v>1</v>
      </c>
      <c r="AB35" s="1810">
        <f t="shared" si="4"/>
        <v>1</v>
      </c>
      <c r="AC35" s="1810">
        <f t="shared" si="5"/>
        <v>1</v>
      </c>
    </row>
    <row r="36" spans="1:29" s="117" customFormat="1" ht="15">
      <c r="A36" s="473"/>
      <c r="B36" s="422" t="s">
        <v>2740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20"/>
      <c r="Q36" s="1809"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2741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20" t="s">
        <v>2552</v>
      </c>
      <c r="Q37" s="1809" t="str">
        <f t="shared" si="14"/>
        <v>工程地质条件</v>
      </c>
      <c r="R37" s="774" t="s">
        <v>17</v>
      </c>
      <c r="S37" s="775">
        <f t="shared" si="10"/>
        <v>100</v>
      </c>
      <c r="T37" s="774" t="s">
        <v>17</v>
      </c>
      <c r="U37" s="775">
        <f t="shared" si="11"/>
        <v>100</v>
      </c>
      <c r="V37" s="774" t="s">
        <v>17</v>
      </c>
      <c r="W37" s="775">
        <f t="shared" si="12"/>
        <v>100</v>
      </c>
      <c r="X37" s="1812"/>
      <c r="Y37" s="3220" t="s">
        <v>2552</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0"/>
      <c r="Q38" s="1809">
        <f t="shared" si="14"/>
        <v>111</v>
      </c>
      <c r="R38" s="774" t="s">
        <v>17</v>
      </c>
      <c r="S38" s="775">
        <f t="shared" si="10"/>
        <v>100</v>
      </c>
      <c r="T38" s="774" t="s">
        <v>17</v>
      </c>
      <c r="U38" s="775">
        <f t="shared" si="11"/>
        <v>100</v>
      </c>
      <c r="V38" s="774" t="s">
        <v>17</v>
      </c>
      <c r="W38" s="775">
        <f t="shared" si="12"/>
        <v>100</v>
      </c>
      <c r="X38" s="1812"/>
      <c r="Y38" s="3220"/>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0"/>
      <c r="Q39" s="1809">
        <f t="shared" si="14"/>
        <v>111</v>
      </c>
      <c r="R39" s="774" t="s">
        <v>17</v>
      </c>
      <c r="S39" s="775">
        <f t="shared" si="10"/>
        <v>100</v>
      </c>
      <c r="T39" s="774" t="s">
        <v>17</v>
      </c>
      <c r="U39" s="775">
        <f t="shared" si="11"/>
        <v>100</v>
      </c>
      <c r="V39" s="774" t="s">
        <v>17</v>
      </c>
      <c r="W39" s="775">
        <f t="shared" si="12"/>
        <v>100</v>
      </c>
      <c r="X39" s="1812"/>
      <c r="Y39" s="3220"/>
      <c r="Z39" s="1813">
        <f t="shared" si="13"/>
        <v>111</v>
      </c>
      <c r="AA39" s="1810">
        <f t="shared" si="3"/>
        <v>1</v>
      </c>
      <c r="AB39" s="1810">
        <f t="shared" si="4"/>
        <v>1</v>
      </c>
      <c r="AC39" s="1810">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0"/>
      <c r="Q40" s="1809">
        <f t="shared" si="14"/>
        <v>111</v>
      </c>
      <c r="R40" s="777" t="s">
        <v>17</v>
      </c>
      <c r="S40" s="778">
        <f t="shared" si="10"/>
        <v>100</v>
      </c>
      <c r="T40" s="777" t="s">
        <v>17</v>
      </c>
      <c r="U40" s="778">
        <f t="shared" si="11"/>
        <v>100</v>
      </c>
      <c r="V40" s="777" t="s">
        <v>17</v>
      </c>
      <c r="W40" s="778">
        <f t="shared" si="12"/>
        <v>100</v>
      </c>
      <c r="X40" s="779"/>
      <c r="Y40" s="3220"/>
      <c r="Z40" s="780">
        <f t="shared" si="13"/>
        <v>111</v>
      </c>
      <c r="AA40" s="1810">
        <f t="shared" si="3"/>
        <v>1</v>
      </c>
      <c r="AB40" s="1810">
        <f t="shared" si="4"/>
        <v>1</v>
      </c>
      <c r="AC40" s="1810">
        <f t="shared" si="5"/>
        <v>1</v>
      </c>
    </row>
    <row r="41" spans="1:29" ht="14.4">
      <c r="A41" s="479" t="s">
        <v>2707</v>
      </c>
      <c r="B41" s="2702" t="s">
        <v>2784</v>
      </c>
      <c r="C41" s="682" t="s">
        <v>1</v>
      </c>
      <c r="D41" s="481"/>
      <c r="E41" s="482"/>
      <c r="F41" s="483"/>
      <c r="G41" s="484"/>
      <c r="H41" s="485"/>
      <c r="I41" s="482"/>
      <c r="J41" s="485"/>
      <c r="K41" s="783"/>
      <c r="L41" s="1143"/>
      <c r="M41" s="1131"/>
      <c r="N41" s="1131"/>
      <c r="O41" s="1144"/>
      <c r="P41" s="3213" t="str">
        <f>A41</f>
        <v>成交单价</v>
      </c>
      <c r="Q41" s="3213"/>
      <c r="R41" s="3208">
        <f>E41</f>
        <v>0</v>
      </c>
      <c r="S41" s="3208"/>
      <c r="T41" s="3208">
        <f>G41</f>
        <v>0</v>
      </c>
      <c r="U41" s="3208"/>
      <c r="V41" s="3208">
        <f>I41</f>
        <v>0</v>
      </c>
      <c r="W41" s="3208"/>
      <c r="X41" s="759"/>
      <c r="Y41" s="781"/>
      <c r="Z41" s="759"/>
      <c r="AA41" s="759"/>
      <c r="AB41" s="759"/>
      <c r="AC41" s="759"/>
    </row>
    <row r="42" spans="1:29" ht="15" thickBot="1">
      <c r="A42" s="486" t="s">
        <v>2656</v>
      </c>
      <c r="B42" s="683"/>
      <c r="C42" s="490" t="e">
        <f>R43</f>
        <v>#DIV/0!</v>
      </c>
      <c r="D42" s="489"/>
      <c r="E42" s="490" t="e">
        <f>R42</f>
        <v>#DIV/0!</v>
      </c>
      <c r="F42" s="491"/>
      <c r="G42" s="488" t="e">
        <f>T42</f>
        <v>#DIV/0!</v>
      </c>
      <c r="H42" s="489"/>
      <c r="I42" s="490" t="e">
        <f>V42</f>
        <v>#DIV/0!</v>
      </c>
      <c r="J42" s="489"/>
      <c r="K42" s="784"/>
      <c r="L42" s="1143"/>
      <c r="M42" s="1131"/>
      <c r="N42" s="1131"/>
      <c r="O42" s="1144"/>
      <c r="P42" s="3213" t="str">
        <f>A42</f>
        <v>比较价值（元/平方米）</v>
      </c>
      <c r="Q42" s="3213"/>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 thickBot="1">
      <c r="A43" s="492" t="s">
        <v>2657</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43" t="e">
        <f>ROUND(AVERAGE(R42:V42),0)</f>
        <v>#DIV/0!</v>
      </c>
      <c r="S43" s="3243"/>
      <c r="T43" s="3243"/>
      <c r="U43" s="3243"/>
      <c r="V43" s="3243"/>
      <c r="W43" s="324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2743</v>
      </c>
      <c r="B50" s="685" t="s">
        <v>2744</v>
      </c>
      <c r="C50" s="2703" t="s">
        <v>2745</v>
      </c>
      <c r="D50" s="2704" t="s">
        <v>2746</v>
      </c>
      <c r="E50" s="686" t="s">
        <v>2747</v>
      </c>
      <c r="F50" s="687" t="s">
        <v>2748</v>
      </c>
      <c r="G50" s="3196" t="s">
        <v>2749</v>
      </c>
      <c r="H50" s="3244"/>
      <c r="I50" s="1813" t="s">
        <v>2785</v>
      </c>
      <c r="J50" s="1813">
        <f>项目基本情况!F35</f>
        <v>0</v>
      </c>
      <c r="K50" s="2706" t="s">
        <v>2751</v>
      </c>
      <c r="L50" s="1106"/>
      <c r="M50" s="1144"/>
      <c r="N50" s="1144"/>
      <c r="O50" s="1144"/>
    </row>
    <row r="51" spans="1:17" s="692" customFormat="1">
      <c r="A51" s="688" t="s">
        <v>2752</v>
      </c>
      <c r="B51" s="689" t="e">
        <f>C43</f>
        <v>#DIV/0!</v>
      </c>
      <c r="C51" s="690">
        <v>1</v>
      </c>
      <c r="D51" s="1163">
        <v>1</v>
      </c>
      <c r="E51" s="690">
        <f>'数据-汇总表'!E8+'数据-汇总表'!E9</f>
        <v>42449.82</v>
      </c>
      <c r="F51" s="691" t="e">
        <f t="shared" ref="F51:F60" si="15">ROUND(B51*E51/10000,0)</f>
        <v>#DIV/0!</v>
      </c>
      <c r="G51" s="3195"/>
      <c r="H51" s="3213"/>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245"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245"/>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245"/>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245"/>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7"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7" t="s">
        <v>2754</v>
      </c>
      <c r="H59" s="1104">
        <f>项目基本情况!B37</f>
        <v>0</v>
      </c>
      <c r="I59" s="942">
        <f>SUMIF(修正!A45:A56,H59,修正!H45:H56)</f>
        <v>0</v>
      </c>
      <c r="J59" s="943"/>
      <c r="K59" s="1145"/>
      <c r="L59" s="941"/>
      <c r="M59" s="941"/>
      <c r="N59" s="941"/>
      <c r="O59" s="941"/>
    </row>
    <row r="60" spans="1:17" s="692" customFormat="1" ht="14.4" thickBot="1">
      <c r="A60" s="693" t="s">
        <v>2765</v>
      </c>
      <c r="B60" s="262" t="e">
        <f t="shared" si="17"/>
        <v>#DIV/0!</v>
      </c>
      <c r="C60" s="200">
        <f t="shared" si="16"/>
        <v>0</v>
      </c>
      <c r="D60" s="1164">
        <v>0.25</v>
      </c>
      <c r="E60" s="261">
        <f>'数据-汇总表'!E15</f>
        <v>0</v>
      </c>
      <c r="F60" s="691" t="e">
        <f t="shared" si="15"/>
        <v>#DIV/0!</v>
      </c>
      <c r="G60" s="2708" t="s">
        <v>2759</v>
      </c>
      <c r="H60" s="1114">
        <f>项目基本情况!C37</f>
        <v>0</v>
      </c>
      <c r="I60" s="942">
        <f>SUMIF(修正!A45:A56,H60,修正!H45:H56)</f>
        <v>0</v>
      </c>
      <c r="J60" s="943"/>
      <c r="K60" s="1144"/>
      <c r="L60" s="941"/>
      <c r="M60" s="941"/>
      <c r="N60" s="941"/>
      <c r="O60" s="941"/>
    </row>
    <row r="61" spans="1:17" s="692" customFormat="1" ht="14.4" thickBot="1">
      <c r="A61" s="695" t="s">
        <v>2766</v>
      </c>
      <c r="B61" s="696" t="s">
        <v>28</v>
      </c>
      <c r="C61" s="696" t="s">
        <v>29</v>
      </c>
      <c r="D61" s="696" t="s">
        <v>1026</v>
      </c>
      <c r="E61" s="696">
        <f>IF(B41="楼面地价",SUM(E51:E60),'数据-汇总表'!D3)</f>
        <v>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2.2" thickBot="1">
      <c r="A64" s="763" t="s">
        <v>2661</v>
      </c>
      <c r="B64" s="759"/>
      <c r="C64" s="764"/>
      <c r="D64" s="764"/>
      <c r="E64" s="764"/>
      <c r="F64" s="765"/>
      <c r="G64" s="765"/>
      <c r="H64" s="764"/>
      <c r="I64" s="764"/>
      <c r="J64" s="764"/>
      <c r="K64" s="766"/>
      <c r="L64" s="767"/>
      <c r="M64" s="764"/>
      <c r="N64" s="764"/>
      <c r="O64" s="1159"/>
      <c r="P64" s="503"/>
      <c r="Q64" s="504"/>
    </row>
    <row r="65" spans="1:17" s="508" customFormat="1" ht="14.4">
      <c r="A65" s="2709" t="s">
        <v>2767</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4" t="s">
        <v>2786</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 thickBot="1">
      <c r="A67" s="515" t="s">
        <v>2572</v>
      </c>
      <c r="B67" s="516"/>
      <c r="C67" s="517"/>
      <c r="D67" s="518"/>
      <c r="E67" s="518"/>
      <c r="F67" s="518"/>
      <c r="G67" s="518"/>
      <c r="H67" s="518"/>
      <c r="I67" s="518"/>
      <c r="J67" s="518"/>
      <c r="K67" s="518"/>
      <c r="L67" s="518"/>
      <c r="M67" s="519"/>
      <c r="N67" s="519"/>
      <c r="O67" s="520"/>
      <c r="P67" s="504"/>
      <c r="Q67" s="504"/>
    </row>
    <row r="68" spans="1:17" s="117" customFormat="1" ht="14.4">
      <c r="A68" s="521" t="s">
        <v>2537</v>
      </c>
      <c r="B68" s="510"/>
      <c r="C68" s="522" t="s">
        <v>2639</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2575</v>
      </c>
      <c r="B70" s="528" t="s">
        <v>2541</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2544</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2546</v>
      </c>
      <c r="B83" s="528" t="s">
        <v>2692</v>
      </c>
      <c r="C83" s="573" t="s">
        <v>2584</v>
      </c>
      <c r="D83" s="573" t="s">
        <v>2585</v>
      </c>
      <c r="E83" s="573" t="s">
        <v>2586</v>
      </c>
      <c r="F83" s="573" t="s">
        <v>2587</v>
      </c>
      <c r="G83" s="573" t="s">
        <v>2588</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2589</v>
      </c>
      <c r="C85" s="578" t="s">
        <v>2584</v>
      </c>
      <c r="D85" s="578" t="s">
        <v>2585</v>
      </c>
      <c r="E85" s="578" t="s">
        <v>2586</v>
      </c>
      <c r="F85" s="578" t="s">
        <v>2587</v>
      </c>
      <c r="G85" s="578" t="s">
        <v>2588</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2769</v>
      </c>
      <c r="C87" s="573" t="s">
        <v>2584</v>
      </c>
      <c r="D87" s="573" t="s">
        <v>2585</v>
      </c>
      <c r="E87" s="573" t="s">
        <v>2586</v>
      </c>
      <c r="F87" s="573" t="s">
        <v>2587</v>
      </c>
      <c r="G87" s="573" t="s">
        <v>2588</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2770</v>
      </c>
      <c r="C89" s="573" t="s">
        <v>2584</v>
      </c>
      <c r="D89" s="573" t="s">
        <v>2585</v>
      </c>
      <c r="E89" s="573" t="s">
        <v>2586</v>
      </c>
      <c r="F89" s="573" t="s">
        <v>2587</v>
      </c>
      <c r="G89" s="573" t="s">
        <v>2588</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2641</v>
      </c>
      <c r="C91" s="573" t="s">
        <v>2584</v>
      </c>
      <c r="D91" s="573" t="s">
        <v>2585</v>
      </c>
      <c r="E91" s="573" t="s">
        <v>2586</v>
      </c>
      <c r="F91" s="573" t="s">
        <v>2587</v>
      </c>
      <c r="G91" s="573" t="s">
        <v>2588</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2787</v>
      </c>
      <c r="C93" s="660" t="s">
        <v>2662</v>
      </c>
      <c r="D93" s="660" t="s">
        <v>2663</v>
      </c>
      <c r="E93" s="660" t="s">
        <v>2664</v>
      </c>
      <c r="F93" s="660" t="s">
        <v>2665</v>
      </c>
      <c r="G93" s="660" t="s">
        <v>2666</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2678</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2736</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2550</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2788</v>
      </c>
      <c r="B1" s="241"/>
      <c r="C1" s="245" t="s">
        <v>2789</v>
      </c>
      <c r="D1" s="388">
        <f>SUM(D29:D30,D33:D39)</f>
        <v>0</v>
      </c>
      <c r="E1" s="2715"/>
      <c r="F1" s="2715"/>
      <c r="G1" s="2715"/>
      <c r="H1" s="2715"/>
      <c r="I1" s="2715"/>
      <c r="J1" s="2715"/>
      <c r="K1" s="1370"/>
      <c r="L1" s="2716" t="s">
        <v>2790</v>
      </c>
      <c r="M1" s="1080">
        <f>SUMPRODUCT((区片价!B5:B9=I2)*(区片价!C3:F3=E2)*(区片价!C5:F9))</f>
        <v>0</v>
      </c>
      <c r="N1" s="1083">
        <f>SUMPRODUCT((因素修正幅度!B5:B9=I2)*(因素修正幅度!C3:F3=E2)*(因素修正幅度!C5:F9))</f>
        <v>0</v>
      </c>
      <c r="O1" s="2717"/>
      <c r="P1" s="2717"/>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6">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2802</v>
      </c>
      <c r="B3" s="248" t="e">
        <f>ROUND(B2*10000/D1,0)</f>
        <v>#DIV/0!</v>
      </c>
      <c r="C3" s="2719" t="s">
        <v>2803</v>
      </c>
      <c r="D3" s="2720" t="s">
        <v>2804</v>
      </c>
      <c r="E3" s="2725"/>
      <c r="F3" s="2726" t="s">
        <v>2805</v>
      </c>
      <c r="G3" s="916">
        <f>IF(F3="宗地容积率",'数据-汇总表'!I4,IF(F3="估价对象容积率",'数据-汇总表'!I6,'数据-汇总表'!I7))</f>
        <v>0.42</v>
      </c>
      <c r="H3" s="198" t="s">
        <v>2806</v>
      </c>
      <c r="I3" s="944"/>
      <c r="J3" s="2723" t="s">
        <v>2807</v>
      </c>
      <c r="K3" s="1370"/>
      <c r="L3" s="2724" t="s">
        <v>2808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66"/>
      <c r="B4" s="3267"/>
      <c r="C4" s="3267"/>
      <c r="D4" s="3268"/>
      <c r="E4" s="3268"/>
      <c r="F4" s="3268"/>
      <c r="G4" s="3268"/>
      <c r="H4" s="3268"/>
      <c r="I4" s="3268"/>
      <c r="J4" s="3269"/>
      <c r="K4" s="1370"/>
      <c r="L4" s="2724" t="s">
        <v>2809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2810</v>
      </c>
      <c r="C5" s="917" t="e">
        <f>ROUND(IF(E2="商业",C6*C7+C16,(IF(E2="住宅",C6*C12+C16,C6+C16))),0)</f>
        <v>#DIV/0!</v>
      </c>
      <c r="D5" s="1786" t="e">
        <f>ROUND(C6+C16,0)</f>
        <v>#DIV/0!</v>
      </c>
      <c r="E5" s="1786"/>
      <c r="F5" s="2729"/>
      <c r="G5" s="2730"/>
      <c r="H5" s="2730"/>
      <c r="I5" s="2730"/>
      <c r="J5" s="2731"/>
      <c r="K5" s="2732"/>
      <c r="L5" s="2724" t="s">
        <v>2811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6" thickBot="1">
      <c r="A6" s="2737" t="s">
        <v>2812</v>
      </c>
      <c r="B6" s="2738" t="s">
        <v>2813</v>
      </c>
      <c r="C6" s="918">
        <f>SUMIF(L1:L12,G2,M1:M12)</f>
        <v>0</v>
      </c>
      <c r="D6" s="2739" t="s">
        <v>2814</v>
      </c>
      <c r="E6" s="2740"/>
      <c r="F6" s="2740"/>
      <c r="G6" s="2741"/>
      <c r="H6" s="2741"/>
      <c r="I6" s="2741"/>
      <c r="J6" s="2742"/>
      <c r="K6" s="1841"/>
      <c r="L6" s="2724" t="s">
        <v>2815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50" t="str">
        <f>IF(E2="商业",IF(C8="不临58条商业街","",2),"")</f>
        <v/>
      </c>
      <c r="B7" s="2743" t="s">
        <v>2816</v>
      </c>
      <c r="C7" s="919" t="e">
        <f>IF(C8="不临58条商业街",1,ROUND(1+(1.6*E8+1.2*E9+0.8*E10+0.4*E11)*C9,4))</f>
        <v>#DIV/0!</v>
      </c>
      <c r="D7" s="2744" t="s">
        <v>2817</v>
      </c>
      <c r="E7" s="945"/>
      <c r="F7" s="2745"/>
      <c r="G7" s="2746"/>
      <c r="H7" s="2746"/>
      <c r="I7" s="2746"/>
      <c r="J7" s="2747"/>
      <c r="K7" s="1841"/>
      <c r="L7" s="2724" t="s">
        <v>2818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2819</v>
      </c>
      <c r="X7" s="1603">
        <f>G2</f>
        <v>0</v>
      </c>
      <c r="Y7" s="1603" t="s">
        <v>2820</v>
      </c>
      <c r="Z7" s="1604">
        <f>G3</f>
        <v>0.42</v>
      </c>
      <c r="AA7" s="1605"/>
      <c r="AB7" s="1605"/>
      <c r="AC7" s="1606"/>
      <c r="AD7" s="1607"/>
      <c r="AE7" s="1607"/>
      <c r="AF7" s="1607"/>
      <c r="AG7" s="1607"/>
      <c r="AH7" s="1607"/>
      <c r="AI7" s="1607"/>
      <c r="AJ7" s="1608"/>
    </row>
    <row r="8" spans="1:36" ht="15">
      <c r="A8" s="3270"/>
      <c r="B8" s="198" t="s">
        <v>2821</v>
      </c>
      <c r="C8" s="2748"/>
      <c r="D8" s="920" t="s">
        <v>139</v>
      </c>
      <c r="E8" s="921" t="e">
        <f>ROUND(C11/E7,4)</f>
        <v>#DIV/0!</v>
      </c>
      <c r="F8" s="2749" t="s">
        <v>2822</v>
      </c>
      <c r="G8" s="2750"/>
      <c r="H8" s="2750"/>
      <c r="I8" s="2750"/>
      <c r="J8" s="2751"/>
      <c r="K8" s="1370"/>
      <c r="L8" s="2724" t="s">
        <v>2823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63" t="s">
        <v>2824</v>
      </c>
      <c r="X8" s="3264"/>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c r="A9" s="3270"/>
      <c r="B9" s="198" t="s">
        <v>2837</v>
      </c>
      <c r="C9" s="922">
        <f>SUMIF(修正!C59:C119,C8,修正!E59:E119)</f>
        <v>0</v>
      </c>
      <c r="D9" s="200" t="s">
        <v>140</v>
      </c>
      <c r="E9" s="200" t="e">
        <f>ROUND(C11/E7,4)</f>
        <v>#DIV/0!</v>
      </c>
      <c r="F9" s="2749" t="s">
        <v>2838</v>
      </c>
      <c r="G9" s="2750"/>
      <c r="H9" s="2750"/>
      <c r="I9" s="2750"/>
      <c r="J9" s="2751"/>
      <c r="K9" s="1370"/>
      <c r="L9" s="2724" t="s">
        <v>2839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5" t="s">
        <v>2840</v>
      </c>
      <c r="X9" s="1610" t="s">
        <v>2841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0"/>
      <c r="B10" s="198" t="s">
        <v>2842</v>
      </c>
      <c r="C10" s="200">
        <f>SUMIF(修正!C59:C119,C8,修正!F59:F119)</f>
        <v>0</v>
      </c>
      <c r="D10" s="200" t="s">
        <v>141</v>
      </c>
      <c r="E10" s="200" t="e">
        <f>ROUND(C11/E7,4)</f>
        <v>#DIV/0!</v>
      </c>
      <c r="F10" s="2749" t="s">
        <v>2843</v>
      </c>
      <c r="G10" s="2750"/>
      <c r="H10" s="2750"/>
      <c r="I10" s="2750"/>
      <c r="J10" s="2751"/>
      <c r="K10" s="1370"/>
      <c r="L10" s="2724" t="s">
        <v>2844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70"/>
      <c r="B11" s="2752" t="s">
        <v>2845</v>
      </c>
      <c r="C11" s="923">
        <f>C10/4</f>
        <v>0</v>
      </c>
      <c r="D11" s="923" t="s">
        <v>142</v>
      </c>
      <c r="E11" s="923" t="e">
        <f>ROUND(C11/E7,4)</f>
        <v>#DIV/0!</v>
      </c>
      <c r="F11" s="2753" t="s">
        <v>2846</v>
      </c>
      <c r="G11" s="2754"/>
      <c r="H11" s="2754"/>
      <c r="I11" s="2754"/>
      <c r="J11" s="2755"/>
      <c r="K11" s="1370"/>
      <c r="L11" s="2724" t="s">
        <v>2847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5" t="s">
        <v>2848</v>
      </c>
      <c r="X11" s="1613" t="s">
        <v>2849</v>
      </c>
      <c r="Y11" s="1614">
        <f>$G$3</f>
        <v>0.42</v>
      </c>
      <c r="Z11" s="1614">
        <f t="shared" ref="Z11:AJ11" si="3">$G$3</f>
        <v>0.42</v>
      </c>
      <c r="AA11" s="1614">
        <f t="shared" si="3"/>
        <v>0.42</v>
      </c>
      <c r="AB11" s="1614">
        <f t="shared" si="3"/>
        <v>0.42</v>
      </c>
      <c r="AC11" s="1614">
        <f t="shared" si="3"/>
        <v>0.42</v>
      </c>
      <c r="AD11" s="1614">
        <f t="shared" si="3"/>
        <v>0.42</v>
      </c>
      <c r="AE11" s="1614">
        <f t="shared" si="3"/>
        <v>0.42</v>
      </c>
      <c r="AF11" s="1614">
        <f t="shared" si="3"/>
        <v>0.42</v>
      </c>
      <c r="AG11" s="1614">
        <f t="shared" si="3"/>
        <v>0.42</v>
      </c>
      <c r="AH11" s="1614">
        <f t="shared" si="3"/>
        <v>0.42</v>
      </c>
      <c r="AI11" s="1614">
        <f t="shared" si="3"/>
        <v>0.42</v>
      </c>
      <c r="AJ11" s="1614">
        <f t="shared" si="3"/>
        <v>0.42</v>
      </c>
    </row>
    <row r="12" spans="1:36" ht="25.8" thickBot="1">
      <c r="A12" s="3250" t="s">
        <v>2850</v>
      </c>
      <c r="B12" s="2756" t="s">
        <v>2851</v>
      </c>
      <c r="C12" s="919">
        <f>ROUND(C15*D15*E15*F15*G15*H15*I15*J15,4)</f>
        <v>1</v>
      </c>
      <c r="D12" s="2757" t="s">
        <v>2852</v>
      </c>
      <c r="E12" s="2758"/>
      <c r="F12" s="2758"/>
      <c r="G12" s="2759"/>
      <c r="H12" s="2759"/>
      <c r="I12" s="2759"/>
      <c r="J12" s="2760"/>
      <c r="K12" s="1370"/>
      <c r="L12" s="2761" t="s">
        <v>2853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5"/>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1"/>
      <c r="B13" s="2762" t="s">
        <v>2855</v>
      </c>
      <c r="C13" s="2763" t="s">
        <v>2856</v>
      </c>
      <c r="D13" s="1807" t="s">
        <v>2857</v>
      </c>
      <c r="E13" s="1807" t="s">
        <v>2858</v>
      </c>
      <c r="F13" s="30" t="s">
        <v>2859</v>
      </c>
      <c r="G13" s="2764" t="s">
        <v>2860</v>
      </c>
      <c r="H13" s="2764" t="s">
        <v>2860</v>
      </c>
      <c r="I13" s="2764" t="s">
        <v>2860</v>
      </c>
      <c r="J13" s="2765" t="s">
        <v>2860</v>
      </c>
      <c r="K13" s="1370"/>
      <c r="L13" s="1370"/>
      <c r="M13" s="1370"/>
      <c r="N13" s="1370"/>
      <c r="O13" s="1370"/>
      <c r="P13" s="1370"/>
      <c r="Q13" s="1370"/>
      <c r="R13" s="1601">
        <v>12</v>
      </c>
      <c r="S13" s="1602"/>
      <c r="T13" s="1601" t="e">
        <f t="shared" si="0"/>
        <v>#DIV/0!</v>
      </c>
      <c r="U13" s="1602"/>
      <c r="V13" s="1601" t="e">
        <f t="shared" si="1"/>
        <v>#DIV/0!</v>
      </c>
      <c r="W13" s="3265"/>
      <c r="X13" s="1615"/>
      <c r="Y13" s="1612">
        <f>(-0.163*(Y12^2)-0.59*Y12+7617)*(10^(-4))/Y11</f>
        <v>1.8135714285714288</v>
      </c>
      <c r="Z13" s="1612">
        <f t="shared" ref="Z13:AJ13" si="5">(-0.163*(Z12^2)-0.59*Z12+7617)*(10^(-4))/Z11</f>
        <v>1.8135714285714288</v>
      </c>
      <c r="AA13" s="1612">
        <f t="shared" si="5"/>
        <v>1.8135714285714288</v>
      </c>
      <c r="AB13" s="1612">
        <f t="shared" si="5"/>
        <v>1.8135714285714288</v>
      </c>
      <c r="AC13" s="1612">
        <f t="shared" si="5"/>
        <v>1.8135714285714288</v>
      </c>
      <c r="AD13" s="1612">
        <f t="shared" si="5"/>
        <v>1.8135714285714288</v>
      </c>
      <c r="AE13" s="1612">
        <f t="shared" si="5"/>
        <v>1.8135714285714288</v>
      </c>
      <c r="AF13" s="1612">
        <f t="shared" si="5"/>
        <v>1.8135714285714288</v>
      </c>
      <c r="AG13" s="1612">
        <f t="shared" si="5"/>
        <v>1.8135714285714288</v>
      </c>
      <c r="AH13" s="1612">
        <f t="shared" si="5"/>
        <v>1.8135714285714288</v>
      </c>
      <c r="AI13" s="1612">
        <f t="shared" si="5"/>
        <v>1.8135714285714288</v>
      </c>
      <c r="AJ13" s="1612">
        <f t="shared" si="5"/>
        <v>1.8135714285714288</v>
      </c>
    </row>
    <row r="14" spans="1:36" ht="15">
      <c r="A14" s="3271"/>
      <c r="B14" s="2766"/>
      <c r="C14" s="2767"/>
      <c r="D14" s="2768"/>
      <c r="E14" s="2768"/>
      <c r="F14" s="2769"/>
      <c r="G14" s="2770" t="s">
        <v>2861</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72"/>
      <c r="B15" s="2774" t="s">
        <v>2862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50" t="s">
        <v>2867</v>
      </c>
      <c r="B16" s="2743" t="s">
        <v>2868</v>
      </c>
      <c r="C16" s="2930" t="e">
        <f>ROUND(IF(F17="与级别开发程度一致",0,(G17-E17)/C17),0)</f>
        <v>#DIV/0!</v>
      </c>
      <c r="D16" s="3261" t="s">
        <v>2872</v>
      </c>
      <c r="E16" s="3262"/>
      <c r="F16" s="3261" t="s">
        <v>2869</v>
      </c>
      <c r="G16" s="3262"/>
      <c r="H16" s="2777"/>
      <c r="I16" s="2777"/>
      <c r="J16" s="2934"/>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51"/>
      <c r="B17" s="2941" t="s">
        <v>2871</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5" t="s">
        <v>808</v>
      </c>
      <c r="B18" s="2936" t="s">
        <v>2874</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2875</v>
      </c>
      <c r="C19" s="924" t="e">
        <f>ROUND(IF(H19="按公示增长率计算",SUMPRODUCT((地价!A3:A28=YEAR(G19)&amp;"-"&amp;ROUNDUP(MONTH(G19)/3,0))*(地价!X2:AB2=E2)*(地价!X3:AB28)),IF(H19="地价指数",M20/M19,(1+I19)^O19)),4)</f>
        <v>#VALUE!</v>
      </c>
      <c r="D19" s="2787" t="s">
        <v>2876</v>
      </c>
      <c r="E19" s="925">
        <v>41640</v>
      </c>
      <c r="F19" s="2787" t="s">
        <v>2877</v>
      </c>
      <c r="G19" s="926">
        <f>'数据-取费表'!B2</f>
        <v>43768</v>
      </c>
      <c r="H19" s="2788"/>
      <c r="I19" s="927" t="str">
        <f>IF(H19="季度增幅（自定义）",SUMIF(N21:N24,E2,O21:O24),"")</f>
        <v/>
      </c>
      <c r="J19" s="2785"/>
      <c r="K19" s="1377"/>
      <c r="L19" s="2789" t="s">
        <v>2878</v>
      </c>
      <c r="M19" s="1733">
        <f>ROUND(SUMIF(地价!B2:F2,E2,地价!B28:F28),0)</f>
        <v>0</v>
      </c>
      <c r="N19" s="2790" t="s">
        <v>2879</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2880</v>
      </c>
      <c r="C20" s="929" t="e">
        <f>ROUND(POWER(1+G20,J20-I20)*(POWER(1+G20,I20)-1)/(POWER(1+G20,J20)-1),4)</f>
        <v>#DIV/0!</v>
      </c>
      <c r="D20" s="2796" t="s">
        <v>2881</v>
      </c>
      <c r="E20" s="1767">
        <f ca="1">存贷款利率!D4/100</f>
        <v>4.3499999999999997E-2</v>
      </c>
      <c r="F20" s="2796" t="s">
        <v>2873</v>
      </c>
      <c r="G20" s="934">
        <f>SUMIF(M26:P26,E2,M28:P28)</f>
        <v>0</v>
      </c>
      <c r="H20" s="2796" t="s">
        <v>2882</v>
      </c>
      <c r="I20" s="935" t="e">
        <f>SUMIF('数据-取费表'!C6:C15,E2,'数据-取费表'!F6:F15)/COUNTIF('数据-取费表'!C6:C15,E2)</f>
        <v>#DIV/0!</v>
      </c>
      <c r="J20" s="936">
        <f>IF(E2="住宅",70,IF(E2="商业",40,50))</f>
        <v>50</v>
      </c>
      <c r="K20" s="1377"/>
      <c r="L20" s="2797" t="s">
        <v>2883</v>
      </c>
      <c r="M20" s="1734">
        <f>ROUND(SUMPRODUCT((地价!A4:A28=YEAR(G19)&amp;"-"&amp;ROUNDUP(MONTH(G19)/3,0))*(地价!B2:F2=E2)*(地价!B4:F28)),0)</f>
        <v>0</v>
      </c>
      <c r="N20" s="2798" t="s">
        <v>2884</v>
      </c>
      <c r="O20" s="2799" t="s">
        <v>2885</v>
      </c>
      <c r="P20" s="2800" t="s">
        <v>2886</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2887</v>
      </c>
      <c r="C21" s="937">
        <f>IF(B21="容积率修正",IF(G3&lt;=10,D22,J22),C23)</f>
        <v>0</v>
      </c>
      <c r="D21" s="2803"/>
      <c r="E21" s="2803"/>
      <c r="F21" s="2803"/>
      <c r="G21" s="2803"/>
      <c r="H21" s="2803"/>
      <c r="I21" s="2803"/>
      <c r="J21" s="2804"/>
      <c r="K21" s="1377"/>
      <c r="N21" s="2805" t="s">
        <v>2888</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4">
      <c r="A22" s="2662" t="s">
        <v>2889</v>
      </c>
      <c r="B22" s="2806" t="s">
        <v>2890</v>
      </c>
      <c r="C22" s="1809" t="s">
        <v>2891</v>
      </c>
      <c r="D22" s="1809">
        <f>IF(E22=G22,F22,IF(G3&lt;=10,ROUND(F22+(H22-F22)*(G3-E22)/(G22-E22),4),"——"))</f>
        <v>0</v>
      </c>
      <c r="E22" s="916">
        <f>ROUNDDOWN(G3,1)</f>
        <v>0.4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2892</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9.4" thickBot="1">
      <c r="A23" s="2662" t="s">
        <v>2893</v>
      </c>
      <c r="B23" s="2807" t="s">
        <v>2894</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2895</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2896</v>
      </c>
      <c r="C24" s="924">
        <f>SUMIF(A45:A88,E2,B45:B88)</f>
        <v>0</v>
      </c>
      <c r="D24" s="2784"/>
      <c r="E24" s="2813"/>
      <c r="F24" s="2813"/>
      <c r="G24" s="2813"/>
      <c r="H24" s="2813"/>
      <c r="I24" s="2813"/>
      <c r="J24" s="2814"/>
      <c r="K24" s="1377"/>
      <c r="N24" s="2815" t="s">
        <v>2897</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2898</v>
      </c>
      <c r="C25" s="930"/>
      <c r="D25" s="2746"/>
      <c r="E25" s="2746"/>
      <c r="F25" s="2817"/>
      <c r="G25" s="2746"/>
      <c r="H25" s="2746"/>
      <c r="I25" s="2746"/>
      <c r="J25" s="2747"/>
      <c r="K25" s="1370"/>
      <c r="N25" s="2818" t="s">
        <v>2899</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4.4">
      <c r="A26" s="2819"/>
      <c r="B26" s="2806" t="s">
        <v>2900</v>
      </c>
      <c r="C26" s="206" t="e">
        <f>E29+SUM(E33:E39)</f>
        <v>#DIV/0!</v>
      </c>
      <c r="D26" s="2820"/>
      <c r="E26" s="2771"/>
      <c r="F26" s="2821"/>
      <c r="G26" s="2771"/>
      <c r="H26" s="2771"/>
      <c r="I26" s="2771"/>
      <c r="J26" s="2822"/>
      <c r="K26" s="1370"/>
      <c r="L26" s="2775" t="s">
        <v>2798</v>
      </c>
      <c r="M26" s="920" t="s">
        <v>2863</v>
      </c>
      <c r="N26" s="920" t="s">
        <v>2864</v>
      </c>
      <c r="O26" s="920" t="s">
        <v>2865</v>
      </c>
      <c r="P26" s="2776" t="s">
        <v>2866</v>
      </c>
      <c r="R26" s="1376"/>
      <c r="S26" s="1376"/>
      <c r="T26" s="1371"/>
      <c r="U26" s="1371"/>
      <c r="V26" s="1371"/>
      <c r="W26" s="1370"/>
      <c r="X26" s="1370"/>
      <c r="Y26" s="1370"/>
      <c r="Z26" s="1377"/>
      <c r="AA26" s="1378"/>
      <c r="AB26" s="1378"/>
      <c r="AC26" s="1378"/>
      <c r="AD26" s="1378"/>
    </row>
    <row r="27" spans="1:37" ht="15" thickBot="1">
      <c r="A27" s="2819"/>
      <c r="B27" s="2823" t="s">
        <v>2901</v>
      </c>
      <c r="C27" s="931" t="e">
        <f>E30+SUM(I33:I39)</f>
        <v>#DIV/0!</v>
      </c>
      <c r="D27" s="2824"/>
      <c r="E27" s="2825"/>
      <c r="F27" s="2826"/>
      <c r="G27" s="2825"/>
      <c r="H27" s="2825"/>
      <c r="I27" s="2825"/>
      <c r="J27" s="2827"/>
      <c r="K27" s="1370"/>
      <c r="L27" s="2779"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2902</v>
      </c>
      <c r="C28" s="2830" t="s">
        <v>2903</v>
      </c>
      <c r="D28" s="2830" t="s">
        <v>2904</v>
      </c>
      <c r="E28" s="2831" t="s">
        <v>2905</v>
      </c>
      <c r="F28" s="2832"/>
      <c r="G28" s="2759"/>
      <c r="H28" s="2759"/>
      <c r="I28" s="2759"/>
      <c r="J28" s="2760"/>
      <c r="K28" s="1370"/>
      <c r="L28" s="2780"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2906</v>
      </c>
      <c r="C29" s="206" t="e">
        <f>ROUND(C5*C18*C19*C20*C21*C24,0)</f>
        <v>#DIV/0!</v>
      </c>
      <c r="D29" s="2835"/>
      <c r="E29" s="942" t="e">
        <f>ROUND(C29*D29/10000,0)</f>
        <v>#DIV/0!</v>
      </c>
      <c r="F29" s="2836" t="s">
        <v>2907</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2908</v>
      </c>
      <c r="C30" s="229" t="e">
        <f>ROUND(IF(E2="工业",C29*M39,C29*M38),0)</f>
        <v>#DIV/0!</v>
      </c>
      <c r="D30" s="2841"/>
      <c r="E30" s="942" t="e">
        <f>ROUND(C30*D30/10000,0)</f>
        <v>#DIV/0!</v>
      </c>
      <c r="F30" s="2842" t="s">
        <v>2909</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2910</v>
      </c>
      <c r="C31" s="2847" t="s">
        <v>2911</v>
      </c>
      <c r="D31" s="2759"/>
      <c r="E31" s="2847"/>
      <c r="F31" s="2847"/>
      <c r="G31" s="2757" t="s">
        <v>2912</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2903</v>
      </c>
      <c r="D32" s="498" t="s">
        <v>2904</v>
      </c>
      <c r="E32" s="498" t="s">
        <v>2905</v>
      </c>
      <c r="F32" s="388" t="s">
        <v>2913</v>
      </c>
      <c r="G32" s="2850" t="s">
        <v>2903</v>
      </c>
      <c r="H32" s="2850" t="s">
        <v>2904</v>
      </c>
      <c r="I32" s="2850"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8" t="s">
        <v>2914</v>
      </c>
      <c r="B33" s="2851" t="s">
        <v>2915</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59"/>
      <c r="B34" s="2763" t="s">
        <v>2916</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9"/>
      <c r="B35" s="2763" t="s">
        <v>2917</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8" thickBot="1">
      <c r="A36" s="3260"/>
      <c r="B36" s="2763" t="s">
        <v>2918</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2919</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2920</v>
      </c>
      <c r="M37" s="2855"/>
      <c r="N37" s="1370"/>
      <c r="O37" s="1370"/>
      <c r="P37" s="1370"/>
      <c r="Q37" s="1370"/>
      <c r="R37" s="1370"/>
      <c r="S37" s="1370"/>
      <c r="T37" s="1370"/>
      <c r="U37" s="1370"/>
      <c r="V37" s="1370"/>
      <c r="W37" s="1370"/>
      <c r="X37" s="1370"/>
      <c r="Y37" s="1370"/>
      <c r="Z37" s="1371"/>
    </row>
    <row r="38" spans="1:37">
      <c r="A38" s="2853"/>
      <c r="B38" s="2763" t="s">
        <v>2921</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2922</v>
      </c>
      <c r="M38" s="2856">
        <v>0.25</v>
      </c>
      <c r="N38" s="1370"/>
      <c r="O38" s="1370"/>
      <c r="P38" s="1370"/>
      <c r="Q38" s="1370"/>
      <c r="R38" s="1370"/>
      <c r="S38" s="1370"/>
      <c r="T38" s="1370"/>
      <c r="U38" s="1370"/>
      <c r="V38" s="1370"/>
      <c r="W38" s="1370"/>
      <c r="X38" s="1370"/>
      <c r="Y38" s="1370"/>
      <c r="Z38" s="1371"/>
    </row>
    <row r="39" spans="1:37" ht="13.8" thickBot="1">
      <c r="A39" s="2839"/>
      <c r="B39" s="2857" t="s">
        <v>2923</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2866</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3034</v>
      </c>
      <c r="C41" s="388" t="e">
        <f>ROUND(POWER(1+E41,H41-G41)*(POWER(1+E41,G41)-1)/(POWER(1+E41,H41)-1),4)</f>
        <v>#DIV/0!</v>
      </c>
      <c r="D41" s="200" t="s">
        <v>2873</v>
      </c>
      <c r="E41" s="2927">
        <f>G20</f>
        <v>0</v>
      </c>
      <c r="F41" s="200" t="s">
        <v>2882</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2924</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2925</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2926</v>
      </c>
      <c r="B47" s="1808" t="s">
        <v>2927</v>
      </c>
      <c r="C47" s="1808" t="s">
        <v>2928</v>
      </c>
      <c r="D47" s="1808" t="s">
        <v>2929</v>
      </c>
      <c r="E47" s="819" t="s">
        <v>2930</v>
      </c>
      <c r="F47" s="2869" t="s">
        <v>2931</v>
      </c>
      <c r="G47" s="1808" t="s">
        <v>754</v>
      </c>
      <c r="H47" s="2870" t="s">
        <v>2932</v>
      </c>
      <c r="I47" s="1808" t="s">
        <v>2933</v>
      </c>
      <c r="J47" s="603" t="s">
        <v>2584</v>
      </c>
      <c r="K47" s="603" t="s">
        <v>2585</v>
      </c>
      <c r="L47" s="603" t="s">
        <v>2586</v>
      </c>
      <c r="M47" s="603" t="s">
        <v>2587</v>
      </c>
      <c r="N47" s="603" t="s">
        <v>2588</v>
      </c>
      <c r="AA47" s="1371"/>
      <c r="AB47" s="1371"/>
      <c r="AC47" s="1371"/>
      <c r="AD47" s="1371"/>
      <c r="AE47" s="1371"/>
      <c r="AF47" s="1371"/>
      <c r="AG47" s="1371"/>
      <c r="AH47" s="1371"/>
      <c r="AI47" s="1371"/>
      <c r="AJ47" s="1371"/>
      <c r="AK47" s="1371"/>
    </row>
    <row r="48" spans="1:37" s="1370" customFormat="1" ht="25.2">
      <c r="A48" s="2868" t="s">
        <v>2934</v>
      </c>
      <c r="B48" s="2871">
        <f>估价对象房地状况!C4</f>
        <v>0</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68" t="s">
        <v>2935</v>
      </c>
      <c r="B49" s="2872">
        <f>估价对象房地状况!C18</f>
        <v>0</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2936</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2937</v>
      </c>
      <c r="B51" s="2873" t="s">
        <v>2938</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2939</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2940</v>
      </c>
      <c r="B53" s="2874" t="s">
        <v>2941</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2942</v>
      </c>
      <c r="B54" s="1724">
        <f>估价对象房地状况!C21</f>
        <v>0</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2943</v>
      </c>
      <c r="B55" s="2872">
        <f>估价对象房地状况!C22</f>
        <v>0</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6" t="s">
        <v>2944</v>
      </c>
      <c r="B56" s="2877">
        <f>估价对象房地状况!C20</f>
        <v>0</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2945</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2926</v>
      </c>
      <c r="B58" s="1808"/>
      <c r="C58" s="1808" t="s">
        <v>2928</v>
      </c>
      <c r="D58" s="1808" t="s">
        <v>2929</v>
      </c>
      <c r="E58" s="819" t="s">
        <v>2930</v>
      </c>
      <c r="F58" s="2869" t="s">
        <v>2946</v>
      </c>
      <c r="G58" s="1808" t="s">
        <v>754</v>
      </c>
      <c r="H58" s="2870" t="s">
        <v>2932</v>
      </c>
      <c r="I58" s="1808" t="s">
        <v>2933</v>
      </c>
      <c r="J58" s="603" t="s">
        <v>2584</v>
      </c>
      <c r="K58" s="603" t="s">
        <v>2585</v>
      </c>
      <c r="L58" s="603" t="s">
        <v>2586</v>
      </c>
      <c r="M58" s="603" t="s">
        <v>2587</v>
      </c>
      <c r="N58" s="603" t="s">
        <v>2588</v>
      </c>
      <c r="AA58" s="1371"/>
      <c r="AB58" s="1371"/>
      <c r="AC58" s="1371"/>
      <c r="AD58" s="1371"/>
      <c r="AE58" s="1371"/>
      <c r="AF58" s="1371"/>
      <c r="AG58" s="1371"/>
      <c r="AH58" s="1371"/>
      <c r="AI58" s="1371"/>
      <c r="AJ58" s="1371"/>
      <c r="AK58" s="1371"/>
    </row>
    <row r="59" spans="1:37" s="1370" customFormat="1" ht="24">
      <c r="A59" s="2868" t="s">
        <v>2947</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68" t="s">
        <v>2935</v>
      </c>
      <c r="B60" s="2872">
        <f>估价对象房地状况!C18</f>
        <v>0</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2936</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2937</v>
      </c>
      <c r="B62" s="2873" t="s">
        <v>2938</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2939</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2940</v>
      </c>
      <c r="B64" s="2874" t="s">
        <v>2941</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2942</v>
      </c>
      <c r="B65" s="1724">
        <f>估价对象房地状况!C21</f>
        <v>0</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2943</v>
      </c>
      <c r="B66" s="1724">
        <f>估价对象房地状况!C22</f>
        <v>0</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6" t="s">
        <v>2944</v>
      </c>
      <c r="B67" s="2878">
        <f>估价对象房地状况!C20</f>
        <v>0</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2948</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2926</v>
      </c>
      <c r="B69" s="1808"/>
      <c r="C69" s="1808" t="s">
        <v>2928</v>
      </c>
      <c r="D69" s="1808" t="s">
        <v>2929</v>
      </c>
      <c r="E69" s="819" t="s">
        <v>2930</v>
      </c>
      <c r="F69" s="2869" t="s">
        <v>2946</v>
      </c>
      <c r="G69" s="1808" t="s">
        <v>754</v>
      </c>
      <c r="H69" s="2870" t="s">
        <v>2932</v>
      </c>
      <c r="I69" s="1808" t="s">
        <v>2933</v>
      </c>
      <c r="J69" s="603" t="s">
        <v>2584</v>
      </c>
      <c r="K69" s="603" t="s">
        <v>2585</v>
      </c>
      <c r="L69" s="603" t="s">
        <v>2586</v>
      </c>
      <c r="M69" s="603" t="s">
        <v>2587</v>
      </c>
      <c r="N69" s="603" t="s">
        <v>2588</v>
      </c>
      <c r="AA69" s="1371"/>
      <c r="AB69" s="1371"/>
      <c r="AC69" s="1371"/>
      <c r="AD69" s="1371"/>
      <c r="AE69" s="1371"/>
      <c r="AF69" s="1371"/>
      <c r="AG69" s="1371"/>
      <c r="AH69" s="1371"/>
      <c r="AI69" s="1371"/>
      <c r="AJ69" s="1371"/>
      <c r="AK69" s="1371"/>
    </row>
    <row r="70" spans="1:37" s="1370" customFormat="1" ht="24">
      <c r="A70" s="2868" t="s">
        <v>2949</v>
      </c>
      <c r="B70" s="2871">
        <f>估价对象房地状况!C15</f>
        <v>0</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68" t="s">
        <v>2935</v>
      </c>
      <c r="B71" s="2872">
        <f>估价对象房地状况!C18</f>
        <v>0</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2936</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2950</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2942</v>
      </c>
      <c r="B74" s="1724">
        <f>估价对象房地状况!C21</f>
        <v>0</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2943</v>
      </c>
      <c r="B75" s="1724">
        <f>估价对象房地状况!C22</f>
        <v>0</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2940</v>
      </c>
      <c r="B76" s="2874" t="s">
        <v>2941</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6">
      <c r="A77" s="2868" t="s">
        <v>2944</v>
      </c>
      <c r="B77" s="2871">
        <f>估价对象房地状况!C20</f>
        <v>0</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2951</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2952</v>
      </c>
      <c r="B79" s="2865">
        <f>1+E81</f>
        <v>1</v>
      </c>
      <c r="C79" s="814"/>
      <c r="D79" s="814"/>
      <c r="E79" s="815"/>
      <c r="F79" s="2867"/>
      <c r="G79" s="6"/>
      <c r="H79" s="6"/>
      <c r="I79" s="6"/>
      <c r="J79" s="7"/>
      <c r="K79" s="7"/>
      <c r="L79" s="7"/>
      <c r="M79" s="7"/>
      <c r="N79" s="7"/>
      <c r="Z79" s="2718"/>
      <c r="AA79" s="2786"/>
      <c r="AG79" s="1372"/>
      <c r="AK79" s="2786"/>
    </row>
    <row r="80" spans="1:37" ht="25.2">
      <c r="A80" s="2868" t="s">
        <v>2926</v>
      </c>
      <c r="B80" s="1808"/>
      <c r="C80" s="1808" t="s">
        <v>2928</v>
      </c>
      <c r="D80" s="1808" t="s">
        <v>2929</v>
      </c>
      <c r="E80" s="819" t="s">
        <v>2930</v>
      </c>
      <c r="F80" s="2869" t="s">
        <v>2946</v>
      </c>
      <c r="G80" s="1808" t="s">
        <v>754</v>
      </c>
      <c r="H80" s="2870" t="s">
        <v>2932</v>
      </c>
      <c r="I80" s="1808" t="s">
        <v>2933</v>
      </c>
      <c r="J80" s="603" t="s">
        <v>2584</v>
      </c>
      <c r="K80" s="603" t="s">
        <v>2585</v>
      </c>
      <c r="L80" s="603" t="s">
        <v>2586</v>
      </c>
      <c r="M80" s="603" t="s">
        <v>2587</v>
      </c>
      <c r="N80" s="603" t="s">
        <v>2588</v>
      </c>
      <c r="Z80" s="2718"/>
      <c r="AA80" s="2786"/>
      <c r="AG80" s="1372"/>
      <c r="AK80" s="2786"/>
    </row>
    <row r="81" spans="1:37" ht="39.6">
      <c r="A81" s="2868" t="s">
        <v>2953</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2935</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2936</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2950</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2942</v>
      </c>
      <c r="B85" s="1724"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2943</v>
      </c>
      <c r="B86" s="1724"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2940</v>
      </c>
      <c r="B87" s="2874" t="s">
        <v>2954</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2955</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52" t="s">
        <v>2956</v>
      </c>
      <c r="B90" s="3252"/>
      <c r="C90" s="3252"/>
      <c r="D90" s="3252"/>
      <c r="E90" s="3252"/>
      <c r="F90" s="3252"/>
      <c r="G90" s="3252"/>
      <c r="H90" s="3252"/>
      <c r="I90" s="3252"/>
      <c r="J90" s="3252"/>
      <c r="K90" s="2882"/>
      <c r="L90" s="2882"/>
      <c r="M90" s="2882"/>
      <c r="N90" s="2882"/>
    </row>
    <row r="91" spans="1:37">
      <c r="A91" s="3254" t="s">
        <v>2957</v>
      </c>
      <c r="B91" s="3254" t="s">
        <v>2958</v>
      </c>
      <c r="C91" s="2836" t="s">
        <v>2959</v>
      </c>
      <c r="D91" s="2837"/>
      <c r="E91" s="2837"/>
      <c r="F91" s="2837"/>
      <c r="G91" s="2837"/>
      <c r="H91" s="2837"/>
      <c r="I91" s="2837"/>
      <c r="J91" s="2883"/>
      <c r="K91" s="2884"/>
      <c r="L91" s="2884"/>
      <c r="M91" s="2884"/>
      <c r="N91" s="2884"/>
    </row>
    <row r="92" spans="1:37">
      <c r="A92" s="3254"/>
      <c r="B92" s="3254"/>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255" t="s">
        <v>2960</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6"/>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6"/>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6"/>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6"/>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6"/>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6"/>
      <c r="B99" s="2885" t="s">
        <v>2841</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7"/>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5" t="s">
        <v>2961</v>
      </c>
      <c r="B101" s="2889" t="s">
        <v>2962</v>
      </c>
      <c r="C101" s="2890">
        <f>$G$3</f>
        <v>0.42</v>
      </c>
      <c r="D101" s="2890">
        <f t="shared" ref="D101:N101" si="31">$G$3</f>
        <v>0.42</v>
      </c>
      <c r="E101" s="2890">
        <f t="shared" si="31"/>
        <v>0.42</v>
      </c>
      <c r="F101" s="2890">
        <f t="shared" si="31"/>
        <v>0.42</v>
      </c>
      <c r="G101" s="2890">
        <f t="shared" si="31"/>
        <v>0.42</v>
      </c>
      <c r="H101" s="2890">
        <f t="shared" si="31"/>
        <v>0.42</v>
      </c>
      <c r="I101" s="2890">
        <f t="shared" si="31"/>
        <v>0.42</v>
      </c>
      <c r="J101" s="2890">
        <f t="shared" si="31"/>
        <v>0.42</v>
      </c>
      <c r="K101" s="2890">
        <f t="shared" si="31"/>
        <v>0.42</v>
      </c>
      <c r="L101" s="2890">
        <f t="shared" si="31"/>
        <v>0.42</v>
      </c>
      <c r="M101" s="2890">
        <f t="shared" si="31"/>
        <v>0.42</v>
      </c>
      <c r="N101" s="2890">
        <f t="shared" si="31"/>
        <v>0.42</v>
      </c>
    </row>
    <row r="102" spans="1:14">
      <c r="A102" s="3256"/>
      <c r="B102" s="2885">
        <v>1</v>
      </c>
      <c r="C102" s="2886">
        <f>1.9362/C101</f>
        <v>4.6100000000000003</v>
      </c>
      <c r="D102" s="2886">
        <f>1.9362/D101</f>
        <v>4.6100000000000003</v>
      </c>
      <c r="E102" s="2886">
        <f>1.8629/E101</f>
        <v>4.4354761904761908</v>
      </c>
      <c r="F102" s="2886">
        <f>1.8629/F101</f>
        <v>4.4354761904761908</v>
      </c>
      <c r="G102" s="2886">
        <f>1.8629/G101</f>
        <v>4.4354761904761908</v>
      </c>
      <c r="H102" s="2886">
        <f>1.8629/H101</f>
        <v>4.4354761904761908</v>
      </c>
      <c r="I102" s="2886">
        <f>1.8629/I101</f>
        <v>4.4354761904761908</v>
      </c>
      <c r="J102" s="2886">
        <f>1.942/J101</f>
        <v>4.6238095238095243</v>
      </c>
      <c r="K102" s="2886">
        <f>1.942/K101</f>
        <v>4.6238095238095243</v>
      </c>
      <c r="L102" s="2886">
        <f>1.942/L101</f>
        <v>4.6238095238095243</v>
      </c>
      <c r="M102" s="2886">
        <f>1.942/M101</f>
        <v>4.6238095238095243</v>
      </c>
      <c r="N102" s="2886">
        <f>1.942/N101</f>
        <v>4.6238095238095243</v>
      </c>
    </row>
    <row r="103" spans="1:14">
      <c r="A103" s="3256"/>
      <c r="B103" s="2885">
        <v>2</v>
      </c>
      <c r="C103" s="2886">
        <f>1.4198/C101</f>
        <v>3.3804761904761906</v>
      </c>
      <c r="D103" s="2886">
        <f>1.4198/D101</f>
        <v>3.3804761904761906</v>
      </c>
      <c r="E103" s="2886">
        <f>1.3372/E101</f>
        <v>3.1838095238095239</v>
      </c>
      <c r="F103" s="2886">
        <f>1.3372/F101</f>
        <v>3.1838095238095239</v>
      </c>
      <c r="G103" s="2886">
        <f>1.3372/G101</f>
        <v>3.1838095238095239</v>
      </c>
      <c r="H103" s="2886">
        <f>1.3372/H101</f>
        <v>3.1838095238095239</v>
      </c>
      <c r="I103" s="2886">
        <f>1.3372/I101</f>
        <v>3.1838095238095239</v>
      </c>
      <c r="J103" s="2886">
        <f>1.2799/J101</f>
        <v>3.0473809523809527</v>
      </c>
      <c r="K103" s="2886">
        <f>1.2799/K101</f>
        <v>3.0473809523809527</v>
      </c>
      <c r="L103" s="2886">
        <f>1.2799/L101</f>
        <v>3.0473809523809527</v>
      </c>
      <c r="M103" s="2886">
        <f>1.2799/M101</f>
        <v>3.0473809523809527</v>
      </c>
      <c r="N103" s="2886">
        <f>1.2799/N101</f>
        <v>3.0473809523809527</v>
      </c>
    </row>
    <row r="104" spans="1:14">
      <c r="A104" s="3256"/>
      <c r="B104" s="2885">
        <v>3</v>
      </c>
      <c r="C104" s="2886">
        <f>1.1594/C101</f>
        <v>2.7604761904761905</v>
      </c>
      <c r="D104" s="2886">
        <f>1.1594/D101</f>
        <v>2.7604761904761905</v>
      </c>
      <c r="E104" s="2886">
        <f>1.0788/E101</f>
        <v>2.5685714285714285</v>
      </c>
      <c r="F104" s="2886">
        <f>1.0788/F101</f>
        <v>2.5685714285714285</v>
      </c>
      <c r="G104" s="2886">
        <f>1.0788/G101</f>
        <v>2.5685714285714285</v>
      </c>
      <c r="H104" s="2886">
        <f>1.0788/H101</f>
        <v>2.5685714285714285</v>
      </c>
      <c r="I104" s="2886">
        <f>1.0788/I101</f>
        <v>2.5685714285714285</v>
      </c>
      <c r="J104" s="2886">
        <f>1.0072/J101</f>
        <v>2.3980952380952383</v>
      </c>
      <c r="K104" s="2886">
        <f>1.0072/K101</f>
        <v>2.3980952380952383</v>
      </c>
      <c r="L104" s="2886">
        <f>1.0072/L101</f>
        <v>2.3980952380952383</v>
      </c>
      <c r="M104" s="2886">
        <f>1.0072/M101</f>
        <v>2.3980952380952383</v>
      </c>
      <c r="N104" s="2886">
        <f>1.0072/N101</f>
        <v>2.3980952380952383</v>
      </c>
    </row>
    <row r="105" spans="1:14">
      <c r="A105" s="3256"/>
      <c r="B105" s="2885">
        <v>4</v>
      </c>
      <c r="C105" s="2886">
        <f>0.9622/C101</f>
        <v>2.2909523809523811</v>
      </c>
      <c r="D105" s="2886">
        <f>0.9622/D101</f>
        <v>2.2909523809523811</v>
      </c>
      <c r="E105" s="2886">
        <f>0.8656/E101</f>
        <v>2.0609523809523811</v>
      </c>
      <c r="F105" s="2886">
        <f>0.8656/F101</f>
        <v>2.0609523809523811</v>
      </c>
      <c r="G105" s="2886">
        <f>0.8656/G101</f>
        <v>2.0609523809523811</v>
      </c>
      <c r="H105" s="2886">
        <f>0.8656/H101</f>
        <v>2.0609523809523811</v>
      </c>
      <c r="I105" s="2886">
        <f>0.8656/I101</f>
        <v>2.0609523809523811</v>
      </c>
      <c r="J105" s="2886">
        <f>0.7525/J101</f>
        <v>1.7916666666666665</v>
      </c>
      <c r="K105" s="2886">
        <f>0.7525/K101</f>
        <v>1.7916666666666665</v>
      </c>
      <c r="L105" s="2886">
        <f>0.7525/L101</f>
        <v>1.7916666666666665</v>
      </c>
      <c r="M105" s="2886">
        <f>0.7525/M101</f>
        <v>1.7916666666666665</v>
      </c>
      <c r="N105" s="2886">
        <f>0.7525/N101</f>
        <v>1.7916666666666665</v>
      </c>
    </row>
    <row r="106" spans="1:14">
      <c r="A106" s="3256"/>
      <c r="B106" s="2885">
        <v>5</v>
      </c>
      <c r="C106" s="2886">
        <f>0.8417/C101</f>
        <v>2.0040476190476193</v>
      </c>
      <c r="D106" s="2886">
        <f>0.8417/D101</f>
        <v>2.0040476190476193</v>
      </c>
      <c r="E106" s="2886">
        <f>0.7371/E101</f>
        <v>1.7550000000000001</v>
      </c>
      <c r="F106" s="2886">
        <f>0.7371/F101</f>
        <v>1.7550000000000001</v>
      </c>
      <c r="G106" s="2886">
        <f>0.7371/G101</f>
        <v>1.7550000000000001</v>
      </c>
      <c r="H106" s="2886">
        <f>0.7371/H101</f>
        <v>1.7550000000000001</v>
      </c>
      <c r="I106" s="2886">
        <f>0.7371/I101</f>
        <v>1.7550000000000001</v>
      </c>
      <c r="J106" s="2886">
        <f>0.5659/J101</f>
        <v>1.3473809523809523</v>
      </c>
      <c r="K106" s="2886">
        <f>0.5659/K101</f>
        <v>1.3473809523809523</v>
      </c>
      <c r="L106" s="2886">
        <f>0.5659/L101</f>
        <v>1.3473809523809523</v>
      </c>
      <c r="M106" s="2886">
        <f>0.5659/M101</f>
        <v>1.3473809523809523</v>
      </c>
      <c r="N106" s="2886">
        <f>0.5659/N101</f>
        <v>1.3473809523809523</v>
      </c>
    </row>
    <row r="107" spans="1:14">
      <c r="A107" s="3256"/>
      <c r="B107" s="2885">
        <v>6</v>
      </c>
      <c r="C107" s="2886">
        <f>0.7608/C101</f>
        <v>1.8114285714285716</v>
      </c>
      <c r="D107" s="2886">
        <f>0.7608/D101</f>
        <v>1.8114285714285716</v>
      </c>
      <c r="E107" s="2886">
        <f>0.6482/E101</f>
        <v>1.5433333333333334</v>
      </c>
      <c r="F107" s="2886">
        <f>0.6482/F101</f>
        <v>1.5433333333333334</v>
      </c>
      <c r="G107" s="2886">
        <f>0.6482/G101</f>
        <v>1.5433333333333334</v>
      </c>
      <c r="H107" s="2886">
        <f>0.6482/H101</f>
        <v>1.5433333333333334</v>
      </c>
      <c r="I107" s="2886">
        <f>0.6482/I101</f>
        <v>1.5433333333333334</v>
      </c>
      <c r="J107" s="2886">
        <f>0.4525/J101</f>
        <v>1.0773809523809526</v>
      </c>
      <c r="K107" s="2886">
        <f>0.4525/K101</f>
        <v>1.0773809523809526</v>
      </c>
      <c r="L107" s="2886">
        <f>0.4525/L101</f>
        <v>1.0773809523809526</v>
      </c>
      <c r="M107" s="2886">
        <f>0.4525/M101</f>
        <v>1.0773809523809526</v>
      </c>
      <c r="N107" s="2886">
        <f>0.4525/N101</f>
        <v>1.0773809523809526</v>
      </c>
    </row>
    <row r="108" spans="1:14">
      <c r="A108" s="3256"/>
      <c r="B108" s="3082" t="s">
        <v>2963</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7"/>
      <c r="B109" s="3083"/>
      <c r="C109" s="2888">
        <f>(-0.163*(C108^2)-0.59*C108+7617)*(10^(-4))/C101</f>
        <v>1.8135714285714288</v>
      </c>
      <c r="D109" s="2888">
        <f>(-0.163*(D108^2)-0.59*D108+7617)*(10^(-4))/D101</f>
        <v>1.8135714285714288</v>
      </c>
      <c r="E109" s="2888">
        <f>(-0.161*(E108^2)-7.509*E108+6533)*(10^(-4))/E101</f>
        <v>1.5554761904761905</v>
      </c>
      <c r="F109" s="2888">
        <f>(-0.161*(F108^2)-7.509*F108+6533)*(10^(-4))/F101</f>
        <v>1.5554761904761905</v>
      </c>
      <c r="G109" s="2888">
        <f>(-0.161*(G108^2)-7.509*G108+6533)*(10^(-4))/G101</f>
        <v>1.5554761904761905</v>
      </c>
      <c r="H109" s="2888">
        <f>(-0.161*(H108^2)-7.509*H108+6533)*(10^(-4))/H101</f>
        <v>1.5554761904761905</v>
      </c>
      <c r="I109" s="2888">
        <f>(-0.161*(I108^2)-7.509*I108+6533)*(10^(-4))/I101</f>
        <v>1.5554761904761905</v>
      </c>
      <c r="J109" s="2888">
        <f>(-0.214*(J108^2)-21.991*J108+4665)*(10^(-4))/J101</f>
        <v>1.1107142857142858</v>
      </c>
      <c r="K109" s="2888">
        <f>(-0.214*(K108^2)-21.991*K108+4665)*(10^(-4))/K101</f>
        <v>1.1107142857142858</v>
      </c>
      <c r="L109" s="2888">
        <f>(-0.214*(L108^2)-21.991*L108+4665)*(10^(-4))/L101</f>
        <v>1.1107142857142858</v>
      </c>
      <c r="M109" s="2888">
        <f>(-0.214*(M108^2)-21.991*M108+4665)*(10^(-4))/M101</f>
        <v>1.1107142857142858</v>
      </c>
      <c r="N109" s="2888">
        <f>(-0.214*(N108^2)-21.991*N108+4665)*(10^(-4))/N101</f>
        <v>1.1107142857142858</v>
      </c>
    </row>
    <row r="110" spans="1:14">
      <c r="A110" s="3253" t="s">
        <v>2964</v>
      </c>
      <c r="B110" s="3253"/>
      <c r="C110" s="3253"/>
      <c r="D110" s="3253"/>
      <c r="E110" s="3253"/>
      <c r="F110" s="3253"/>
      <c r="G110" s="3253"/>
      <c r="H110" s="3253"/>
      <c r="I110" s="3253"/>
      <c r="J110" s="3253"/>
      <c r="K110" s="2891"/>
      <c r="L110" s="2891"/>
      <c r="M110" s="2891"/>
      <c r="N110" s="2891"/>
    </row>
    <row r="112" spans="1:14" ht="13.8" thickBot="1"/>
    <row r="113" spans="1:13" ht="25.8" thickBot="1">
      <c r="A113" s="903" t="s">
        <v>2965</v>
      </c>
      <c r="B113" s="1287">
        <f>G3</f>
        <v>0.42</v>
      </c>
      <c r="C113" s="904" t="s">
        <v>2966</v>
      </c>
      <c r="D113" s="905">
        <f>SUMPRODUCT((A115:A118=F113)*(B114:M114=H113)*B115:M118)</f>
        <v>0</v>
      </c>
      <c r="E113" s="2722" t="s">
        <v>2798</v>
      </c>
      <c r="F113" s="2893">
        <f>E2</f>
        <v>0</v>
      </c>
      <c r="G113" s="2722" t="s">
        <v>2799</v>
      </c>
      <c r="H113" s="2893">
        <f>G2</f>
        <v>0</v>
      </c>
      <c r="I113" s="2722"/>
      <c r="J113" s="2894"/>
      <c r="K113" s="2894"/>
      <c r="L113" s="2894"/>
      <c r="M113" s="2894"/>
    </row>
    <row r="114" spans="1:13">
      <c r="A114" s="908"/>
      <c r="B114" s="2895" t="s">
        <v>2967</v>
      </c>
      <c r="C114" s="2895" t="s">
        <v>2968</v>
      </c>
      <c r="D114" s="2895" t="s">
        <v>2969</v>
      </c>
      <c r="E114" s="2896" t="s">
        <v>2970</v>
      </c>
      <c r="F114" s="2896" t="s">
        <v>2971</v>
      </c>
      <c r="G114" s="2896" t="s">
        <v>2972</v>
      </c>
      <c r="H114" s="2897" t="s">
        <v>2973</v>
      </c>
      <c r="I114" s="2897" t="s">
        <v>2974</v>
      </c>
      <c r="J114" s="2898" t="s">
        <v>2975</v>
      </c>
      <c r="K114" s="2898" t="s">
        <v>2976</v>
      </c>
      <c r="L114" s="2898" t="s">
        <v>2977</v>
      </c>
      <c r="M114" s="2899" t="s">
        <v>2978</v>
      </c>
    </row>
    <row r="115" spans="1:13">
      <c r="A115" s="909" t="s">
        <v>2863</v>
      </c>
      <c r="B115" s="910">
        <f>ROUND(0.9335-0.0094*B113,4)</f>
        <v>0.92959999999999998</v>
      </c>
      <c r="C115" s="910">
        <f>B115</f>
        <v>0.92959999999999998</v>
      </c>
      <c r="D115" s="910">
        <f>ROUND(0.8331-0.0109*B113,4)</f>
        <v>0.82850000000000001</v>
      </c>
      <c r="E115" s="910">
        <f>D115</f>
        <v>0.82850000000000001</v>
      </c>
      <c r="F115" s="910">
        <f>E115</f>
        <v>0.82850000000000001</v>
      </c>
      <c r="G115" s="910">
        <f>F115</f>
        <v>0.82850000000000001</v>
      </c>
      <c r="H115" s="910">
        <f>G115</f>
        <v>0.82850000000000001</v>
      </c>
      <c r="I115" s="910">
        <f>ROUND(0.689-0.0155*B113,4)</f>
        <v>0.6825</v>
      </c>
      <c r="J115" s="910">
        <f t="shared" ref="J115:M118" si="33">I115</f>
        <v>0.6825</v>
      </c>
      <c r="K115" s="910">
        <f t="shared" si="33"/>
        <v>0.6825</v>
      </c>
      <c r="L115" s="910">
        <f t="shared" si="33"/>
        <v>0.6825</v>
      </c>
      <c r="M115" s="911">
        <f t="shared" si="33"/>
        <v>0.6825</v>
      </c>
    </row>
    <row r="116" spans="1:13">
      <c r="A116" s="909" t="s">
        <v>2864</v>
      </c>
      <c r="B116" s="910">
        <f>ROUND(0.949-0.012*B113,4)</f>
        <v>0.94399999999999995</v>
      </c>
      <c r="C116" s="910">
        <f>B116</f>
        <v>0.94399999999999995</v>
      </c>
      <c r="D116" s="910">
        <f>ROUND(0.8567-0.013*B113,4)</f>
        <v>0.85119999999999996</v>
      </c>
      <c r="E116" s="910">
        <f t="shared" ref="E116:H117" si="34">D116</f>
        <v>0.85119999999999996</v>
      </c>
      <c r="F116" s="910">
        <f t="shared" si="34"/>
        <v>0.85119999999999996</v>
      </c>
      <c r="G116" s="910">
        <f t="shared" si="34"/>
        <v>0.85119999999999996</v>
      </c>
      <c r="H116" s="910">
        <f t="shared" si="34"/>
        <v>0.85119999999999996</v>
      </c>
      <c r="I116" s="910">
        <f>ROUND(0.7694-0.014*B113,4)</f>
        <v>0.76349999999999996</v>
      </c>
      <c r="J116" s="910">
        <f t="shared" si="33"/>
        <v>0.76349999999999996</v>
      </c>
      <c r="K116" s="910">
        <f t="shared" si="33"/>
        <v>0.76349999999999996</v>
      </c>
      <c r="L116" s="910">
        <f t="shared" si="33"/>
        <v>0.76349999999999996</v>
      </c>
      <c r="M116" s="911">
        <f t="shared" si="33"/>
        <v>0.76349999999999996</v>
      </c>
    </row>
    <row r="117" spans="1:13">
      <c r="A117" s="909" t="s">
        <v>2865</v>
      </c>
      <c r="B117" s="910">
        <f>ROUND(0.8808-0.006*B113,4)</f>
        <v>0.87829999999999997</v>
      </c>
      <c r="C117" s="910">
        <f>B117</f>
        <v>0.87829999999999997</v>
      </c>
      <c r="D117" s="910">
        <f>ROUND(0.8748-0.008*B113,4)</f>
        <v>0.87139999999999995</v>
      </c>
      <c r="E117" s="910">
        <f t="shared" si="34"/>
        <v>0.87139999999999995</v>
      </c>
      <c r="F117" s="910">
        <f t="shared" si="34"/>
        <v>0.87139999999999995</v>
      </c>
      <c r="G117" s="910">
        <f t="shared" si="34"/>
        <v>0.87139999999999995</v>
      </c>
      <c r="H117" s="910">
        <f t="shared" si="34"/>
        <v>0.87139999999999995</v>
      </c>
      <c r="I117" s="910">
        <f>ROUND(0.7412-0.0095*B113,4)</f>
        <v>0.73719999999999997</v>
      </c>
      <c r="J117" s="910">
        <f t="shared" si="33"/>
        <v>0.73719999999999997</v>
      </c>
      <c r="K117" s="910">
        <f t="shared" si="33"/>
        <v>0.73719999999999997</v>
      </c>
      <c r="L117" s="910">
        <f t="shared" si="33"/>
        <v>0.73719999999999997</v>
      </c>
      <c r="M117" s="911">
        <f t="shared" si="33"/>
        <v>0.73719999999999997</v>
      </c>
    </row>
    <row r="118" spans="1:13" ht="13.8" thickBot="1">
      <c r="A118" s="714" t="s">
        <v>2866</v>
      </c>
      <c r="B118" s="912">
        <f>ROUND(0.7275-0.01*B113,4)</f>
        <v>0.72330000000000005</v>
      </c>
      <c r="C118" s="912">
        <f>B118</f>
        <v>0.72330000000000005</v>
      </c>
      <c r="D118" s="912">
        <f>ROUND(0.7043-0.012*B113,4)</f>
        <v>0.69930000000000003</v>
      </c>
      <c r="E118" s="912">
        <f>D118</f>
        <v>0.69930000000000003</v>
      </c>
      <c r="F118" s="912">
        <f>E118</f>
        <v>0.69930000000000003</v>
      </c>
      <c r="G118" s="912">
        <f>ROUND(0.6299-0.0122*B113,4)</f>
        <v>0.62480000000000002</v>
      </c>
      <c r="H118" s="912">
        <f>G118</f>
        <v>0.62480000000000002</v>
      </c>
      <c r="I118" s="912">
        <f>ROUND(0.5667-0.0136*B113,4)</f>
        <v>0.56100000000000005</v>
      </c>
      <c r="J118" s="912">
        <f t="shared" si="33"/>
        <v>0.56100000000000005</v>
      </c>
      <c r="K118" s="912">
        <f t="shared" si="33"/>
        <v>0.56100000000000005</v>
      </c>
      <c r="L118" s="912">
        <f t="shared" si="33"/>
        <v>0.56100000000000005</v>
      </c>
      <c r="M118" s="913">
        <f t="shared" si="33"/>
        <v>0.56100000000000005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3" t="s">
        <v>614</v>
      </c>
      <c r="C61" s="818" t="s">
        <v>615</v>
      </c>
      <c r="D61" s="818" t="s">
        <v>616</v>
      </c>
      <c r="E61" s="895">
        <v>0.5</v>
      </c>
      <c r="F61" s="882">
        <v>80</v>
      </c>
    </row>
    <row r="62" spans="1:8" s="878" customFormat="1" ht="36">
      <c r="A62" s="882">
        <v>2</v>
      </c>
      <c r="B62" s="3273"/>
      <c r="C62" s="818" t="s">
        <v>617</v>
      </c>
      <c r="D62" s="818" t="s">
        <v>618</v>
      </c>
      <c r="E62" s="895">
        <v>0.5</v>
      </c>
      <c r="F62" s="882">
        <v>80</v>
      </c>
    </row>
    <row r="63" spans="1:8" s="878" customFormat="1" ht="48">
      <c r="A63" s="882">
        <v>3</v>
      </c>
      <c r="B63" s="3273"/>
      <c r="C63" s="818" t="s">
        <v>619</v>
      </c>
      <c r="D63" s="818" t="s">
        <v>620</v>
      </c>
      <c r="E63" s="895">
        <v>0.5</v>
      </c>
      <c r="F63" s="882">
        <v>80</v>
      </c>
    </row>
    <row r="64" spans="1:8" s="878" customFormat="1" ht="48">
      <c r="A64" s="882">
        <v>4</v>
      </c>
      <c r="B64" s="3273"/>
      <c r="C64" s="818" t="s">
        <v>621</v>
      </c>
      <c r="D64" s="818" t="s">
        <v>622</v>
      </c>
      <c r="E64" s="895">
        <v>0.4</v>
      </c>
      <c r="F64" s="882">
        <v>60</v>
      </c>
    </row>
    <row r="65" spans="1:6" s="878" customFormat="1" ht="48">
      <c r="A65" s="882">
        <v>5</v>
      </c>
      <c r="B65" s="3273"/>
      <c r="C65" s="818" t="s">
        <v>623</v>
      </c>
      <c r="D65" s="818" t="s">
        <v>624</v>
      </c>
      <c r="E65" s="895">
        <v>0.2</v>
      </c>
      <c r="F65" s="882">
        <v>30</v>
      </c>
    </row>
    <row r="66" spans="1:6" s="878" customFormat="1" ht="48">
      <c r="A66" s="882">
        <v>6</v>
      </c>
      <c r="B66" s="3273"/>
      <c r="C66" s="818" t="s">
        <v>625</v>
      </c>
      <c r="D66" s="818" t="s">
        <v>626</v>
      </c>
      <c r="E66" s="895">
        <v>0.3</v>
      </c>
      <c r="F66" s="882">
        <v>50</v>
      </c>
    </row>
    <row r="67" spans="1:6" s="878" customFormat="1" ht="48">
      <c r="A67" s="882">
        <v>7</v>
      </c>
      <c r="B67" s="3273"/>
      <c r="C67" s="818" t="s">
        <v>627</v>
      </c>
      <c r="D67" s="818" t="s">
        <v>628</v>
      </c>
      <c r="E67" s="895">
        <v>0.2</v>
      </c>
      <c r="F67" s="882">
        <v>30</v>
      </c>
    </row>
    <row r="68" spans="1:6" s="878" customFormat="1" ht="48">
      <c r="A68" s="882">
        <v>8</v>
      </c>
      <c r="B68" s="3273"/>
      <c r="C68" s="818" t="s">
        <v>629</v>
      </c>
      <c r="D68" s="818" t="s">
        <v>630</v>
      </c>
      <c r="E68" s="895">
        <v>0.2</v>
      </c>
      <c r="F68" s="882">
        <v>30</v>
      </c>
    </row>
    <row r="69" spans="1:6" s="878" customFormat="1" ht="48">
      <c r="A69" s="882">
        <v>9</v>
      </c>
      <c r="B69" s="3273"/>
      <c r="C69" s="818" t="s">
        <v>631</v>
      </c>
      <c r="D69" s="818" t="s">
        <v>632</v>
      </c>
      <c r="E69" s="895">
        <v>0.2</v>
      </c>
      <c r="F69" s="882">
        <v>30</v>
      </c>
    </row>
    <row r="70" spans="1:6" s="878" customFormat="1" ht="60">
      <c r="A70" s="882">
        <v>10</v>
      </c>
      <c r="B70" s="3273"/>
      <c r="C70" s="818" t="s">
        <v>633</v>
      </c>
      <c r="D70" s="818" t="s">
        <v>634</v>
      </c>
      <c r="E70" s="895">
        <v>0.2</v>
      </c>
      <c r="F70" s="882">
        <v>30</v>
      </c>
    </row>
    <row r="71" spans="1:6" s="878" customFormat="1" ht="60">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36">
      <c r="A73" s="882">
        <v>13</v>
      </c>
      <c r="B73" s="3273"/>
      <c r="C73" s="818" t="s">
        <v>639</v>
      </c>
      <c r="D73" s="818" t="s">
        <v>640</v>
      </c>
      <c r="E73" s="895">
        <v>0.4</v>
      </c>
      <c r="F73" s="882">
        <v>60</v>
      </c>
    </row>
    <row r="74" spans="1:6" s="878" customFormat="1" ht="36">
      <c r="A74" s="882">
        <v>14</v>
      </c>
      <c r="B74" s="3273"/>
      <c r="C74" s="818" t="s">
        <v>641</v>
      </c>
      <c r="D74" s="818" t="s">
        <v>642</v>
      </c>
      <c r="E74" s="895">
        <v>0.2</v>
      </c>
      <c r="F74" s="882">
        <v>30</v>
      </c>
    </row>
    <row r="75" spans="1:6" s="878" customFormat="1" ht="36">
      <c r="A75" s="882">
        <v>15</v>
      </c>
      <c r="B75" s="3273"/>
      <c r="C75" s="818" t="s">
        <v>643</v>
      </c>
      <c r="D75" s="818" t="s">
        <v>644</v>
      </c>
      <c r="E75" s="895">
        <v>0.2</v>
      </c>
      <c r="F75" s="882">
        <v>30</v>
      </c>
    </row>
    <row r="76" spans="1:6" s="878" customFormat="1" ht="36">
      <c r="A76" s="882">
        <v>16</v>
      </c>
      <c r="B76" s="3273" t="s">
        <v>645</v>
      </c>
      <c r="C76" s="818" t="s">
        <v>646</v>
      </c>
      <c r="D76" s="818" t="s">
        <v>647</v>
      </c>
      <c r="E76" s="895">
        <v>0.5</v>
      </c>
      <c r="F76" s="882">
        <v>80</v>
      </c>
    </row>
    <row r="77" spans="1:6" s="878" customFormat="1" ht="36">
      <c r="A77" s="882">
        <v>17</v>
      </c>
      <c r="B77" s="3273"/>
      <c r="C77" s="818" t="s">
        <v>648</v>
      </c>
      <c r="D77" s="818" t="s">
        <v>649</v>
      </c>
      <c r="E77" s="895">
        <v>0.5</v>
      </c>
      <c r="F77" s="882">
        <v>80</v>
      </c>
    </row>
    <row r="78" spans="1:6" s="878" customFormat="1" ht="36">
      <c r="A78" s="882">
        <v>18</v>
      </c>
      <c r="B78" s="3273"/>
      <c r="C78" s="818" t="s">
        <v>650</v>
      </c>
      <c r="D78" s="818" t="s">
        <v>651</v>
      </c>
      <c r="E78" s="895">
        <v>0.2</v>
      </c>
      <c r="F78" s="882">
        <v>30</v>
      </c>
    </row>
    <row r="79" spans="1:6" s="878" customFormat="1" ht="36">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60">
      <c r="A82" s="882">
        <v>22</v>
      </c>
      <c r="B82" s="3273"/>
      <c r="C82" s="818" t="s">
        <v>658</v>
      </c>
      <c r="D82" s="818" t="s">
        <v>659</v>
      </c>
      <c r="E82" s="895">
        <v>0.2</v>
      </c>
      <c r="F82" s="882">
        <v>30</v>
      </c>
    </row>
    <row r="83" spans="1:6" s="878" customFormat="1" ht="60">
      <c r="A83" s="882">
        <v>23</v>
      </c>
      <c r="B83" s="3273"/>
      <c r="C83" s="818" t="s">
        <v>660</v>
      </c>
      <c r="D83" s="818" t="s">
        <v>661</v>
      </c>
      <c r="E83" s="895">
        <v>0.2</v>
      </c>
      <c r="F83" s="882">
        <v>30</v>
      </c>
    </row>
    <row r="84" spans="1:6" s="878" customFormat="1" ht="48">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36">
      <c r="A89" s="882">
        <v>29</v>
      </c>
      <c r="B89" s="3273"/>
      <c r="C89" s="818" t="s">
        <v>672</v>
      </c>
      <c r="D89" s="818" t="s">
        <v>673</v>
      </c>
      <c r="E89" s="895">
        <v>0.2</v>
      </c>
      <c r="F89" s="882">
        <v>30</v>
      </c>
    </row>
    <row r="90" spans="1:6" s="878" customFormat="1" ht="36">
      <c r="A90" s="882">
        <v>30</v>
      </c>
      <c r="B90" s="3273"/>
      <c r="C90" s="818" t="s">
        <v>674</v>
      </c>
      <c r="D90" s="818" t="s">
        <v>675</v>
      </c>
      <c r="E90" s="895">
        <v>0.2</v>
      </c>
      <c r="F90" s="882">
        <v>30</v>
      </c>
    </row>
    <row r="91" spans="1:6" s="878" customFormat="1" ht="48">
      <c r="A91" s="882">
        <v>31</v>
      </c>
      <c r="B91" s="3273"/>
      <c r="C91" s="818" t="s">
        <v>676</v>
      </c>
      <c r="D91" s="818" t="s">
        <v>677</v>
      </c>
      <c r="E91" s="895">
        <v>0.2</v>
      </c>
      <c r="F91" s="882">
        <v>30</v>
      </c>
    </row>
    <row r="92" spans="1:6" s="878" customFormat="1" ht="36">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60">
      <c r="A94" s="882">
        <v>34</v>
      </c>
      <c r="B94" s="3273"/>
      <c r="C94" s="882" t="s">
        <v>683</v>
      </c>
      <c r="D94" s="818" t="s">
        <v>684</v>
      </c>
      <c r="E94" s="895">
        <v>0.2</v>
      </c>
      <c r="F94" s="882">
        <v>30</v>
      </c>
    </row>
    <row r="95" spans="1:6" s="878" customFormat="1" ht="48">
      <c r="A95" s="882">
        <v>35</v>
      </c>
      <c r="B95" s="3273"/>
      <c r="C95" s="882" t="s">
        <v>685</v>
      </c>
      <c r="D95" s="818" t="s">
        <v>686</v>
      </c>
      <c r="E95" s="895">
        <v>0.2</v>
      </c>
      <c r="F95" s="882">
        <v>30</v>
      </c>
    </row>
    <row r="96" spans="1:6" s="878" customFormat="1" ht="72">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36">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3" t="s">
        <v>708</v>
      </c>
      <c r="C105" s="882" t="s">
        <v>709</v>
      </c>
      <c r="D105" s="818" t="s">
        <v>710</v>
      </c>
      <c r="E105" s="895">
        <v>0.2</v>
      </c>
      <c r="F105" s="882">
        <v>30</v>
      </c>
    </row>
    <row r="106" spans="1:6" s="878" customFormat="1" ht="48">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48">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3" t="s">
        <v>724</v>
      </c>
      <c r="C111" s="882" t="s">
        <v>725</v>
      </c>
      <c r="D111" s="818" t="s">
        <v>726</v>
      </c>
      <c r="E111" s="895">
        <v>0.2</v>
      </c>
      <c r="F111" s="882">
        <v>30</v>
      </c>
    </row>
    <row r="112" spans="1:6" s="878" customFormat="1" ht="36">
      <c r="A112" s="882">
        <v>52</v>
      </c>
      <c r="B112" s="3273"/>
      <c r="C112" s="882" t="s">
        <v>727</v>
      </c>
      <c r="D112" s="818" t="s">
        <v>728</v>
      </c>
      <c r="E112" s="895">
        <v>0.2</v>
      </c>
      <c r="F112" s="882">
        <v>30</v>
      </c>
    </row>
    <row r="113" spans="1:6" s="878" customFormat="1" ht="36">
      <c r="A113" s="882">
        <v>53</v>
      </c>
      <c r="B113" s="327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9" t="s">
        <v>2987</v>
      </c>
    </row>
    <row r="2" spans="1:5" ht="15.6">
      <c r="A2" s="2900" t="s">
        <v>2979</v>
      </c>
      <c r="B2" s="2901" t="e">
        <f ca="1">SUMIF(B6:B13,"&lt;&gt;#ref!",B6:B13)</f>
        <v>#DIV/0!</v>
      </c>
      <c r="C2" s="2900" t="s">
        <v>2980</v>
      </c>
      <c r="D2" s="2900" t="s">
        <v>2981</v>
      </c>
      <c r="E2" s="2901">
        <f ca="1">SUMIF(E6:E13,"&lt;&gt;#ref!",E6:E13)</f>
        <v>0</v>
      </c>
    </row>
    <row r="3" spans="1:5" ht="15.6">
      <c r="A3" s="2900" t="s">
        <v>2982</v>
      </c>
      <c r="B3" s="2901" t="e">
        <f ca="1">ROUND(B2*10000/E2,0)</f>
        <v>#DIV/0!</v>
      </c>
      <c r="C3" s="2900" t="s">
        <v>2988</v>
      </c>
      <c r="D3" s="2902"/>
      <c r="E3" s="2902"/>
    </row>
    <row r="4" spans="1:5" ht="15.6">
      <c r="A4" s="2903"/>
      <c r="B4" s="2902"/>
      <c r="C4" s="2902"/>
      <c r="D4" s="2902"/>
      <c r="E4" s="2902"/>
    </row>
    <row r="5" spans="1:5" ht="31.2">
      <c r="A5" s="2904" t="s">
        <v>2983</v>
      </c>
      <c r="B5" s="2900" t="s">
        <v>2984</v>
      </c>
      <c r="C5" s="2901"/>
      <c r="D5" s="2902"/>
      <c r="E5" s="2900" t="s">
        <v>2985</v>
      </c>
    </row>
    <row r="6" spans="1:5" ht="15.6">
      <c r="A6" s="2905" t="s">
        <v>2986</v>
      </c>
      <c r="B6" s="2901" t="e">
        <f ca="1">SUMIF(INDIRECT("'"&amp;A6&amp;"'"&amp;"!A:A"),"总价",INDIRECT("'"&amp;A6&amp;"'"&amp;"!B:B"))</f>
        <v>#DIV/0!</v>
      </c>
      <c r="C6" s="2900" t="s">
        <v>2980</v>
      </c>
      <c r="D6" s="2902"/>
      <c r="E6" s="2573">
        <f ca="1">SUMIF(INDIRECT("'"&amp;A6&amp;"'"&amp;"!C:C"),"建筑面积",INDIRECT("'"&amp;A6&amp;"'"&amp;"!D:D"))</f>
        <v>0</v>
      </c>
    </row>
    <row r="7" spans="1:5" ht="15.6">
      <c r="A7" s="2905"/>
      <c r="B7" s="2901" t="e">
        <f ca="1">SUMIF(INDIRECT("'"&amp;A7&amp;"'"&amp;"!A:A"),"总价",INDIRECT("'"&amp;A7&amp;"'"&amp;"!B:B"))</f>
        <v>#REF!</v>
      </c>
      <c r="C7" s="2900" t="s">
        <v>2980</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2980</v>
      </c>
      <c r="D8" s="2902"/>
      <c r="E8" s="2573" t="e">
        <f t="shared" ca="1" si="0"/>
        <v>#REF!</v>
      </c>
    </row>
    <row r="9" spans="1:5" ht="15.6">
      <c r="A9" s="2905"/>
      <c r="B9" s="2901" t="e">
        <f t="shared" ca="1" si="1"/>
        <v>#REF!</v>
      </c>
      <c r="C9" s="2900" t="s">
        <v>2980</v>
      </c>
      <c r="D9" s="2902"/>
      <c r="E9" s="2573" t="e">
        <f t="shared" ca="1" si="0"/>
        <v>#REF!</v>
      </c>
    </row>
    <row r="10" spans="1:5" ht="15.6">
      <c r="A10" s="2905"/>
      <c r="B10" s="2901" t="e">
        <f t="shared" ca="1" si="1"/>
        <v>#REF!</v>
      </c>
      <c r="C10" s="2900" t="s">
        <v>2980</v>
      </c>
      <c r="D10" s="2902"/>
      <c r="E10" s="2573" t="e">
        <f t="shared" ca="1" si="0"/>
        <v>#REF!</v>
      </c>
    </row>
    <row r="11" spans="1:5" ht="15.6">
      <c r="A11" s="2905"/>
      <c r="B11" s="2901" t="e">
        <f t="shared" ca="1" si="1"/>
        <v>#REF!</v>
      </c>
      <c r="C11" s="2900" t="s">
        <v>2980</v>
      </c>
      <c r="D11" s="2902"/>
      <c r="E11" s="2573" t="e">
        <f t="shared" ca="1" si="0"/>
        <v>#REF!</v>
      </c>
    </row>
    <row r="12" spans="1:5" ht="15.6">
      <c r="A12" s="2905"/>
      <c r="B12" s="2901" t="e">
        <f t="shared" ca="1" si="1"/>
        <v>#REF!</v>
      </c>
      <c r="C12" s="2900" t="s">
        <v>2980</v>
      </c>
      <c r="D12" s="2902"/>
      <c r="E12" s="2573" t="e">
        <f t="shared" ca="1" si="0"/>
        <v>#REF!</v>
      </c>
    </row>
    <row r="13" spans="1:5" ht="15.6">
      <c r="A13" s="2905"/>
      <c r="B13" s="2901" t="e">
        <f t="shared" ca="1" si="1"/>
        <v>#REF!</v>
      </c>
      <c r="C13" s="2900" t="s">
        <v>2980</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6" sqref="B6:C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79" t="s">
        <v>1140</v>
      </c>
      <c r="C1" s="3279"/>
      <c r="D1" s="3279"/>
      <c r="E1" s="3279"/>
      <c r="F1" s="3279"/>
      <c r="G1" s="3275" t="s">
        <v>1141</v>
      </c>
      <c r="H1" s="3275"/>
      <c r="I1" s="3275"/>
      <c r="J1" s="3275"/>
      <c r="K1" s="3275"/>
      <c r="L1" s="3275"/>
      <c r="N1" s="3275" t="s">
        <v>1142</v>
      </c>
      <c r="O1" s="3275"/>
      <c r="P1" s="3275"/>
      <c r="Q1" s="3275"/>
      <c r="R1" s="1446"/>
      <c r="S1" s="3275" t="s">
        <v>1143</v>
      </c>
      <c r="T1" s="3275"/>
      <c r="U1" s="3275"/>
      <c r="V1" s="3275"/>
      <c r="X1" s="3274" t="s">
        <v>1144</v>
      </c>
      <c r="Y1" s="3275"/>
      <c r="Z1" s="3275"/>
      <c r="AA1" s="3275"/>
      <c r="AB1" s="3275"/>
      <c r="AD1" s="3274" t="s">
        <v>1145</v>
      </c>
      <c r="AE1" s="3275"/>
      <c r="AF1" s="3275"/>
      <c r="AG1" s="3275"/>
      <c r="AH1" s="3275"/>
    </row>
    <row r="2" spans="1:34" s="1447" customFormat="1" ht="15" thickBot="1">
      <c r="B2" s="1448" t="s">
        <v>1146</v>
      </c>
      <c r="C2" s="1448" t="s">
        <v>1147</v>
      </c>
      <c r="D2" s="1449" t="s">
        <v>1148</v>
      </c>
      <c r="E2" s="1449" t="s">
        <v>1149</v>
      </c>
      <c r="F2" s="1448" t="s">
        <v>1150</v>
      </c>
      <c r="G2" s="1450"/>
      <c r="H2" s="1451"/>
      <c r="I2" s="1448" t="s">
        <v>1146</v>
      </c>
      <c r="J2" s="1449" t="s">
        <v>1374</v>
      </c>
      <c r="K2" s="1449" t="s">
        <v>751</v>
      </c>
      <c r="L2" s="1448" t="s">
        <v>1150</v>
      </c>
      <c r="N2" s="1448" t="s">
        <v>1146</v>
      </c>
      <c r="O2" s="1449" t="s">
        <v>1374</v>
      </c>
      <c r="P2" s="1449" t="s">
        <v>751</v>
      </c>
      <c r="Q2" s="1448" t="s">
        <v>1150</v>
      </c>
      <c r="R2" s="1452"/>
      <c r="S2" s="1448" t="s">
        <v>1146</v>
      </c>
      <c r="T2" s="1449" t="s">
        <v>1374</v>
      </c>
      <c r="U2" s="1449" t="s">
        <v>751</v>
      </c>
      <c r="V2" s="1448" t="s">
        <v>1150</v>
      </c>
      <c r="X2" s="1448" t="s">
        <v>1146</v>
      </c>
      <c r="Y2" s="1448" t="s">
        <v>1147</v>
      </c>
      <c r="Z2" s="1449" t="s">
        <v>1148</v>
      </c>
      <c r="AA2" s="1449" t="s">
        <v>1149</v>
      </c>
      <c r="AB2" s="1448" t="s">
        <v>1150</v>
      </c>
      <c r="AD2" s="1448" t="s">
        <v>1146</v>
      </c>
      <c r="AE2" s="1448" t="s">
        <v>1147</v>
      </c>
      <c r="AF2" s="1449" t="s">
        <v>1148</v>
      </c>
      <c r="AG2" s="1449" t="s">
        <v>1149</v>
      </c>
      <c r="AH2" s="1448" t="s">
        <v>1150</v>
      </c>
    </row>
    <row r="3" spans="1:34" s="2916" customFormat="1" ht="14.4">
      <c r="A3" s="2925" t="s">
        <v>3022</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3040</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9">
        <v>2019</v>
      </c>
      <c r="H5" s="1729">
        <v>4</v>
      </c>
      <c r="I5" s="2912">
        <v>0</v>
      </c>
      <c r="J5" s="2912">
        <v>0</v>
      </c>
      <c r="K5" s="2912">
        <v>0</v>
      </c>
      <c r="L5" s="2912">
        <v>0</v>
      </c>
      <c r="N5" s="1467">
        <f t="shared" ref="N5:N10" si="7">I5/100</f>
        <v>0</v>
      </c>
      <c r="O5" s="1467">
        <f t="shared" ref="O5" si="8">J5/100</f>
        <v>0</v>
      </c>
      <c r="P5" s="1467">
        <f t="shared" ref="P5" si="9">K5/100</f>
        <v>0</v>
      </c>
      <c r="Q5" s="1467">
        <f t="shared" ref="Q5" si="10">L5/100</f>
        <v>0</v>
      </c>
      <c r="R5" s="1731"/>
      <c r="S5" s="1732"/>
      <c r="T5" s="1731"/>
      <c r="U5" s="1731"/>
      <c r="V5" s="1731"/>
      <c r="W5" s="2915" t="s">
        <v>3023</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8" thickBot="1">
      <c r="A6" s="1461" t="s">
        <v>3039</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3037</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8" thickBot="1">
      <c r="A8" s="1461" t="s">
        <v>3035</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3038</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7">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 customHeight="1">
      <c r="A10" s="1461" t="s">
        <v>3029</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7"/>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 customHeight="1">
      <c r="A11" s="1461" t="s">
        <v>3028</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7"/>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3021</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4"/>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3018</v>
      </c>
      <c r="B13" s="1469">
        <v>439</v>
      </c>
      <c r="C13" s="1469">
        <v>327</v>
      </c>
      <c r="D13" s="1469">
        <f>C13</f>
        <v>327</v>
      </c>
      <c r="E13" s="1469">
        <v>627</v>
      </c>
      <c r="F13" s="1470">
        <v>283</v>
      </c>
      <c r="G13" s="3280">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 customHeight="1">
      <c r="A14" s="1461" t="s">
        <v>3019</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7"/>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 customHeight="1">
      <c r="A15" s="1461" t="s">
        <v>1375</v>
      </c>
      <c r="B15" s="1477">
        <f t="shared" si="94"/>
        <v>419.31181600000002</v>
      </c>
      <c r="C15" s="1477">
        <f t="shared" si="95"/>
        <v>313.95436800000004</v>
      </c>
      <c r="D15" s="1477">
        <f t="shared" si="96"/>
        <v>313.95436800000004</v>
      </c>
      <c r="E15" s="1477">
        <f t="shared" si="97"/>
        <v>596.63028431999999</v>
      </c>
      <c r="F15" s="1477">
        <f t="shared" si="98"/>
        <v>274.74220703999998</v>
      </c>
      <c r="G15" s="3277"/>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1151</v>
      </c>
      <c r="B16" s="1477">
        <f>B17*(1+N16)</f>
        <v>405.524</v>
      </c>
      <c r="C16" s="1477">
        <f>C17*(1+O16)</f>
        <v>307.79840000000002</v>
      </c>
      <c r="D16" s="1477">
        <f>C16</f>
        <v>307.79840000000002</v>
      </c>
      <c r="E16" s="1477">
        <f>E17*(1+P16)</f>
        <v>574.67759999999998</v>
      </c>
      <c r="F16" s="1477">
        <f>F17*(1+Q16)</f>
        <v>270.20280000000002</v>
      </c>
      <c r="G16" s="3284"/>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80">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7"/>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7"/>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8"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8"/>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8" thickBot="1">
      <c r="A21" s="1461" t="s">
        <v>151</v>
      </c>
      <c r="B21" s="1469">
        <v>333</v>
      </c>
      <c r="C21" s="1469">
        <v>277</v>
      </c>
      <c r="D21" s="1469">
        <f t="shared" si="108"/>
        <v>277</v>
      </c>
      <c r="E21" s="1469">
        <v>459</v>
      </c>
      <c r="F21" s="1470">
        <v>249</v>
      </c>
      <c r="G21" s="3276">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7"/>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7"/>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8"/>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8" thickBot="1">
      <c r="A25" s="1461" t="s">
        <v>147</v>
      </c>
      <c r="B25" s="1490">
        <v>318</v>
      </c>
      <c r="C25" s="1490">
        <v>268</v>
      </c>
      <c r="D25" s="1490">
        <f t="shared" si="108"/>
        <v>268</v>
      </c>
      <c r="E25" s="1490">
        <v>437</v>
      </c>
      <c r="F25" s="1491">
        <v>237</v>
      </c>
      <c r="G25" s="3276">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7"/>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8"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7"/>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8"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8"/>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1152</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8" thickBot="1">
      <c r="A29" s="1461" t="s">
        <v>1153</v>
      </c>
      <c r="B29" s="1469">
        <v>299</v>
      </c>
      <c r="C29" s="1469">
        <v>252</v>
      </c>
      <c r="D29" s="1469">
        <f t="shared" si="108"/>
        <v>252</v>
      </c>
      <c r="E29" s="1469">
        <v>409</v>
      </c>
      <c r="F29" s="1470">
        <v>227</v>
      </c>
      <c r="G29" s="3281">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1154</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2"/>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1155</v>
      </c>
      <c r="B31" s="1477">
        <f t="shared" si="117"/>
        <v>288.2649053828776</v>
      </c>
      <c r="C31" s="1477">
        <f t="shared" si="117"/>
        <v>243.64564425013293</v>
      </c>
      <c r="D31" s="1477">
        <f t="shared" si="108"/>
        <v>243.64564425013293</v>
      </c>
      <c r="E31" s="1477">
        <f t="shared" si="118"/>
        <v>393.31080825986544</v>
      </c>
      <c r="F31" s="1477">
        <f t="shared" si="118"/>
        <v>223.07903790551154</v>
      </c>
      <c r="G31" s="3282"/>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1156</v>
      </c>
      <c r="B32" s="1477">
        <f t="shared" si="117"/>
        <v>282.50186729015837</v>
      </c>
      <c r="C32" s="1477">
        <f t="shared" si="117"/>
        <v>238.09796174155468</v>
      </c>
      <c r="D32" s="1477">
        <f t="shared" si="108"/>
        <v>238.09796174155468</v>
      </c>
      <c r="E32" s="1477">
        <f t="shared" si="118"/>
        <v>385.33438646014054</v>
      </c>
      <c r="F32" s="1477">
        <f t="shared" si="118"/>
        <v>221.55034055567739</v>
      </c>
      <c r="G32" s="3283"/>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8" thickBot="1">
      <c r="A33" s="1461" t="s">
        <v>1157</v>
      </c>
      <c r="B33" s="1511">
        <v>278</v>
      </c>
      <c r="C33" s="1511">
        <v>234</v>
      </c>
      <c r="D33" s="1511">
        <f t="shared" si="108"/>
        <v>234</v>
      </c>
      <c r="E33" s="1511">
        <v>379</v>
      </c>
      <c r="F33" s="1512">
        <v>220</v>
      </c>
      <c r="G33" s="3276">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1158</v>
      </c>
      <c r="B34" s="1477">
        <f>B33/(1+N33)</f>
        <v>275.49301357645425</v>
      </c>
      <c r="C34" s="1477">
        <f>C33/(1+O33)</f>
        <v>232.41954707985698</v>
      </c>
      <c r="D34" s="1477">
        <f t="shared" si="108"/>
        <v>232.41954707985698</v>
      </c>
      <c r="E34" s="1477">
        <f t="shared" ref="E34:F36" si="119">E33/(1+P33)</f>
        <v>375.32184591008121</v>
      </c>
      <c r="F34" s="1477">
        <f t="shared" si="119"/>
        <v>218.03766105054513</v>
      </c>
      <c r="G34" s="3277"/>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1159</v>
      </c>
      <c r="B35" s="1477">
        <f>B34/(1+N34)</f>
        <v>275.24529281292263</v>
      </c>
      <c r="C35" s="1477">
        <f>C34/(1+O34)</f>
        <v>231.74747938962707</v>
      </c>
      <c r="D35" s="1477">
        <f t="shared" si="108"/>
        <v>231.74747938962707</v>
      </c>
      <c r="E35" s="1477">
        <f t="shared" si="119"/>
        <v>375.35938184826603</v>
      </c>
      <c r="F35" s="1477">
        <f t="shared" si="119"/>
        <v>216.78033510692495</v>
      </c>
      <c r="G35" s="3277"/>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8" thickBot="1">
      <c r="A36" s="1461" t="s">
        <v>1160</v>
      </c>
      <c r="B36" s="1477">
        <f>B35/(1+N35)</f>
        <v>275.19025476197027</v>
      </c>
      <c r="C36" s="1513">
        <v>232</v>
      </c>
      <c r="D36" s="1513">
        <f t="shared" si="108"/>
        <v>232</v>
      </c>
      <c r="E36" s="1477">
        <f t="shared" si="119"/>
        <v>375.65990977608692</v>
      </c>
      <c r="F36" s="1477">
        <f t="shared" si="119"/>
        <v>214.12518283971252</v>
      </c>
      <c r="G36" s="3278"/>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8" thickBot="1">
      <c r="A37" s="1461" t="s">
        <v>1161</v>
      </c>
      <c r="B37" s="1469">
        <v>275</v>
      </c>
      <c r="C37" s="1469">
        <v>232</v>
      </c>
      <c r="D37" s="1469">
        <f t="shared" si="108"/>
        <v>232</v>
      </c>
      <c r="E37" s="1469">
        <v>376</v>
      </c>
      <c r="F37" s="1470">
        <v>213</v>
      </c>
      <c r="G37" s="3276">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1162</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7">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1163</v>
      </c>
      <c r="B39" s="1477">
        <f t="shared" si="120"/>
        <v>275.19335084830601</v>
      </c>
      <c r="C39" s="1477">
        <f t="shared" si="120"/>
        <v>230.18088050139744</v>
      </c>
      <c r="D39" s="1477">
        <f t="shared" si="108"/>
        <v>230.18088050139744</v>
      </c>
      <c r="E39" s="1477">
        <f t="shared" si="121"/>
        <v>377.58482925212331</v>
      </c>
      <c r="F39" s="1477">
        <f t="shared" si="121"/>
        <v>210.90687997847917</v>
      </c>
      <c r="G39" s="3277">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8" thickBot="1">
      <c r="A40" s="1461" t="s">
        <v>1164</v>
      </c>
      <c r="B40" s="1477">
        <f t="shared" si="120"/>
        <v>276.29854502841971</v>
      </c>
      <c r="C40" s="1477">
        <f t="shared" si="120"/>
        <v>229.79023709833027</v>
      </c>
      <c r="D40" s="1477">
        <f t="shared" si="108"/>
        <v>229.79023709833027</v>
      </c>
      <c r="E40" s="1477">
        <f t="shared" si="121"/>
        <v>379.78759731655936</v>
      </c>
      <c r="F40" s="1477">
        <f t="shared" si="121"/>
        <v>211.32953905659235</v>
      </c>
      <c r="G40" s="3278">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8" thickBot="1">
      <c r="A41" s="1461" t="s">
        <v>1165</v>
      </c>
      <c r="B41" s="1469">
        <v>269</v>
      </c>
      <c r="C41" s="1469">
        <v>221</v>
      </c>
      <c r="D41" s="1469">
        <f t="shared" si="108"/>
        <v>221</v>
      </c>
      <c r="E41" s="1469">
        <v>373</v>
      </c>
      <c r="F41" s="1470">
        <v>196</v>
      </c>
      <c r="G41" s="3276">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1166</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7">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1167</v>
      </c>
      <c r="B43" s="1477">
        <f t="shared" si="122"/>
        <v>242.95398227588385</v>
      </c>
      <c r="C43" s="1477">
        <f t="shared" si="122"/>
        <v>199.59137053614126</v>
      </c>
      <c r="D43" s="1477">
        <f t="shared" si="108"/>
        <v>199.59137053614126</v>
      </c>
      <c r="E43" s="1477">
        <f t="shared" si="123"/>
        <v>335.92189522342125</v>
      </c>
      <c r="F43" s="1477">
        <f t="shared" si="123"/>
        <v>183.10139991109489</v>
      </c>
      <c r="G43" s="3277">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8" thickBot="1">
      <c r="A44" s="1461" t="s">
        <v>1168</v>
      </c>
      <c r="B44" s="1477">
        <f t="shared" si="122"/>
        <v>232.06990378821649</v>
      </c>
      <c r="C44" s="1477">
        <f t="shared" si="122"/>
        <v>192.74878854286936</v>
      </c>
      <c r="D44" s="1477">
        <f t="shared" si="108"/>
        <v>192.74878854286936</v>
      </c>
      <c r="E44" s="1477">
        <f t="shared" si="123"/>
        <v>319.71247284992984</v>
      </c>
      <c r="F44" s="1477">
        <f t="shared" si="123"/>
        <v>175.67053622862409</v>
      </c>
      <c r="G44" s="3278">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8" thickBot="1">
      <c r="A45" s="1461" t="s">
        <v>1169</v>
      </c>
      <c r="B45" s="1469">
        <v>220</v>
      </c>
      <c r="C45" s="1469">
        <v>187</v>
      </c>
      <c r="D45" s="1469">
        <f t="shared" si="108"/>
        <v>187</v>
      </c>
      <c r="E45" s="1469">
        <v>301</v>
      </c>
      <c r="F45" s="1470">
        <v>168</v>
      </c>
      <c r="G45" s="3276">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1170</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7">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1171</v>
      </c>
      <c r="B47" s="1477">
        <f t="shared" si="124"/>
        <v>210.630522469011</v>
      </c>
      <c r="C47" s="1477">
        <f t="shared" si="124"/>
        <v>181.69567812247232</v>
      </c>
      <c r="D47" s="1477">
        <f t="shared" si="108"/>
        <v>181.69567812247232</v>
      </c>
      <c r="E47" s="1477">
        <f t="shared" si="125"/>
        <v>286.13517466736738</v>
      </c>
      <c r="F47" s="1477">
        <f t="shared" si="125"/>
        <v>165.47535084591149</v>
      </c>
      <c r="G47" s="3277">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1172</v>
      </c>
      <c r="B48" s="1477">
        <f t="shared" si="124"/>
        <v>208.83454537875372</v>
      </c>
      <c r="C48" s="1477">
        <f t="shared" si="124"/>
        <v>183.77230517090351</v>
      </c>
      <c r="D48" s="1477">
        <f t="shared" si="108"/>
        <v>183.77230517090351</v>
      </c>
      <c r="E48" s="1477">
        <f t="shared" si="125"/>
        <v>281.10342338870947</v>
      </c>
      <c r="F48" s="1477">
        <f t="shared" si="125"/>
        <v>168.97309388942256</v>
      </c>
      <c r="G48" s="3278">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8" thickBot="1">
      <c r="A49" s="1461" t="s">
        <v>1173</v>
      </c>
      <c r="B49" s="1511">
        <v>214</v>
      </c>
      <c r="C49" s="1511">
        <v>188</v>
      </c>
      <c r="D49" s="1511">
        <f t="shared" si="108"/>
        <v>188</v>
      </c>
      <c r="E49" s="1511">
        <v>289</v>
      </c>
      <c r="F49" s="1512">
        <v>166</v>
      </c>
      <c r="G49" s="3276">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1174</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7">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1175</v>
      </c>
      <c r="B51" s="1477">
        <f t="shared" si="126"/>
        <v>206.31694671589116</v>
      </c>
      <c r="C51" s="1477">
        <f t="shared" si="126"/>
        <v>183.61041121036101</v>
      </c>
      <c r="D51" s="1477">
        <f t="shared" si="108"/>
        <v>183.61041121036101</v>
      </c>
      <c r="E51" s="1477">
        <f t="shared" si="127"/>
        <v>276.66850301795557</v>
      </c>
      <c r="F51" s="1477">
        <f t="shared" si="127"/>
        <v>165.1360938278614</v>
      </c>
      <c r="G51" s="3277">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8" thickBot="1">
      <c r="A52" s="1461" t="s">
        <v>1176</v>
      </c>
      <c r="B52" s="1514">
        <f t="shared" si="126"/>
        <v>196.62341248059772</v>
      </c>
      <c r="C52" s="1514">
        <f t="shared" si="126"/>
        <v>170.99125648199012</v>
      </c>
      <c r="D52" s="1514">
        <f t="shared" si="108"/>
        <v>170.99125648199012</v>
      </c>
      <c r="E52" s="1514">
        <f t="shared" si="127"/>
        <v>266.07857570490052</v>
      </c>
      <c r="F52" s="1514">
        <f t="shared" si="127"/>
        <v>154.53499328828505</v>
      </c>
      <c r="G52" s="3278">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8" thickBot="1">
      <c r="A53" s="1461" t="s">
        <v>1177</v>
      </c>
      <c r="B53" s="1469">
        <v>188</v>
      </c>
      <c r="C53" s="1469">
        <v>165</v>
      </c>
      <c r="D53" s="1469">
        <f t="shared" si="108"/>
        <v>165</v>
      </c>
      <c r="E53" s="1469">
        <v>254</v>
      </c>
      <c r="F53" s="1470">
        <v>148</v>
      </c>
      <c r="G53" s="3276">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1178</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7">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1179</v>
      </c>
      <c r="B55" s="1477">
        <f t="shared" si="130"/>
        <v>168.82017748715555</v>
      </c>
      <c r="C55" s="1477">
        <f t="shared" si="130"/>
        <v>148.06267029972753</v>
      </c>
      <c r="D55" s="1477">
        <f t="shared" si="108"/>
        <v>148.06267029972753</v>
      </c>
      <c r="E55" s="1477">
        <f t="shared" si="131"/>
        <v>216.46288379323747</v>
      </c>
      <c r="F55" s="1477">
        <f t="shared" si="131"/>
        <v>134.23529411764704</v>
      </c>
      <c r="G55" s="3277">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1180</v>
      </c>
      <c r="B56" s="1477">
        <f t="shared" si="130"/>
        <v>163.84913591779542</v>
      </c>
      <c r="C56" s="1477">
        <f t="shared" si="130"/>
        <v>145.0283378746594</v>
      </c>
      <c r="D56" s="1477">
        <f t="shared" si="108"/>
        <v>145.0283378746594</v>
      </c>
      <c r="E56" s="1477">
        <f t="shared" si="131"/>
        <v>204.95180722891567</v>
      </c>
      <c r="F56" s="1477">
        <f t="shared" si="131"/>
        <v>125.95920303605313</v>
      </c>
      <c r="G56" s="3278">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8" thickBot="1">
      <c r="A57" s="1461" t="s">
        <v>1181</v>
      </c>
      <c r="B57" s="1490">
        <v>159</v>
      </c>
      <c r="C57" s="1490">
        <v>141</v>
      </c>
      <c r="D57" s="1490">
        <f t="shared" si="108"/>
        <v>141</v>
      </c>
      <c r="E57" s="1490">
        <v>195</v>
      </c>
      <c r="F57" s="1491">
        <v>122</v>
      </c>
      <c r="G57" s="3276">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1182</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7">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1183</v>
      </c>
      <c r="B59" s="1477">
        <f t="shared" si="134"/>
        <v>146.57412060301507</v>
      </c>
      <c r="C59" s="1477">
        <f t="shared" si="134"/>
        <v>136.46831955922866</v>
      </c>
      <c r="D59" s="1477">
        <f t="shared" si="108"/>
        <v>136.46831955922866</v>
      </c>
      <c r="E59" s="1477">
        <f t="shared" si="135"/>
        <v>166.73864894795128</v>
      </c>
      <c r="F59" s="1477">
        <f t="shared" si="135"/>
        <v>115.05882352941177</v>
      </c>
      <c r="G59" s="3277">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1184</v>
      </c>
      <c r="B60" s="1477">
        <f t="shared" si="134"/>
        <v>144.04145728643215</v>
      </c>
      <c r="C60" s="1477">
        <f t="shared" si="134"/>
        <v>136.12396694214877</v>
      </c>
      <c r="D60" s="1477">
        <f t="shared" si="108"/>
        <v>136.12396694214877</v>
      </c>
      <c r="E60" s="1477">
        <f t="shared" si="135"/>
        <v>158.32225913621264</v>
      </c>
      <c r="F60" s="1477">
        <f t="shared" si="135"/>
        <v>114.04278074866311</v>
      </c>
      <c r="G60" s="3278">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8" thickBot="1">
      <c r="A61" s="1461" t="s">
        <v>1185</v>
      </c>
      <c r="B61" s="1490">
        <v>138</v>
      </c>
      <c r="C61" s="1490">
        <v>131</v>
      </c>
      <c r="D61" s="1490">
        <f t="shared" si="108"/>
        <v>131</v>
      </c>
      <c r="E61" s="1490">
        <v>155</v>
      </c>
      <c r="F61" s="1491">
        <v>114</v>
      </c>
      <c r="G61" s="3276">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1186</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7">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1187</v>
      </c>
      <c r="B63" s="1477">
        <f t="shared" si="138"/>
        <v>124.29032258064517</v>
      </c>
      <c r="C63" s="1477">
        <f t="shared" si="138"/>
        <v>123.8968609865471</v>
      </c>
      <c r="D63" s="1477">
        <f t="shared" si="108"/>
        <v>123.8968609865471</v>
      </c>
      <c r="E63" s="1477">
        <f t="shared" si="139"/>
        <v>138.00507614213197</v>
      </c>
      <c r="F63" s="1477">
        <f t="shared" si="139"/>
        <v>107.96106557377048</v>
      </c>
      <c r="G63" s="3277">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1188</v>
      </c>
      <c r="B64" s="1477">
        <f t="shared" si="138"/>
        <v>122.57204301075269</v>
      </c>
      <c r="C64" s="1477">
        <f t="shared" si="138"/>
        <v>123.4932735426009</v>
      </c>
      <c r="D64" s="1477">
        <f t="shared" si="108"/>
        <v>123.4932735426009</v>
      </c>
      <c r="E64" s="1477">
        <f t="shared" si="139"/>
        <v>129.82233502538071</v>
      </c>
      <c r="F64" s="1477">
        <f t="shared" si="139"/>
        <v>107.39446721311475</v>
      </c>
      <c r="G64" s="3278">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8" thickBot="1">
      <c r="A65" s="1461" t="s">
        <v>1189</v>
      </c>
      <c r="B65" s="1511">
        <v>121</v>
      </c>
      <c r="C65" s="1511">
        <v>122</v>
      </c>
      <c r="D65" s="1511">
        <f t="shared" si="108"/>
        <v>122</v>
      </c>
      <c r="E65" s="1511">
        <v>124</v>
      </c>
      <c r="F65" s="1512">
        <v>107</v>
      </c>
      <c r="G65" s="3276">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1190</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7">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1191</v>
      </c>
      <c r="B67" s="1477">
        <f t="shared" si="142"/>
        <v>116.99099099099099</v>
      </c>
      <c r="C67" s="1477">
        <f t="shared" si="142"/>
        <v>118.84848484848486</v>
      </c>
      <c r="D67" s="1477">
        <f t="shared" si="108"/>
        <v>118.84848484848486</v>
      </c>
      <c r="E67" s="1477">
        <f t="shared" si="143"/>
        <v>117.60960960960961</v>
      </c>
      <c r="F67" s="1477">
        <f t="shared" si="143"/>
        <v>104</v>
      </c>
      <c r="G67" s="3277">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8" thickBot="1">
      <c r="A68" s="1461" t="s">
        <v>1192</v>
      </c>
      <c r="B68" s="1514">
        <f t="shared" si="142"/>
        <v>112.48648648648648</v>
      </c>
      <c r="C68" s="1514">
        <f t="shared" si="142"/>
        <v>115.21212121212122</v>
      </c>
      <c r="D68" s="1514">
        <f t="shared" si="108"/>
        <v>115.21212121212122</v>
      </c>
      <c r="E68" s="1514">
        <f t="shared" si="143"/>
        <v>110.4024024024024</v>
      </c>
      <c r="F68" s="1514">
        <f t="shared" si="143"/>
        <v>104</v>
      </c>
      <c r="G68" s="3278">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8" thickBot="1">
      <c r="A69" s="1461" t="s">
        <v>1193</v>
      </c>
      <c r="B69" s="1532">
        <v>111</v>
      </c>
      <c r="C69" s="1532">
        <v>114</v>
      </c>
      <c r="D69" s="1532">
        <f t="shared" si="108"/>
        <v>114</v>
      </c>
      <c r="E69" s="1532">
        <v>108</v>
      </c>
      <c r="F69" s="1533">
        <v>104</v>
      </c>
      <c r="G69" s="3276">
        <v>2003</v>
      </c>
      <c r="H69" s="1522">
        <v>4</v>
      </c>
      <c r="I69" s="1534"/>
      <c r="J69" s="1534"/>
      <c r="K69" s="1534"/>
      <c r="L69" s="1534"/>
      <c r="N69" s="1535"/>
      <c r="O69" s="1534"/>
      <c r="P69" s="1534"/>
      <c r="Q69" s="1534"/>
      <c r="S69" s="1535"/>
      <c r="T69" s="1534"/>
      <c r="U69" s="1534"/>
      <c r="V69" s="1534"/>
      <c r="X69" s="1526"/>
      <c r="Y69" s="1526"/>
      <c r="Z69" s="1526"/>
    </row>
    <row r="70" spans="1:26">
      <c r="A70" s="1461" t="s">
        <v>1194</v>
      </c>
      <c r="B70" s="1536">
        <f t="shared" ref="B70:C72" si="144">B71+(B$69-B$73)/4</f>
        <v>109.75</v>
      </c>
      <c r="C70" s="1536">
        <f t="shared" si="144"/>
        <v>112.25</v>
      </c>
      <c r="D70" s="1536">
        <f t="shared" si="108"/>
        <v>112.25</v>
      </c>
      <c r="E70" s="1536">
        <f t="shared" ref="E70:F72" si="145">E71+(E$69-E$73)/4</f>
        <v>107.25</v>
      </c>
      <c r="F70" s="1536">
        <f t="shared" si="145"/>
        <v>103.5</v>
      </c>
      <c r="G70" s="3277">
        <v>2003</v>
      </c>
      <c r="H70" s="1487">
        <v>3</v>
      </c>
      <c r="I70" s="1534"/>
      <c r="J70" s="1534"/>
      <c r="K70" s="1534"/>
      <c r="L70" s="1534"/>
      <c r="X70" s="1526"/>
      <c r="Y70" s="1526"/>
      <c r="Z70" s="1526"/>
    </row>
    <row r="71" spans="1:26">
      <c r="A71" s="1461" t="s">
        <v>1195</v>
      </c>
      <c r="B71" s="1536">
        <f t="shared" si="144"/>
        <v>108.5</v>
      </c>
      <c r="C71" s="1536">
        <f t="shared" si="144"/>
        <v>110.5</v>
      </c>
      <c r="D71" s="1536">
        <f t="shared" si="108"/>
        <v>110.5</v>
      </c>
      <c r="E71" s="1536">
        <f t="shared" si="145"/>
        <v>106.5</v>
      </c>
      <c r="F71" s="1536">
        <f t="shared" si="145"/>
        <v>103</v>
      </c>
      <c r="G71" s="3277">
        <v>2003</v>
      </c>
      <c r="H71" s="1465">
        <v>2</v>
      </c>
      <c r="I71" s="1534"/>
      <c r="J71" s="1534"/>
      <c r="K71" s="1534"/>
      <c r="L71" s="1534"/>
      <c r="X71" s="1526"/>
      <c r="Y71" s="1526"/>
      <c r="Z71" s="1526"/>
    </row>
    <row r="72" spans="1:26" ht="13.8" thickBot="1">
      <c r="A72" s="1461" t="s">
        <v>1196</v>
      </c>
      <c r="B72" s="1536">
        <f t="shared" si="144"/>
        <v>107.25</v>
      </c>
      <c r="C72" s="1536">
        <f t="shared" si="144"/>
        <v>108.75</v>
      </c>
      <c r="D72" s="1536">
        <f t="shared" si="108"/>
        <v>108.75</v>
      </c>
      <c r="E72" s="1536">
        <f t="shared" si="145"/>
        <v>105.75</v>
      </c>
      <c r="F72" s="1536">
        <f t="shared" si="145"/>
        <v>102.5</v>
      </c>
      <c r="G72" s="3278">
        <v>2003</v>
      </c>
      <c r="H72" s="1537">
        <v>1</v>
      </c>
      <c r="I72" s="1534"/>
      <c r="J72" s="1534"/>
      <c r="K72" s="1534"/>
      <c r="L72" s="1534"/>
      <c r="S72" s="1472"/>
      <c r="T72" s="1473"/>
      <c r="U72" s="1473"/>
      <c r="X72" s="1526"/>
      <c r="Y72" s="1526"/>
      <c r="Z72" s="1526"/>
    </row>
    <row r="73" spans="1:26" ht="13.8" thickBot="1">
      <c r="A73" s="1461" t="s">
        <v>1197</v>
      </c>
      <c r="B73" s="1538">
        <v>106</v>
      </c>
      <c r="C73" s="1538">
        <v>107</v>
      </c>
      <c r="D73" s="1538">
        <f t="shared" si="108"/>
        <v>107</v>
      </c>
      <c r="E73" s="1538">
        <v>105</v>
      </c>
      <c r="F73" s="1539">
        <v>102</v>
      </c>
      <c r="G73" s="3276">
        <v>2002</v>
      </c>
      <c r="H73" s="1482">
        <v>4</v>
      </c>
      <c r="I73" s="1534"/>
      <c r="J73" s="1534"/>
      <c r="K73" s="1534"/>
      <c r="L73" s="1534"/>
      <c r="N73" s="1535"/>
      <c r="O73" s="1534"/>
      <c r="P73" s="1534"/>
      <c r="Q73" s="1534"/>
      <c r="S73" s="1535"/>
      <c r="T73" s="1534"/>
      <c r="U73" s="1534"/>
      <c r="V73" s="1534"/>
      <c r="X73" s="1526"/>
      <c r="Y73" s="1526"/>
      <c r="Z73" s="1526"/>
    </row>
    <row r="74" spans="1:26">
      <c r="A74" s="1461" t="s">
        <v>1198</v>
      </c>
      <c r="B74" s="1536">
        <f t="shared" ref="B74:C76" si="146">B75+(B$73-B$77)/4</f>
        <v>105</v>
      </c>
      <c r="C74" s="1536">
        <f t="shared" si="146"/>
        <v>106</v>
      </c>
      <c r="D74" s="1536">
        <f t="shared" si="108"/>
        <v>106</v>
      </c>
      <c r="E74" s="1536">
        <f t="shared" ref="E74:F76" si="147">E75+(E$73-E$77)/4</f>
        <v>104.5</v>
      </c>
      <c r="F74" s="1536">
        <f t="shared" si="147"/>
        <v>101.5</v>
      </c>
      <c r="G74" s="3277">
        <v>2002</v>
      </c>
      <c r="H74" s="1487">
        <v>3</v>
      </c>
      <c r="I74" s="1534"/>
      <c r="J74" s="1534"/>
      <c r="K74" s="1534"/>
      <c r="L74" s="1534"/>
      <c r="X74" s="1526"/>
      <c r="Y74" s="1526"/>
      <c r="Z74" s="1526"/>
    </row>
    <row r="75" spans="1:26">
      <c r="A75" s="1461" t="s">
        <v>1199</v>
      </c>
      <c r="B75" s="1536">
        <f t="shared" si="146"/>
        <v>104</v>
      </c>
      <c r="C75" s="1536">
        <f t="shared" si="146"/>
        <v>105</v>
      </c>
      <c r="D75" s="1536">
        <f t="shared" si="108"/>
        <v>105</v>
      </c>
      <c r="E75" s="1536">
        <f t="shared" si="147"/>
        <v>104</v>
      </c>
      <c r="F75" s="1536">
        <f t="shared" si="147"/>
        <v>101</v>
      </c>
      <c r="G75" s="3277">
        <v>2002</v>
      </c>
      <c r="H75" s="1465">
        <v>2</v>
      </c>
      <c r="I75" s="1534"/>
      <c r="J75" s="1534"/>
      <c r="K75" s="1534"/>
      <c r="L75" s="1534"/>
      <c r="X75" s="1526"/>
      <c r="Y75" s="1526"/>
      <c r="Z75" s="1526"/>
    </row>
    <row r="76" spans="1:26" s="1498" customFormat="1" ht="13.8" thickBot="1">
      <c r="A76" s="1494" t="s">
        <v>1200</v>
      </c>
      <c r="B76" s="1540">
        <f t="shared" si="146"/>
        <v>103</v>
      </c>
      <c r="C76" s="1540">
        <f t="shared" si="146"/>
        <v>104</v>
      </c>
      <c r="D76" s="1540">
        <f t="shared" si="108"/>
        <v>104</v>
      </c>
      <c r="E76" s="1540">
        <f t="shared" si="147"/>
        <v>103.5</v>
      </c>
      <c r="F76" s="1540">
        <f t="shared" si="147"/>
        <v>100.5</v>
      </c>
      <c r="G76" s="3278">
        <v>2002</v>
      </c>
      <c r="H76" s="1541">
        <v>1</v>
      </c>
      <c r="I76" s="1542"/>
      <c r="J76" s="1542"/>
      <c r="K76" s="1542"/>
      <c r="L76" s="1542"/>
      <c r="N76" s="1543"/>
      <c r="S76" s="1543"/>
      <c r="X76" s="1544"/>
      <c r="Y76" s="1544"/>
      <c r="Z76" s="1544"/>
    </row>
    <row r="77" spans="1:26" ht="13.8"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1201</v>
      </c>
      <c r="G79" s="1550"/>
      <c r="N79" s="1550"/>
      <c r="S79" s="1550"/>
    </row>
    <row r="80" spans="1:26" s="1549" customFormat="1">
      <c r="A80" s="1549" t="s">
        <v>1202</v>
      </c>
      <c r="G80" s="1550"/>
      <c r="N80" s="1550"/>
      <c r="S80" s="1550"/>
    </row>
    <row r="81" spans="1:22" s="1549" customFormat="1">
      <c r="A81" s="1549" t="s">
        <v>1203</v>
      </c>
      <c r="G81" s="1550"/>
      <c r="I81" s="1551"/>
      <c r="J81" s="1551"/>
      <c r="K81" s="1551"/>
      <c r="L81" s="1551"/>
      <c r="N81" s="1552"/>
      <c r="O81" s="1551"/>
      <c r="P81" s="1551"/>
      <c r="Q81" s="1551"/>
      <c r="S81" s="1552"/>
      <c r="T81" s="1551"/>
      <c r="U81" s="1551"/>
      <c r="V81" s="1551"/>
    </row>
    <row r="82" spans="1:22" s="1549" customFormat="1">
      <c r="A82" s="1549" t="s">
        <v>1204</v>
      </c>
      <c r="G82" s="1550"/>
      <c r="N82" s="1550"/>
      <c r="S82" s="1550"/>
    </row>
    <row r="89" spans="1:22" ht="13.8" thickBot="1"/>
    <row r="90" spans="1:22">
      <c r="G90" s="1471"/>
      <c r="S90" s="1553" t="s">
        <v>1205</v>
      </c>
      <c r="T90" s="1554" t="s">
        <v>1206</v>
      </c>
      <c r="U90" s="1554" t="s">
        <v>1207</v>
      </c>
      <c r="V90" s="1554" t="s">
        <v>1208</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8"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1610</v>
      </c>
      <c r="B1" s="1957"/>
      <c r="C1" s="1957"/>
      <c r="D1" s="1957"/>
      <c r="E1" s="1957"/>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7"/>
      <c r="C2" s="2967"/>
      <c r="D2" s="2967"/>
      <c r="E2" s="2967"/>
    </row>
    <row r="3" spans="1:5" ht="17.399999999999999">
      <c r="A3" s="2968" t="str">
        <f>IF(项目基本情况!B9="房地产市场价值","估价结果一览表（市场价值不需“结果表-1”）","估价结果一览表")</f>
        <v>估价结果一览表（市场价值不需“结果表-1”）</v>
      </c>
      <c r="B3" s="2968"/>
      <c r="C3" s="2968"/>
      <c r="D3" s="2968"/>
      <c r="E3" s="2968"/>
    </row>
    <row r="4" spans="1:5" ht="18" thickBot="1">
      <c r="A4" s="1959"/>
      <c r="B4" s="2966" t="s">
        <v>1619</v>
      </c>
      <c r="C4" s="2966"/>
      <c r="D4" s="2966"/>
      <c r="E4" s="1959"/>
    </row>
    <row r="5" spans="1:5" ht="16.2" thickTop="1">
      <c r="A5" s="1957"/>
      <c r="B5" s="2964" t="s">
        <v>1611</v>
      </c>
      <c r="C5" s="1960" t="s">
        <v>1612</v>
      </c>
      <c r="D5" s="1040">
        <f ca="1">结果表!H101</f>
        <v>147162</v>
      </c>
      <c r="E5" s="1957"/>
    </row>
    <row r="6" spans="1:5" ht="31.2">
      <c r="A6" s="1957"/>
      <c r="B6" s="2964"/>
      <c r="C6" s="1960" t="s">
        <v>1613</v>
      </c>
      <c r="D6" s="1040" t="str">
        <f ca="1">NUMBERSTRING(INT(D5*10000),2)&amp;"元整"</f>
        <v>壹拾肆亿柒仟壹佰陆拾贰万元整</v>
      </c>
      <c r="E6" s="1957"/>
    </row>
    <row r="7" spans="1:5" ht="15.6">
      <c r="A7" s="1957"/>
      <c r="B7" s="2969"/>
      <c r="C7" s="1961" t="s">
        <v>1614</v>
      </c>
      <c r="D7" s="1041">
        <f ca="1">结果表!H102</f>
        <v>25603</v>
      </c>
      <c r="E7" s="1957"/>
    </row>
    <row r="8" spans="1:5" ht="15.6">
      <c r="A8" s="1957"/>
      <c r="B8" s="2970" t="str">
        <f>结果表!E103</f>
        <v>2.估价师知悉的法定优先受偿款</v>
      </c>
      <c r="C8" s="1962" t="s">
        <v>1615</v>
      </c>
      <c r="D8" s="1041">
        <f>结果表!H103</f>
        <v>0</v>
      </c>
      <c r="E8" s="1957"/>
    </row>
    <row r="9" spans="1:5" ht="15.6">
      <c r="A9" s="1957"/>
      <c r="B9" s="2972"/>
      <c r="C9" s="1960" t="s">
        <v>1613</v>
      </c>
      <c r="D9" s="1040" t="str">
        <f>NUMBERSTRING(INT(D8*10000),2)&amp;"元整"</f>
        <v>零元整</v>
      </c>
      <c r="E9" s="1957"/>
    </row>
    <row r="10" spans="1:5" ht="15.6">
      <c r="A10" s="1957"/>
      <c r="B10" s="1963" t="s">
        <v>1618</v>
      </c>
      <c r="C10" s="1964" t="s">
        <v>1616</v>
      </c>
      <c r="D10" s="1042">
        <f>结果表!H104</f>
        <v>0</v>
      </c>
      <c r="E10" s="1957"/>
    </row>
    <row r="11" spans="1:5" ht="15.6">
      <c r="A11" s="1957"/>
      <c r="B11" s="1963" t="s">
        <v>1620</v>
      </c>
      <c r="C11" s="1964" t="s">
        <v>1621</v>
      </c>
      <c r="D11" s="1042">
        <f>结果表!H105</f>
        <v>0</v>
      </c>
      <c r="E11" s="1957"/>
    </row>
    <row r="12" spans="1:5" ht="15.6">
      <c r="A12" s="1957"/>
      <c r="B12" s="1963" t="s">
        <v>1622</v>
      </c>
      <c r="C12" s="1964" t="s">
        <v>1621</v>
      </c>
      <c r="D12" s="1042">
        <f>结果表!H106</f>
        <v>0</v>
      </c>
      <c r="E12" s="1957"/>
    </row>
    <row r="13" spans="1:5" ht="15.6">
      <c r="A13" s="1957"/>
      <c r="B13" s="2963" t="str">
        <f>结果表!E107</f>
        <v>3.房地产抵押价值</v>
      </c>
      <c r="C13" s="1965" t="s">
        <v>1612</v>
      </c>
      <c r="D13" s="1043">
        <f ca="1">结果表!H107</f>
        <v>147162</v>
      </c>
      <c r="E13" s="1957"/>
    </row>
    <row r="14" spans="1:5" ht="31.2">
      <c r="A14" s="1957"/>
      <c r="B14" s="2964"/>
      <c r="C14" s="1960" t="s">
        <v>1613</v>
      </c>
      <c r="D14" s="1040" t="str">
        <f ca="1">NUMBERSTRING(INT(D13*10000),2)&amp;"元整"</f>
        <v>壹拾肆亿柒仟壹佰陆拾贰万元整</v>
      </c>
      <c r="E14" s="1957"/>
    </row>
    <row r="15" spans="1:5" ht="15.6">
      <c r="A15" s="1957"/>
      <c r="B15" s="2969"/>
      <c r="C15" s="1961" t="s">
        <v>1623</v>
      </c>
      <c r="D15" s="1052">
        <f ca="1">结果表!H108</f>
        <v>25603</v>
      </c>
      <c r="E15" s="1957"/>
    </row>
    <row r="16" spans="1:5" ht="15.6">
      <c r="A16" s="1957"/>
      <c r="B16" s="2970" t="str">
        <f>结果表!E109</f>
        <v>——</v>
      </c>
      <c r="C16" s="1965" t="s">
        <v>1624</v>
      </c>
      <c r="D16" s="1966" t="str">
        <f>结果表!H109</f>
        <v>——</v>
      </c>
      <c r="E16" s="1957"/>
    </row>
    <row r="17" spans="1:5" ht="15.6">
      <c r="A17" s="1957"/>
      <c r="B17" s="2971"/>
      <c r="C17" s="1960" t="s">
        <v>1625</v>
      </c>
      <c r="D17" s="1040" t="e">
        <f>NUMBERSTRING(INT(D16*10000),2)&amp;"元整"</f>
        <v>#VALUE!</v>
      </c>
      <c r="E17" s="1957"/>
    </row>
    <row r="18" spans="1:5" ht="15.6">
      <c r="A18" s="1957"/>
      <c r="B18" s="2972"/>
      <c r="C18" s="1961" t="s">
        <v>1614</v>
      </c>
      <c r="D18" s="1052" t="str">
        <f>结果表!H110</f>
        <v>——</v>
      </c>
      <c r="E18" s="1957"/>
    </row>
    <row r="19" spans="1:5" ht="15.6">
      <c r="A19" s="1957"/>
      <c r="B19" s="2963" t="str">
        <f>结果表!E111</f>
        <v>——</v>
      </c>
      <c r="C19" s="1965" t="s">
        <v>1612</v>
      </c>
      <c r="D19" s="1041" t="str">
        <f>结果表!H111</f>
        <v>——</v>
      </c>
      <c r="E19" s="1957"/>
    </row>
    <row r="20" spans="1:5" ht="15.6">
      <c r="A20" s="1957"/>
      <c r="B20" s="2964"/>
      <c r="C20" s="1960" t="s">
        <v>1625</v>
      </c>
      <c r="D20" s="1040" t="e">
        <f>NUMBERSTRING(INT(D19*10000),2)&amp;"元整"</f>
        <v>#VALUE!</v>
      </c>
      <c r="E20" s="1957"/>
    </row>
    <row r="21" spans="1:5" ht="16.2" thickBot="1">
      <c r="A21" s="1957"/>
      <c r="B21" s="2965"/>
      <c r="C21" s="1967" t="s">
        <v>1623</v>
      </c>
      <c r="D21" s="1053" t="str">
        <f>结果表!H112</f>
        <v>——</v>
      </c>
      <c r="E21" s="1957"/>
    </row>
    <row r="22" spans="1:5" ht="14.4" thickTop="1">
      <c r="A22" s="1957"/>
      <c r="B22" s="1968" t="s">
        <v>1626</v>
      </c>
      <c r="C22" s="1957"/>
      <c r="D22" s="1957"/>
      <c r="E22" s="1957"/>
    </row>
    <row r="23" spans="1:5">
      <c r="A23" s="1957"/>
      <c r="B23" s="1957"/>
      <c r="C23" s="1957"/>
      <c r="D23" s="1957"/>
      <c r="E23" s="1957"/>
    </row>
    <row r="24" spans="1:5" ht="17.399999999999999">
      <c r="A24" s="1969"/>
      <c r="B24" s="1970" t="s">
        <v>1617</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286" t="s">
        <v>2990</v>
      </c>
      <c r="D1" s="3287"/>
      <c r="E1" s="3287"/>
      <c r="F1" s="3287"/>
      <c r="G1" s="3287"/>
      <c r="H1" s="3287"/>
      <c r="I1" s="3287"/>
      <c r="J1" s="3287"/>
      <c r="K1" s="3287"/>
      <c r="L1" s="3287"/>
      <c r="M1" s="3287"/>
      <c r="N1" s="3287"/>
      <c r="O1" s="3287"/>
      <c r="P1" s="3287"/>
      <c r="Q1" s="3287"/>
      <c r="R1" s="3287"/>
      <c r="S1" s="3288"/>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2993</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2994</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2995</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2999</v>
      </c>
      <c r="B17" s="2907"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3001</v>
      </c>
      <c r="E19" s="1791"/>
      <c r="F19" s="1791"/>
      <c r="G19" s="1791"/>
      <c r="H19" s="1280"/>
      <c r="I19" s="168"/>
      <c r="J19" s="168"/>
      <c r="K19" s="168"/>
      <c r="L19" s="168"/>
      <c r="M19" s="168"/>
      <c r="N19" s="168"/>
      <c r="O19" s="168"/>
      <c r="P19" s="168"/>
      <c r="Q19" s="168"/>
      <c r="R19" s="788"/>
      <c r="S19" s="138"/>
    </row>
    <row r="20" spans="1:45" ht="16.2" thickBot="1">
      <c r="A20" s="715" t="s">
        <v>3002</v>
      </c>
      <c r="B20" s="338" t="e">
        <f ca="1">IF(D20="——",S22,S22-F20)</f>
        <v>#REF!</v>
      </c>
      <c r="C20" s="168"/>
      <c r="D20" s="2909" t="s">
        <v>3003</v>
      </c>
      <c r="E20" s="1792"/>
      <c r="F20" s="1204" t="e">
        <f ca="1">SUMIF(INDIRECT("'"&amp;H20&amp;"'"&amp;"!A:A"),"承租人权益价值",INDIRECT("'"&amp;H20&amp;"'"&amp;"!c:c"))</f>
        <v>#REF!</v>
      </c>
      <c r="G20" s="1204" t="s">
        <v>3004</v>
      </c>
      <c r="H20" s="2910"/>
      <c r="I20" s="168"/>
      <c r="J20" s="168"/>
      <c r="K20" s="168"/>
      <c r="L20" s="168"/>
      <c r="M20" s="168"/>
      <c r="N20" s="168"/>
      <c r="O20" s="168"/>
      <c r="P20" s="168"/>
      <c r="Q20" s="168"/>
      <c r="R20" s="788"/>
      <c r="S20" s="138"/>
    </row>
    <row r="21" spans="1:45" ht="15.6">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063" t="s">
        <v>33</v>
      </c>
      <c r="D22" s="3064"/>
      <c r="E22" s="3064"/>
      <c r="F22" s="3064"/>
      <c r="G22" s="3064"/>
      <c r="H22" s="3064"/>
      <c r="I22" s="3064"/>
      <c r="J22" s="3064"/>
      <c r="K22" s="3064"/>
      <c r="L22" s="3064"/>
      <c r="M22" s="3064"/>
      <c r="N22" s="3064"/>
      <c r="O22" s="3064"/>
      <c r="P22" s="3064"/>
      <c r="Q22" s="3285"/>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97847</v>
      </c>
      <c r="C2" s="2" t="s">
        <v>133</v>
      </c>
      <c r="D2" s="243"/>
      <c r="E2" s="243"/>
      <c r="F2" s="243"/>
      <c r="G2" s="243"/>
    </row>
    <row r="3" spans="1:7" s="244" customFormat="1" ht="18" customHeight="1" thickBot="1">
      <c r="A3" s="247" t="s">
        <v>85</v>
      </c>
      <c r="B3" s="248">
        <f ca="1">ROUND(B2*10000/'数据-汇总表'!E3,0)</f>
        <v>17024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1139</v>
      </c>
    </row>
    <row r="9" spans="1:7" s="258" customFormat="1" ht="13.5" customHeight="1">
      <c r="A9" s="950" t="s">
        <v>800</v>
      </c>
      <c r="B9" s="268" t="s">
        <v>93</v>
      </c>
      <c r="C9" s="269">
        <f>ROUND(D9*E9/10000,0)</f>
        <v>0</v>
      </c>
      <c r="D9" s="1032">
        <f>'数据-汇总表'!E5</f>
        <v>0</v>
      </c>
      <c r="E9" s="269">
        <f>'数据-取费表'!B27</f>
        <v>220</v>
      </c>
      <c r="F9" s="265"/>
      <c r="G9" s="270"/>
    </row>
    <row r="10" spans="1:7" s="258" customFormat="1" ht="13.5" customHeight="1">
      <c r="A10" s="950" t="s">
        <v>801</v>
      </c>
      <c r="B10" s="268" t="s">
        <v>94</v>
      </c>
      <c r="C10" s="269">
        <f>ROUND(D10*E10/10000,0)</f>
        <v>1265</v>
      </c>
      <c r="D10" s="1032">
        <f>'数据-汇总表'!E6</f>
        <v>57477.440000000002</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1150</v>
      </c>
      <c r="D19" s="1036">
        <f>'数据-汇总表'!E3</f>
        <v>57477.440000000002</v>
      </c>
      <c r="E19" s="255">
        <f>'数据-取费表'!B31</f>
        <v>200</v>
      </c>
      <c r="F19" s="275"/>
      <c r="G19" s="1" t="s">
        <v>1071</v>
      </c>
    </row>
    <row r="20" spans="1:7" s="258" customFormat="1" ht="13.5" customHeight="1">
      <c r="A20" s="948" t="s">
        <v>1054</v>
      </c>
      <c r="B20" s="254" t="s">
        <v>104</v>
      </c>
      <c r="C20" s="276">
        <f>ROUND((C5+C19)*F20,0)</f>
        <v>653</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2147</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112</v>
      </c>
      <c r="D24" s="282"/>
      <c r="E24" s="282"/>
      <c r="F24" s="283"/>
      <c r="G24" s="284" t="s">
        <v>109</v>
      </c>
    </row>
    <row r="25" spans="1:7" s="258" customFormat="1" ht="24">
      <c r="A25" s="951" t="s">
        <v>793</v>
      </c>
      <c r="B25" s="259" t="s">
        <v>1055</v>
      </c>
      <c r="C25" s="1355">
        <f ca="1">ROUND(IF('数据-取费表'!B22&lt;=1,C20*F22*'数据-取费表'!B23/2,C20*(POWER((1+F22),'数据-取费表'!B23/2)-1)),0)</f>
        <v>31</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6.4">
      <c r="A27" s="948" t="s">
        <v>787</v>
      </c>
      <c r="B27" s="288" t="s">
        <v>112</v>
      </c>
      <c r="C27" s="289">
        <f>C28</f>
        <v>6724</v>
      </c>
      <c r="D27" s="279">
        <f>C29</f>
        <v>8.9999999999999993E-3</v>
      </c>
      <c r="E27" s="280" t="s">
        <v>126</v>
      </c>
      <c r="F27" s="290">
        <f>'数据-取费表'!Q16</f>
        <v>0.3</v>
      </c>
      <c r="G27" s="291" t="s">
        <v>1066</v>
      </c>
    </row>
    <row r="28" spans="1:7" s="258" customFormat="1" ht="13.5" customHeight="1">
      <c r="A28" s="951" t="s">
        <v>794</v>
      </c>
      <c r="B28" s="292" t="s">
        <v>1059</v>
      </c>
      <c r="C28" s="293">
        <f>ROUND((C5+C19+C20)*F27*'数据-取费表'!B21/'数据-取费表'!B20,0)</f>
        <v>6724</v>
      </c>
      <c r="D28" s="279"/>
      <c r="E28" s="280"/>
      <c r="F28" s="290"/>
      <c r="G28" s="291"/>
    </row>
    <row r="29" spans="1:7" s="258" customFormat="1" ht="13.5" customHeight="1">
      <c r="A29" s="951" t="s">
        <v>792</v>
      </c>
      <c r="B29" s="292" t="s">
        <v>1060</v>
      </c>
      <c r="C29" s="282">
        <f>ROUND(C21*F27*'数据-取费表'!B21/'数据-取费表'!B20,4)</f>
        <v>8.9999999999999993E-3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34520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50121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45982</v>
      </c>
      <c r="D34" s="261"/>
      <c r="E34" s="264"/>
      <c r="F34" s="301">
        <f>IF('数据-取费表'!B24=0,1,'数据-取费表'!N16)</f>
        <v>1</v>
      </c>
      <c r="G34" s="263" t="s">
        <v>116</v>
      </c>
    </row>
    <row r="35" spans="1:7" ht="13.5" customHeight="1">
      <c r="A35" s="951" t="s">
        <v>796</v>
      </c>
      <c r="B35" s="259" t="s">
        <v>60</v>
      </c>
      <c r="C35" s="264">
        <f>ROUND(C34*F35,0)</f>
        <v>2299</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1150</v>
      </c>
      <c r="D37" s="261">
        <f>'数据-汇总表'!E3</f>
        <v>57477.440000000002</v>
      </c>
      <c r="E37" s="293">
        <f>'数据-取费表'!B35</f>
        <v>200</v>
      </c>
      <c r="F37" s="303"/>
      <c r="G37" s="305" t="s">
        <v>119</v>
      </c>
    </row>
    <row r="38" spans="1:7" ht="13.5" customHeight="1">
      <c r="A38" s="951" t="s">
        <v>799</v>
      </c>
      <c r="B38" s="259" t="s">
        <v>63</v>
      </c>
      <c r="C38" s="264">
        <f>ROUND(C34*F38,0)</f>
        <v>690</v>
      </c>
      <c r="D38" s="264"/>
      <c r="E38" s="264"/>
      <c r="F38" s="303">
        <f>'数据-取费表'!B36</f>
        <v>1.4999999999999999E-2</v>
      </c>
      <c r="G38" s="263" t="s">
        <v>117</v>
      </c>
    </row>
    <row r="39" spans="1:7" s="258" customFormat="1" ht="13.5" customHeight="1">
      <c r="A39" s="948" t="s">
        <v>783</v>
      </c>
      <c r="B39" s="254" t="s">
        <v>104</v>
      </c>
      <c r="C39" s="276">
        <f>ROUND(C33*F20,0)</f>
        <v>1504</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2452</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2381</v>
      </c>
      <c r="D42" s="282"/>
      <c r="E42" s="282"/>
      <c r="F42" s="283"/>
      <c r="G42" s="3148" t="s">
        <v>121</v>
      </c>
    </row>
    <row r="43" spans="1:7" ht="13.5" customHeight="1">
      <c r="A43" s="951" t="s">
        <v>792</v>
      </c>
      <c r="B43" s="259" t="s">
        <v>1061</v>
      </c>
      <c r="C43" s="282">
        <f ca="1">ROUND(IF('数据-取费表'!B22&lt;=1,C39*F22*'数据-取费表'!B21/2,C39*(POWER((1+F22),'数据-取费表'!B21/2)-1)),0)</f>
        <v>71</v>
      </c>
      <c r="D43" s="282"/>
      <c r="E43" s="282"/>
      <c r="F43" s="283"/>
      <c r="G43" s="3149"/>
    </row>
    <row r="44" spans="1:7" ht="13.5" customHeight="1">
      <c r="A44" s="951" t="s">
        <v>793</v>
      </c>
      <c r="B44" s="259" t="s">
        <v>1063</v>
      </c>
      <c r="C44" s="282">
        <f ca="1">ROUND(IF('数据-取费表'!B22&lt;=1,C40*F22*'数据-取费表'!B21/2,C40*(POWER((1+F22),'数据-取费表'!B21/2)-1)),4)</f>
        <v>1.4E-3</v>
      </c>
      <c r="D44" s="282"/>
      <c r="E44" s="282"/>
      <c r="F44" s="283"/>
      <c r="G44" s="3150"/>
    </row>
    <row r="45" spans="1:7" s="258" customFormat="1" ht="13.5" customHeight="1">
      <c r="A45" s="948" t="s">
        <v>786</v>
      </c>
      <c r="B45" s="288" t="s">
        <v>112</v>
      </c>
      <c r="C45" s="289">
        <f>C46</f>
        <v>15488</v>
      </c>
      <c r="D45" s="279">
        <f>C47</f>
        <v>8.9999999999999993E-3</v>
      </c>
      <c r="E45" s="280" t="s">
        <v>129</v>
      </c>
      <c r="F45" s="290"/>
      <c r="G45" s="291" t="s">
        <v>1069</v>
      </c>
    </row>
    <row r="46" spans="1:7" s="258" customFormat="1" ht="13.5" customHeight="1">
      <c r="A46" s="951" t="s">
        <v>794</v>
      </c>
      <c r="B46" s="292" t="s">
        <v>1062</v>
      </c>
      <c r="C46" s="293">
        <f>ROUND((C33+C39)*F27,0)</f>
        <v>15488</v>
      </c>
      <c r="D46" s="307"/>
      <c r="E46" s="280"/>
      <c r="F46" s="290"/>
      <c r="G46" s="291"/>
    </row>
    <row r="47" spans="1:7" s="258" customFormat="1" ht="13.5" customHeight="1">
      <c r="A47" s="951" t="s">
        <v>792</v>
      </c>
      <c r="B47" s="292" t="s">
        <v>1064</v>
      </c>
      <c r="C47" s="282">
        <f>ROUND(C40*F27,4)</f>
        <v>8.9999999999999993E-3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76760</v>
      </c>
      <c r="D49" s="276"/>
      <c r="E49" s="276"/>
      <c r="F49" s="308"/>
      <c r="G49" s="278" t="s">
        <v>1070</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63327</v>
      </c>
      <c r="D51" s="276"/>
      <c r="E51" s="276"/>
      <c r="F51" s="308"/>
      <c r="G51" s="278" t="s">
        <v>64</v>
      </c>
    </row>
    <row r="52" spans="1:7" s="252" customFormat="1" ht="16.8" thickBot="1">
      <c r="A52" s="309" t="s">
        <v>65</v>
      </c>
      <c r="B52" s="310"/>
      <c r="C52" s="311">
        <f ca="1">C31+C51</f>
        <v>97847</v>
      </c>
      <c r="D52" s="310"/>
      <c r="E52" s="310"/>
      <c r="F52" s="310"/>
      <c r="G52" s="312"/>
    </row>
    <row r="55" spans="1:7" ht="15">
      <c r="B55" s="314" t="s">
        <v>66</v>
      </c>
      <c r="C55" s="315"/>
    </row>
    <row r="56" spans="1:7">
      <c r="B56" s="317" t="s">
        <v>67</v>
      </c>
      <c r="C56" s="318">
        <f ca="1">ROUND(C51/C52,3)</f>
        <v>0.64700000000000002</v>
      </c>
    </row>
    <row r="57" spans="1:7">
      <c r="B57" s="317" t="s">
        <v>68</v>
      </c>
      <c r="C57" s="319">
        <f ca="1">1-C56</f>
        <v>0.35299999999999998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9" t="s">
        <v>868</v>
      </c>
      <c r="B1" s="3289"/>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1290</v>
      </c>
      <c r="C1" s="1693">
        <f>项目基本情况!D3</f>
        <v>43768</v>
      </c>
      <c r="D1" s="1699" t="s">
        <v>1291</v>
      </c>
      <c r="E1" s="1694">
        <f>'数据-取费表'!B22</f>
        <v>2</v>
      </c>
      <c r="F1" s="1699" t="s">
        <v>1292</v>
      </c>
      <c r="G1" s="1695">
        <f ca="1">INDIRECT("d"&amp;$K$1)/100</f>
        <v>4.7500000000000001E-2</v>
      </c>
      <c r="H1" s="1699" t="s">
        <v>1322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1293</v>
      </c>
      <c r="E2" s="1635"/>
      <c r="F2" s="1635" t="s">
        <v>1294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1298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1299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1301</v>
      </c>
      <c r="C10" s="1663"/>
      <c r="D10" s="1663"/>
      <c r="E10" s="1663"/>
      <c r="F10" s="1663"/>
      <c r="G10" s="1663"/>
      <c r="H10" s="1663"/>
      <c r="I10" s="1637"/>
      <c r="J10" s="1637"/>
      <c r="K10" s="1663"/>
      <c r="L10" s="1664" t="s">
        <v>1302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1303</v>
      </c>
      <c r="C11" s="1668" t="s">
        <v>1304</v>
      </c>
      <c r="D11" s="1669" t="s">
        <v>1305</v>
      </c>
      <c r="E11" s="1670"/>
      <c r="F11" s="1669" t="s">
        <v>1306</v>
      </c>
      <c r="G11" s="1671"/>
      <c r="H11" s="1670"/>
      <c r="I11" s="1669" t="s">
        <v>1307</v>
      </c>
      <c r="J11" s="1670"/>
      <c r="K11" s="1666"/>
      <c r="L11" s="1667" t="s">
        <v>1303</v>
      </c>
      <c r="M11" s="1668" t="s">
        <v>1304</v>
      </c>
      <c r="N11" s="1667" t="s">
        <v>1308</v>
      </c>
      <c r="O11" s="1669" t="s">
        <v>1309</v>
      </c>
      <c r="P11" s="1671"/>
      <c r="Q11" s="1671"/>
      <c r="R11" s="1671"/>
      <c r="S11" s="1671"/>
      <c r="T11" s="1670"/>
      <c r="U11" s="1669" t="s">
        <v>1310</v>
      </c>
      <c r="V11" s="1671"/>
      <c r="W11" s="1670"/>
      <c r="X11" s="1667" t="s">
        <v>1311</v>
      </c>
      <c r="Y11" s="1667" t="s">
        <v>1312</v>
      </c>
      <c r="Z11" s="1667" t="s">
        <v>1313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1314</v>
      </c>
      <c r="E12" s="1676" t="s">
        <v>1315</v>
      </c>
      <c r="F12" s="1676" t="s">
        <v>1316</v>
      </c>
      <c r="G12" s="1676" t="s">
        <v>1317</v>
      </c>
      <c r="H12" s="1676" t="s">
        <v>1299</v>
      </c>
      <c r="I12" s="1677" t="s">
        <v>1318</v>
      </c>
      <c r="J12" s="1677" t="s">
        <v>1318</v>
      </c>
      <c r="K12" s="1673"/>
      <c r="L12" s="1674"/>
      <c r="M12" s="1675"/>
      <c r="N12" s="1674"/>
      <c r="O12" s="1677" t="s">
        <v>1319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1320</v>
      </c>
      <c r="C13" s="1681">
        <v>42301</v>
      </c>
      <c r="D13" s="1682">
        <v>4.3499999999999996</v>
      </c>
      <c r="E13" s="1682">
        <v>4.3499999999999996</v>
      </c>
      <c r="F13" s="1682">
        <v>4.75</v>
      </c>
      <c r="G13" s="1682">
        <v>4.75</v>
      </c>
      <c r="H13" s="1682">
        <v>4.9000000000000004</v>
      </c>
      <c r="I13" s="1682">
        <v>2.75</v>
      </c>
      <c r="J13" s="1682">
        <v>3.25</v>
      </c>
      <c r="K13" s="1679"/>
      <c r="L13" s="1680" t="s">
        <v>1320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1321</v>
      </c>
      <c r="Y42" s="1686" t="s">
        <v>1321</v>
      </c>
      <c r="Z42" s="1686" t="s">
        <v>1321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1321</v>
      </c>
      <c r="Y43" s="1686" t="s">
        <v>1321</v>
      </c>
      <c r="Z43" s="1686" t="s">
        <v>1321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1321</v>
      </c>
      <c r="Y44" s="1686" t="s">
        <v>1321</v>
      </c>
      <c r="Z44" s="1686" t="s">
        <v>1321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1321</v>
      </c>
      <c r="Y45" s="1686" t="s">
        <v>1321</v>
      </c>
      <c r="Z45" s="1686" t="s">
        <v>1321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1321</v>
      </c>
      <c r="Y46" s="1686" t="s">
        <v>1321</v>
      </c>
      <c r="Z46" s="1686" t="s">
        <v>1321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1321</v>
      </c>
      <c r="Y47" s="1686" t="s">
        <v>1321</v>
      </c>
      <c r="Z47" s="1686" t="s">
        <v>1321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1321</v>
      </c>
      <c r="Y48" s="1686" t="s">
        <v>1321</v>
      </c>
      <c r="Z48" s="1686" t="s">
        <v>1321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1321</v>
      </c>
      <c r="Y49" s="1686" t="s">
        <v>1321</v>
      </c>
      <c r="Z49" s="1686" t="s">
        <v>1321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1321</v>
      </c>
      <c r="Y50" s="1686" t="s">
        <v>1321</v>
      </c>
      <c r="Z50" s="1686" t="s">
        <v>1321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1321</v>
      </c>
      <c r="V51" s="1686" t="s">
        <v>1321</v>
      </c>
      <c r="W51" s="1686" t="s">
        <v>1321</v>
      </c>
      <c r="X51" s="1686" t="s">
        <v>1321</v>
      </c>
      <c r="Y51" s="1686" t="s">
        <v>1321</v>
      </c>
      <c r="Z51" s="1686" t="s">
        <v>1321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1321</v>
      </c>
      <c r="J55" s="1686" t="s">
        <v>1321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1362</v>
      </c>
      <c r="E1" s="1775" t="s">
        <v>1366</v>
      </c>
      <c r="F1" s="1776" t="s">
        <v>1370</v>
      </c>
    </row>
    <row r="2" spans="1:13" ht="19.8">
      <c r="A2" s="1782" t="s">
        <v>1363</v>
      </c>
    </row>
    <row r="3" spans="1:13" ht="15.6">
      <c r="A3" s="1783" t="s">
        <v>1364</v>
      </c>
    </row>
    <row r="4" spans="1:13">
      <c r="A4" s="1773" t="s">
        <v>1365</v>
      </c>
      <c r="B4" s="1778" t="s">
        <v>1367</v>
      </c>
      <c r="C4" s="1779"/>
      <c r="D4" s="1780"/>
      <c r="E4" s="1778" t="s">
        <v>27</v>
      </c>
      <c r="F4" s="1779"/>
      <c r="G4" s="1780"/>
      <c r="H4" s="1778" t="s">
        <v>1368</v>
      </c>
      <c r="I4" s="1779"/>
      <c r="J4" s="1780"/>
      <c r="K4" s="1778" t="s">
        <v>6</v>
      </c>
      <c r="L4" s="1779"/>
      <c r="M4" s="1780"/>
    </row>
    <row r="5" spans="1:13">
      <c r="A5" s="1774" t="s">
        <v>1369</v>
      </c>
      <c r="B5" s="1773" t="s">
        <v>1371</v>
      </c>
      <c r="C5" s="1773" t="s">
        <v>1372</v>
      </c>
      <c r="D5" s="1773" t="s">
        <v>1373</v>
      </c>
      <c r="E5" s="1773" t="s">
        <v>1371</v>
      </c>
      <c r="F5" s="1773" t="s">
        <v>1372</v>
      </c>
      <c r="G5" s="1773" t="s">
        <v>1373</v>
      </c>
      <c r="H5" s="1773" t="s">
        <v>1371</v>
      </c>
      <c r="I5" s="1773" t="s">
        <v>1372</v>
      </c>
      <c r="J5" s="1773" t="s">
        <v>1373</v>
      </c>
      <c r="K5" s="1773" t="s">
        <v>1371</v>
      </c>
      <c r="L5" s="1773" t="s">
        <v>1372</v>
      </c>
      <c r="M5" s="1773" t="s">
        <v>1373</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73" t="str">
        <f>IF(项目基本情况!B9="房地产市场价值","估价结果一览表","结果表-2")</f>
        <v>估价结果一览表</v>
      </c>
      <c r="B1" s="2973"/>
      <c r="C1" s="2973"/>
      <c r="D1" s="2973"/>
      <c r="E1" s="2973"/>
      <c r="F1" s="2973"/>
      <c r="G1" s="2973"/>
      <c r="H1" s="2973"/>
      <c r="I1" s="2973"/>
    </row>
    <row r="2" spans="1:9" ht="30" customHeight="1" thickTop="1">
      <c r="A2" s="2974" t="s">
        <v>1630</v>
      </c>
      <c r="B2" s="2974" t="s">
        <v>1631</v>
      </c>
      <c r="C2" s="2974" t="s">
        <v>1632</v>
      </c>
      <c r="D2" s="2974" t="str">
        <f>结果表!D116</f>
        <v>出让国有建设用地使用权价值</v>
      </c>
      <c r="E2" s="2974"/>
      <c r="F2" s="2974" t="str">
        <f>结果表!F116</f>
        <v>在建建筑物价值</v>
      </c>
      <c r="G2" s="2974"/>
      <c r="H2" s="2974" t="str">
        <f>IF(项目基本情况!B9="房地产市场价值","房地产市场价值","房地产价值")</f>
        <v>房地产市场价值</v>
      </c>
      <c r="I2" s="2974"/>
    </row>
    <row r="3" spans="1:9" ht="15.6">
      <c r="A3" s="2975"/>
      <c r="B3" s="2975"/>
      <c r="C3" s="2975"/>
      <c r="D3" s="1044" t="s">
        <v>1627</v>
      </c>
      <c r="E3" s="1044" t="s">
        <v>1633</v>
      </c>
      <c r="F3" s="1044" t="s">
        <v>1627</v>
      </c>
      <c r="G3" s="1044" t="s">
        <v>1628</v>
      </c>
      <c r="H3" s="1044" t="s">
        <v>1627</v>
      </c>
      <c r="I3" s="1044" t="s">
        <v>1628</v>
      </c>
    </row>
    <row r="4" spans="1:9" ht="45">
      <c r="A4" s="1971" t="str">
        <f>项目基本情况!S2</f>
        <v>北京市海南省三亚市亚龙湾滨海路红树林度假酒店房地产</v>
      </c>
      <c r="B4" s="1044">
        <f>项目基本情况!C17</f>
        <v>57477.440000000002</v>
      </c>
      <c r="C4" s="1044">
        <f>项目基本情况!C18</f>
        <v>99999.9</v>
      </c>
      <c r="D4" s="1044">
        <f ca="1">结果表!D118</f>
        <v>87120</v>
      </c>
      <c r="E4" s="1044">
        <f ca="1">结果表!E118</f>
        <v>15157</v>
      </c>
      <c r="F4" s="1044">
        <f ca="1">结果表!F118</f>
        <v>60042</v>
      </c>
      <c r="G4" s="1044">
        <f ca="1">结果表!G118</f>
        <v>10446</v>
      </c>
      <c r="H4" s="1044">
        <f ca="1">结果表!H118</f>
        <v>147162</v>
      </c>
      <c r="I4" s="1044">
        <f ca="1">结果表!I118</f>
        <v>25603</v>
      </c>
    </row>
    <row r="5" spans="1:9" ht="30" customHeight="1">
      <c r="A5" s="2975" t="s">
        <v>1629</v>
      </c>
      <c r="B5" s="2975"/>
      <c r="C5" s="2975"/>
      <c r="D5" s="2976" t="str">
        <f ca="1">结果表!D119</f>
        <v>捌亿柒仟壹佰贰拾万元整</v>
      </c>
      <c r="E5" s="2976"/>
      <c r="F5" s="2976" t="str">
        <f ca="1">结果表!F119</f>
        <v>陆亿零肆拾贰万元整</v>
      </c>
      <c r="G5" s="2976"/>
      <c r="H5" s="2976" t="str">
        <f ca="1">结果表!H119</f>
        <v>壹拾肆亿柒仟壹佰陆拾贰万元整</v>
      </c>
      <c r="I5" s="2976"/>
    </row>
    <row r="6" spans="1:9" ht="15.6">
      <c r="A6" s="2977" t="str">
        <f>结果表!A120</f>
        <v/>
      </c>
      <c r="B6" s="2977"/>
      <c r="C6" s="2977"/>
      <c r="D6" s="2977">
        <f>结果表!D120</f>
        <v>0</v>
      </c>
      <c r="E6" s="2977"/>
      <c r="F6" s="2977"/>
      <c r="G6" s="2977"/>
      <c r="H6" s="2977"/>
      <c r="I6" s="2977"/>
    </row>
    <row r="7" spans="1:9" ht="15">
      <c r="A7" s="2975" t="s">
        <v>1629</v>
      </c>
      <c r="B7" s="2975"/>
      <c r="C7" s="2975"/>
      <c r="D7" s="2978" t="str">
        <f>结果表!D121</f>
        <v>零元整</v>
      </c>
      <c r="E7" s="2979"/>
      <c r="F7" s="2979"/>
      <c r="G7" s="2979"/>
      <c r="H7" s="2979"/>
      <c r="I7" s="2980"/>
    </row>
    <row r="8" spans="1:9" ht="15.6">
      <c r="A8" s="2977" t="str">
        <f>结果表!A122</f>
        <v/>
      </c>
      <c r="B8" s="2977"/>
      <c r="C8" s="2977"/>
      <c r="D8" s="2977">
        <f ca="1">结果表!D122</f>
        <v>147162</v>
      </c>
      <c r="E8" s="2977"/>
      <c r="F8" s="2977"/>
      <c r="G8" s="2977"/>
      <c r="H8" s="2977"/>
      <c r="I8" s="2977"/>
    </row>
    <row r="9" spans="1:9" ht="15">
      <c r="A9" s="2975" t="s">
        <v>1629</v>
      </c>
      <c r="B9" s="2975"/>
      <c r="C9" s="2975"/>
      <c r="D9" s="2976" t="str">
        <f ca="1">结果表!D123</f>
        <v>壹拾肆亿柒仟壹佰陆拾贰万元整</v>
      </c>
      <c r="E9" s="2976"/>
      <c r="F9" s="2976"/>
      <c r="G9" s="2976"/>
      <c r="H9" s="2976"/>
      <c r="I9" s="2976"/>
    </row>
    <row r="10" spans="1:9" ht="15.6">
      <c r="A10" s="2977" t="str">
        <f>结果表!A124</f>
        <v/>
      </c>
      <c r="B10" s="2977"/>
      <c r="C10" s="2977"/>
      <c r="D10" s="2977" t="str">
        <f>结果表!D124</f>
        <v>——</v>
      </c>
      <c r="E10" s="2977"/>
      <c r="F10" s="2977"/>
      <c r="G10" s="2977"/>
      <c r="H10" s="2977"/>
      <c r="I10" s="2977"/>
    </row>
    <row r="11" spans="1:9" ht="15">
      <c r="A11" s="2975" t="s">
        <v>1629</v>
      </c>
      <c r="B11" s="2975"/>
      <c r="C11" s="2975"/>
      <c r="D11" s="2976" t="e">
        <f>结果表!D125</f>
        <v>#VALUE!</v>
      </c>
      <c r="E11" s="2976"/>
      <c r="F11" s="2976"/>
      <c r="G11" s="2976"/>
      <c r="H11" s="2976"/>
      <c r="I11" s="2976"/>
    </row>
    <row r="12" spans="1:9" ht="15.6">
      <c r="A12" s="2977" t="str">
        <f>结果表!A126</f>
        <v/>
      </c>
      <c r="B12" s="2977"/>
      <c r="C12" s="2977"/>
      <c r="D12" s="2977" t="str">
        <f>结果表!D126</f>
        <v>——</v>
      </c>
      <c r="E12" s="2977"/>
      <c r="F12" s="2977"/>
      <c r="G12" s="2977"/>
      <c r="H12" s="2977"/>
      <c r="I12" s="2977"/>
    </row>
    <row r="13" spans="1:9" ht="15.6" thickBot="1">
      <c r="A13" s="2981" t="s">
        <v>1629</v>
      </c>
      <c r="B13" s="2981"/>
      <c r="C13" s="2981"/>
      <c r="D13" s="2982" t="e">
        <f>结果表!D127</f>
        <v>#VALUE!</v>
      </c>
      <c r="E13" s="2982"/>
      <c r="F13" s="2982"/>
      <c r="G13" s="2982"/>
      <c r="H13" s="2982"/>
      <c r="I13" s="2982"/>
    </row>
    <row r="14" spans="1:9" ht="14.4" thickTop="1">
      <c r="A14" s="2983" t="s">
        <v>1634</v>
      </c>
      <c r="B14" s="2983"/>
      <c r="C14" s="2983"/>
      <c r="D14" s="2983"/>
      <c r="E14" s="2983"/>
      <c r="F14" s="2983"/>
      <c r="G14" s="2983"/>
      <c r="H14" s="2983"/>
      <c r="I14" s="2983"/>
    </row>
    <row r="16" spans="1:9" ht="17.399999999999999">
      <c r="A16" s="1972" t="s">
        <v>1617</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84" t="s">
        <v>1651</v>
      </c>
      <c r="B1" s="2984"/>
      <c r="C1" s="2984"/>
      <c r="D1" s="2984"/>
    </row>
    <row r="2" spans="1:4" ht="17.399999999999999">
      <c r="A2" s="2985" t="s">
        <v>1635</v>
      </c>
      <c r="B2" s="2985"/>
      <c r="C2" s="2985"/>
      <c r="D2" s="2985"/>
    </row>
    <row r="3" spans="1:4" ht="17.399999999999999">
      <c r="A3" s="1975" t="s">
        <v>1636</v>
      </c>
      <c r="B3" s="1975" t="s">
        <v>1637</v>
      </c>
      <c r="C3" s="1975" t="s">
        <v>1638</v>
      </c>
      <c r="D3" s="1975" t="s">
        <v>1639</v>
      </c>
    </row>
    <row r="4" spans="1:4" ht="56.25" customHeight="1">
      <c r="A4" s="1976" t="str">
        <f>项目基本情况!B4</f>
        <v>吴薇</v>
      </c>
      <c r="B4" s="1977">
        <f ca="1">项目基本情况!C4</f>
        <v>1419970001</v>
      </c>
      <c r="C4" s="1978"/>
      <c r="D4" s="1979" t="s">
        <v>1640</v>
      </c>
    </row>
    <row r="5" spans="1:4" ht="56.25" customHeight="1">
      <c r="A5" s="1976" t="str">
        <f>项目基本情况!D4</f>
        <v>郑燚</v>
      </c>
      <c r="B5" s="1977">
        <f ca="1">项目基本情况!E4</f>
        <v>1120070131</v>
      </c>
      <c r="C5" s="1980"/>
      <c r="D5" s="1979" t="s">
        <v>1640</v>
      </c>
    </row>
    <row r="6" spans="1:4" ht="17.399999999999999">
      <c r="A6" s="2985" t="s">
        <v>1641</v>
      </c>
      <c r="B6" s="2985"/>
      <c r="C6" s="2985"/>
      <c r="D6" s="2985"/>
    </row>
    <row r="7" spans="1:4" ht="17.399999999999999">
      <c r="A7" s="1975" t="s">
        <v>1636</v>
      </c>
      <c r="B7" s="1977" t="s">
        <v>1642</v>
      </c>
      <c r="C7" s="1975" t="s">
        <v>1638</v>
      </c>
      <c r="D7" s="1975" t="s">
        <v>1639</v>
      </c>
    </row>
    <row r="8" spans="1:4" ht="56.25" customHeight="1">
      <c r="A8" s="1981" t="s">
        <v>866</v>
      </c>
      <c r="B8" s="1981" t="s">
        <v>1</v>
      </c>
      <c r="C8" s="1978"/>
      <c r="D8" s="1979" t="s">
        <v>1640</v>
      </c>
    </row>
    <row r="9" spans="1:4">
      <c r="A9" s="728"/>
      <c r="B9" s="728"/>
      <c r="C9" s="728"/>
      <c r="D9" s="728"/>
    </row>
    <row r="10" spans="1:4" ht="17.399999999999999">
      <c r="A10" s="1982" t="s">
        <v>1643</v>
      </c>
      <c r="B10" s="728"/>
      <c r="C10" s="728"/>
      <c r="D10" s="728"/>
    </row>
    <row r="11" spans="1:4" ht="30" customHeight="1">
      <c r="A11" s="2986" t="s">
        <v>1644</v>
      </c>
      <c r="B11" s="2987"/>
      <c r="C11" s="2987"/>
      <c r="D11" s="2987"/>
    </row>
    <row r="12" spans="1:4" ht="15.6">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8"/>
      <c r="C12" s="2988"/>
      <c r="D12" s="2988"/>
    </row>
    <row r="13" spans="1:4" ht="30" customHeight="1">
      <c r="A13" s="2987" t="str">
        <f>IF(项目基本情况!B8="抵押","3.抵押双方在办理抵押登记手续时，应使用本公司出具的正式《房地产评估报告》，特提醒报告使用者注意。","——")</f>
        <v>——</v>
      </c>
      <c r="B13" s="2988"/>
      <c r="C13" s="2988"/>
      <c r="D13" s="2988"/>
    </row>
    <row r="14" spans="1:4" ht="15.75" customHeight="1">
      <c r="A14" s="2987" t="str">
        <f>IF(项目基本情况!B8="抵押","4.本次评估估价师所知悉的法定优先受偿款情况说明如下：","——")</f>
        <v>——</v>
      </c>
      <c r="B14" s="2988"/>
      <c r="C14" s="2988"/>
      <c r="D14" s="2988"/>
    </row>
    <row r="15" spans="1:4" ht="42" customHeight="1">
      <c r="A15" s="2987" t="str">
        <f>IF(项目基本情况!B8="抵押","（1）"&amp;CONCATENATE(项目基本情况!L20,项目基本情况!L21,项目基本情况!L22),"——")</f>
        <v>——</v>
      </c>
      <c r="B15" s="2987"/>
      <c r="C15" s="2987"/>
      <c r="D15" s="2987"/>
    </row>
    <row r="16" spans="1:4" ht="30" customHeight="1">
      <c r="A16" s="2990" t="s">
        <v>1645</v>
      </c>
      <c r="B16" s="2990"/>
      <c r="C16" s="2990"/>
      <c r="D16" s="2990"/>
    </row>
    <row r="17" spans="1:4" ht="144" customHeight="1">
      <c r="A17" s="2990" t="s">
        <v>1646</v>
      </c>
      <c r="B17" s="2990"/>
      <c r="C17" s="2990"/>
      <c r="D17" s="2990"/>
    </row>
    <row r="18" spans="1:4" ht="15.75" customHeight="1">
      <c r="A18" s="2987" t="str">
        <f>IF(项目基本情况!B8="抵押",结果表!K120,"——")</f>
        <v>——</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1647</v>
      </c>
      <c r="B22" s="2992"/>
      <c r="C22" s="2992"/>
      <c r="D22" s="2992"/>
    </row>
    <row r="23" spans="1:4">
      <c r="A23" s="1983"/>
      <c r="B23" s="1955"/>
      <c r="C23" s="1955"/>
      <c r="D23" s="1955"/>
    </row>
    <row r="24" spans="1:4">
      <c r="A24" s="1983"/>
      <c r="B24" s="1955"/>
      <c r="C24" s="1955"/>
      <c r="D24" s="1955"/>
    </row>
    <row r="25" spans="1:4" ht="17.399999999999999">
      <c r="A25" s="1984" t="s">
        <v>1648</v>
      </c>
    </row>
    <row r="26" spans="1:4" ht="17.399999999999999">
      <c r="A26" s="1953"/>
    </row>
    <row r="27" spans="1:4" ht="17.399999999999999">
      <c r="A27" s="1953" t="s">
        <v>1649</v>
      </c>
    </row>
    <row r="30" spans="1:4" ht="17.399999999999999">
      <c r="D30" s="1984" t="s">
        <v>1650</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1652</v>
      </c>
    </row>
    <row r="3" spans="1:7">
      <c r="A3" s="1989" t="s">
        <v>82</v>
      </c>
      <c r="B3" s="1973" t="s">
        <v>1653</v>
      </c>
      <c r="G3" s="1990"/>
    </row>
    <row r="4" spans="1:7">
      <c r="G4" s="1990"/>
    </row>
    <row r="5" spans="1:7">
      <c r="A5" s="1992" t="s">
        <v>73</v>
      </c>
      <c r="B5" s="1973" t="s">
        <v>1654</v>
      </c>
      <c r="G5" s="1990"/>
    </row>
    <row r="6" spans="1:7">
      <c r="G6" s="1990"/>
    </row>
    <row r="7" spans="1:7">
      <c r="A7" s="1993" t="s">
        <v>135</v>
      </c>
      <c r="B7" s="1973" t="s">
        <v>1655</v>
      </c>
      <c r="G7" s="1990"/>
    </row>
    <row r="8" spans="1:7">
      <c r="G8" s="1990"/>
    </row>
    <row r="9" spans="1:7">
      <c r="A9" s="1994" t="s">
        <v>74</v>
      </c>
      <c r="B9" s="1973" t="s">
        <v>1656</v>
      </c>
    </row>
    <row r="11" spans="1:7">
      <c r="A11" s="1995" t="s">
        <v>75</v>
      </c>
      <c r="B11" s="1996" t="s">
        <v>72</v>
      </c>
    </row>
    <row r="13" spans="1:7">
      <c r="A13" s="1997" t="s">
        <v>1657</v>
      </c>
    </row>
    <row r="15" spans="1:7" ht="14.4">
      <c r="A15" s="2998" t="s">
        <v>1658</v>
      </c>
      <c r="B15" s="2993" t="s">
        <v>136</v>
      </c>
      <c r="C15" s="2994"/>
    </row>
    <row r="16" spans="1:7" ht="14.4">
      <c r="A16" s="2999"/>
      <c r="B16" s="2993" t="s">
        <v>69</v>
      </c>
      <c r="C16" s="2994"/>
    </row>
    <row r="17" spans="1:3" ht="14.4">
      <c r="A17" s="2999"/>
      <c r="B17" s="2996" t="s">
        <v>1659</v>
      </c>
      <c r="C17" s="1998" t="s">
        <v>1658</v>
      </c>
    </row>
    <row r="18" spans="1:3" ht="14.4">
      <c r="A18" s="2999"/>
      <c r="B18" s="2996"/>
      <c r="C18" s="1998" t="s">
        <v>1660</v>
      </c>
    </row>
    <row r="19" spans="1:3" ht="14.4">
      <c r="A19" s="2999"/>
      <c r="B19" s="2996"/>
      <c r="C19" s="1998" t="s">
        <v>1661</v>
      </c>
    </row>
    <row r="20" spans="1:3" ht="14.4">
      <c r="A20" s="3000"/>
      <c r="B20" s="2995" t="s">
        <v>1662</v>
      </c>
      <c r="C20" s="2994"/>
    </row>
    <row r="21" spans="1:3" ht="14.4">
      <c r="A21" s="1999" t="s">
        <v>1663</v>
      </c>
      <c r="B21" s="2000"/>
      <c r="C21" s="2001"/>
    </row>
    <row r="22" spans="1:3" ht="14.4">
      <c r="A22" s="2997" t="s">
        <v>1664</v>
      </c>
      <c r="B22" s="2995" t="s">
        <v>1665</v>
      </c>
      <c r="C22" s="2994"/>
    </row>
    <row r="23" spans="1:3" ht="14.4">
      <c r="A23" s="2997"/>
      <c r="B23" s="2995" t="s">
        <v>1666</v>
      </c>
      <c r="C23" s="2994"/>
    </row>
    <row r="24" spans="1:3" ht="14.4">
      <c r="A24" s="2997"/>
      <c r="B24" s="2995" t="s">
        <v>1667</v>
      </c>
      <c r="C24" s="2994"/>
    </row>
    <row r="25" spans="1:3" ht="14.4">
      <c r="A25" s="2997"/>
      <c r="B25" s="2996" t="s">
        <v>1668</v>
      </c>
      <c r="C25" s="1998" t="s">
        <v>1669</v>
      </c>
    </row>
    <row r="26" spans="1:3" ht="14.4">
      <c r="A26" s="2997"/>
      <c r="B26" s="2996"/>
      <c r="C26" s="1998" t="s">
        <v>1670</v>
      </c>
    </row>
    <row r="27" spans="1:3" ht="14.4">
      <c r="A27" s="2997"/>
      <c r="B27" s="2996"/>
      <c r="C27" s="1998" t="s">
        <v>1671</v>
      </c>
    </row>
    <row r="28" spans="1:3" ht="14.4">
      <c r="A28" s="2997"/>
      <c r="B28" s="2996"/>
      <c r="C28" s="1998" t="s">
        <v>1672</v>
      </c>
    </row>
    <row r="29" spans="1:3" ht="14.4">
      <c r="A29" s="2997"/>
      <c r="B29" s="2996"/>
      <c r="C29" s="1998" t="s">
        <v>1673</v>
      </c>
    </row>
    <row r="30" spans="1:3" ht="14.4">
      <c r="A30" s="2997"/>
      <c r="B30" s="2996"/>
      <c r="C30" s="1998" t="s">
        <v>1674</v>
      </c>
    </row>
    <row r="31" spans="1:3" ht="14.4">
      <c r="A31" s="2997"/>
      <c r="B31" s="2996"/>
      <c r="C31" s="1998" t="s">
        <v>1675</v>
      </c>
    </row>
    <row r="32" spans="1:3" ht="14.4">
      <c r="A32" s="2997"/>
      <c r="B32" s="2996"/>
      <c r="C32" s="1998" t="s">
        <v>1676</v>
      </c>
    </row>
    <row r="33" spans="1:3" ht="14.4">
      <c r="A33" s="2997"/>
      <c r="B33" s="2996"/>
      <c r="C33" s="1998" t="s">
        <v>1677</v>
      </c>
    </row>
    <row r="34" spans="1:3">
      <c r="A34" s="2002" t="s">
        <v>76</v>
      </c>
    </row>
    <row r="37" spans="1:3">
      <c r="A37" s="2002" t="s">
        <v>1678</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43803</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344">
        <v>43849</v>
      </c>
      <c r="D4" s="2347" t="s">
        <v>832</v>
      </c>
      <c r="E4" s="1022">
        <f ca="1">IF(F4&lt;B2,"已过期",96010014)</f>
        <v>96010014</v>
      </c>
      <c r="F4" s="1030">
        <v>47118</v>
      </c>
    </row>
    <row r="5" spans="1:6" ht="24" customHeight="1">
      <c r="A5" s="1701" t="s">
        <v>833</v>
      </c>
      <c r="B5" s="1022">
        <f ca="1">IF(C5&lt;B2,"已过期",1119970074)</f>
        <v>1119970074</v>
      </c>
      <c r="C5" s="2344">
        <v>43849</v>
      </c>
      <c r="D5" s="2347" t="s">
        <v>833</v>
      </c>
      <c r="E5" s="1022">
        <f ca="1">IF(F5&lt;B2,"已过期",2002110027)</f>
        <v>2002110027</v>
      </c>
      <c r="F5" s="1030">
        <v>46752</v>
      </c>
    </row>
    <row r="6" spans="1:6" ht="24" customHeight="1">
      <c r="A6" s="1701" t="s">
        <v>834</v>
      </c>
      <c r="B6" s="1022">
        <f ca="1">IF(C6&lt;B2,"已过期",1119970111)</f>
        <v>1119970111</v>
      </c>
      <c r="C6" s="2344">
        <v>43849</v>
      </c>
      <c r="D6" s="2347" t="s">
        <v>834</v>
      </c>
      <c r="E6" s="1022">
        <f ca="1">IF(F6&lt;B2,"已过期",94010078)</f>
        <v>94010078</v>
      </c>
      <c r="F6" s="1030">
        <v>46387</v>
      </c>
    </row>
    <row r="7" spans="1:6" ht="24" customHeight="1">
      <c r="A7" s="1701" t="s">
        <v>835</v>
      </c>
      <c r="B7" s="1022">
        <f ca="1">IF(C7&lt;B2,"已过期",1120050019)</f>
        <v>1120050019</v>
      </c>
      <c r="C7" s="2344">
        <v>44395</v>
      </c>
      <c r="D7" s="2347" t="s">
        <v>835</v>
      </c>
      <c r="E7" s="1022">
        <f ca="1">IF(F7&lt;B2,"已过期",2002110030)</f>
        <v>2002110030</v>
      </c>
      <c r="F7" s="1030">
        <v>46387</v>
      </c>
    </row>
    <row r="8" spans="1:6" ht="24" customHeight="1">
      <c r="A8" s="1701" t="s">
        <v>836</v>
      </c>
      <c r="B8" s="1022">
        <f ca="1">IF(C8&lt;B2,"已过期",1120000080)</f>
        <v>1120000080</v>
      </c>
      <c r="C8" s="2344">
        <v>43849</v>
      </c>
      <c r="D8" s="2347" t="s">
        <v>836</v>
      </c>
      <c r="E8" s="1022">
        <f ca="1">IF(F8&lt;B2,"已过期",2000110082)</f>
        <v>2000110082</v>
      </c>
      <c r="F8" s="1030">
        <v>46387</v>
      </c>
    </row>
    <row r="9" spans="1:6" ht="24" customHeight="1">
      <c r="A9" s="1701" t="s">
        <v>837</v>
      </c>
      <c r="B9" s="1022">
        <f ca="1">IF(C9&lt;B2,"已过期",1419970001)</f>
        <v>1419970001</v>
      </c>
      <c r="C9" s="2344">
        <v>43867</v>
      </c>
      <c r="D9" s="2347" t="s">
        <v>837</v>
      </c>
      <c r="E9" s="1022">
        <f ca="1">IF(F9&lt;B2,"已过期",2002110125)</f>
        <v>2002110125</v>
      </c>
      <c r="F9" s="1030">
        <v>47118</v>
      </c>
    </row>
    <row r="10" spans="1:6" ht="24" customHeight="1">
      <c r="A10" s="1701" t="s">
        <v>838</v>
      </c>
      <c r="B10" s="1022">
        <f ca="1">IF(C10&lt;B2,"已过期",1120060040)</f>
        <v>1120060040</v>
      </c>
      <c r="C10" s="2344">
        <v>44554</v>
      </c>
      <c r="D10" s="2347" t="s">
        <v>838</v>
      </c>
      <c r="E10" s="1022">
        <f ca="1">IF(F10&lt;B2,"已过期",2004110096)</f>
        <v>2004110096</v>
      </c>
      <c r="F10" s="1030">
        <v>47118</v>
      </c>
    </row>
    <row r="11" spans="1:6" ht="24" customHeight="1">
      <c r="A11" s="1701" t="s">
        <v>839</v>
      </c>
      <c r="B11" s="1022">
        <f ca="1">IF(C11&lt;B2,"已过期",1120100036)</f>
        <v>1120100036</v>
      </c>
      <c r="C11" s="2344">
        <v>44675</v>
      </c>
      <c r="D11" s="2347"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4">
        <v>43814</v>
      </c>
      <c r="D13" s="2347" t="s">
        <v>840</v>
      </c>
      <c r="E13" s="1022">
        <f ca="1">IF(F13&lt;B2,"已过期",2014110011)</f>
        <v>2014110011</v>
      </c>
      <c r="F13" s="1030">
        <v>49302</v>
      </c>
    </row>
    <row r="14" spans="1:6" ht="24" customHeight="1">
      <c r="A14" s="1701" t="s">
        <v>3030</v>
      </c>
      <c r="B14" s="1022">
        <f ca="1">IF(C14&lt;B2,"已过期",1120040230)</f>
        <v>1120040230</v>
      </c>
      <c r="C14" s="2344">
        <v>43835</v>
      </c>
      <c r="D14" s="2347" t="s">
        <v>3030</v>
      </c>
      <c r="E14" s="1022">
        <f ca="1">IF(F14&lt;B2,"已过期",98030020)</f>
        <v>98030020</v>
      </c>
      <c r="F14" s="1030">
        <v>47118</v>
      </c>
    </row>
    <row r="15" spans="1:6" ht="24" customHeight="1">
      <c r="A15" s="1702" t="s">
        <v>3031</v>
      </c>
      <c r="B15" s="1022">
        <f ca="1">IF(C15&lt;B2,"已过期",1120070085)</f>
        <v>1120070085</v>
      </c>
      <c r="C15" s="2344">
        <v>43814</v>
      </c>
      <c r="D15" s="2348" t="s">
        <v>3031</v>
      </c>
      <c r="E15" s="1022">
        <f ca="1">IF(F15&lt;B2,"已过期",2004110128)</f>
        <v>2004110128</v>
      </c>
      <c r="F15" s="1023">
        <v>47118</v>
      </c>
    </row>
    <row r="16" spans="1:6" ht="24" customHeight="1">
      <c r="A16" s="1701" t="s">
        <v>3032</v>
      </c>
      <c r="B16" s="1022">
        <f ca="1">IF(C16&lt;B2,"已过期",1120140022)</f>
        <v>1120140022</v>
      </c>
      <c r="C16" s="2926">
        <v>44029</v>
      </c>
      <c r="D16" s="2347" t="s">
        <v>3032</v>
      </c>
      <c r="E16" s="1022">
        <f ca="1">IF(F16&lt;B2,"已过期",2008110059)</f>
        <v>2008110059</v>
      </c>
      <c r="F16" s="1030">
        <v>47177</v>
      </c>
    </row>
    <row r="17" spans="1:7" ht="24" customHeight="1">
      <c r="A17" s="1701"/>
      <c r="B17" s="1022"/>
      <c r="C17" s="2344"/>
      <c r="D17" s="2347" t="s">
        <v>3033</v>
      </c>
      <c r="E17" s="1022">
        <f ca="1">IF(F17&lt;B2,"已过期",2014110076)</f>
        <v>2014110076</v>
      </c>
      <c r="F17" s="1030">
        <v>49302</v>
      </c>
    </row>
    <row r="18" spans="1:7" ht="24" customHeight="1">
      <c r="A18" s="1701" t="s">
        <v>3041</v>
      </c>
      <c r="B18" s="1022">
        <v>1120190079</v>
      </c>
      <c r="C18" s="2926">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841</v>
      </c>
      <c r="E21" s="1022">
        <f ca="1">IF(F21&lt;B2,"已过期",2011110090)</f>
        <v>2011110090</v>
      </c>
      <c r="F21" s="1030">
        <v>48302</v>
      </c>
    </row>
    <row r="22" spans="1:7" ht="24" customHeight="1">
      <c r="A22" s="1701" t="s">
        <v>842</v>
      </c>
      <c r="B22" s="1022">
        <f ca="1">IF(C22&lt;B2,"已过期",1120020033)</f>
        <v>1120020033</v>
      </c>
      <c r="C22" s="2926">
        <v>44339</v>
      </c>
      <c r="D22" s="2347" t="s">
        <v>842</v>
      </c>
      <c r="E22" s="1022">
        <f ca="1">IF(F22&lt;B2,"已过期",2000110137)</f>
        <v>2000110137</v>
      </c>
      <c r="F22" s="1030">
        <v>46387</v>
      </c>
    </row>
    <row r="23" spans="1:7" ht="24" customHeight="1">
      <c r="A23" s="1701"/>
      <c r="B23" s="1022"/>
      <c r="C23" s="2344"/>
      <c r="D23" s="2347"/>
      <c r="E23" s="1022"/>
      <c r="F23" s="1022"/>
    </row>
    <row r="24" spans="1:7" s="1024" customFormat="1" ht="24" customHeight="1">
      <c r="A24" s="1702" t="s">
        <v>1323</v>
      </c>
      <c r="B24" s="1702" t="s">
        <v>1323</v>
      </c>
      <c r="C24" s="2345" t="s">
        <v>1323</v>
      </c>
      <c r="D24" s="2348" t="s">
        <v>1323</v>
      </c>
      <c r="E24" s="1702" t="s">
        <v>1323</v>
      </c>
      <c r="F24" s="1702" t="s">
        <v>1323</v>
      </c>
    </row>
    <row r="25" spans="1:7" ht="24" customHeight="1">
      <c r="A25" s="3001" t="s">
        <v>843</v>
      </c>
      <c r="B25" s="3001"/>
      <c r="C25" s="3001"/>
      <c r="D25" s="3001"/>
      <c r="E25" s="3001"/>
      <c r="F25" s="3001"/>
      <c r="G25" s="3001"/>
    </row>
    <row r="26" spans="1:7" s="1025" customFormat="1" ht="24" customHeight="1">
      <c r="A26" s="3002" t="s">
        <v>844</v>
      </c>
      <c r="B26" s="3002"/>
      <c r="C26" s="3003"/>
      <c r="D26" s="3004" t="s">
        <v>845</v>
      </c>
      <c r="E26" s="3002"/>
      <c r="F26" s="3002"/>
    </row>
    <row r="27" spans="1:7" s="1027" customFormat="1" ht="24" customHeight="1">
      <c r="A27" s="1026" t="s">
        <v>846</v>
      </c>
      <c r="B27" s="1021" t="s">
        <v>847</v>
      </c>
      <c r="C27" s="2343" t="s">
        <v>848</v>
      </c>
      <c r="D27" s="2350" t="s">
        <v>846</v>
      </c>
      <c r="E27" s="1021" t="s">
        <v>847</v>
      </c>
      <c r="F27" s="1021" t="s">
        <v>848</v>
      </c>
    </row>
    <row r="28" spans="1:7" s="1027" customFormat="1" ht="24" customHeight="1">
      <c r="A28" s="1028" t="s">
        <v>849</v>
      </c>
      <c r="B28" s="1029" t="s">
        <v>850</v>
      </c>
      <c r="C28" s="1030">
        <v>44820</v>
      </c>
      <c r="D28" s="2351" t="s">
        <v>851</v>
      </c>
      <c r="E28" s="1028" t="s">
        <v>852</v>
      </c>
      <c r="F28" s="1058">
        <v>44377</v>
      </c>
    </row>
    <row r="29" spans="1:7" s="1027" customFormat="1" ht="24" customHeight="1">
      <c r="A29" s="1028"/>
      <c r="B29" s="1028"/>
      <c r="C29" s="2349"/>
      <c r="D29" s="2351" t="s">
        <v>853</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土地案例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2019-12-04T01:15:16Z</dcterms:modified>
</cp:coreProperties>
</file>